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6.xml" ContentType="application/vnd.openxmlformats-officedocument.spreadsheetml.work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worksheets/sheet7.xml" ContentType="application/vnd.openxmlformats-officedocument.spreadsheetml.worksheet+xml"/>
  <Override PartName="/xl/chartsheets/sheet7.xml" ContentType="application/vnd.openxmlformats-officedocument.spreadsheetml.chartsheet+xml"/>
  <Override PartName="/xl/chartsheets/sheet8.xml" ContentType="application/vnd.openxmlformats-officedocument.spreadsheetml.chartsheet+xml"/>
  <Override PartName="/xl/chartsheets/sheet9.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0.xml" ContentType="application/vnd.openxmlformats-officedocument.spreadsheetml.chartsheet+xml"/>
  <Override PartName="/xl/chartsheets/sheet11.xml" ContentType="application/vnd.openxmlformats-officedocument.spreadsheetml.chartsheet+xml"/>
  <Override PartName="/xl/chartsheets/sheet12.xml" ContentType="application/vnd.openxmlformats-officedocument.spreadsheetml.chart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D:\2025 energy Files\Energy spready sheets\"/>
    </mc:Choice>
  </mc:AlternateContent>
  <xr:revisionPtr revIDLastSave="0" documentId="8_{766A7FD9-231A-4A18-891C-14335180D7D1}" xr6:coauthVersionLast="47" xr6:coauthVersionMax="47" xr10:uidLastSave="{00000000-0000-0000-0000-000000000000}"/>
  <bookViews>
    <workbookView xWindow="37260" yWindow="0" windowWidth="39435" windowHeight="20910" tabRatio="938" xr2:uid="{AC67E9BD-9FAD-4FB6-A882-1A83A6341DEE}"/>
    <workbookView xWindow="4170" yWindow="105" windowWidth="39435" windowHeight="19260" activeTab="1" xr2:uid="{6E41727B-0E29-4193-9FA6-544080CF6C92}"/>
  </bookViews>
  <sheets>
    <sheet name="Contents" sheetId="39" r:id="rId1"/>
    <sheet name="Notes" sheetId="1" r:id="rId2"/>
    <sheet name="CO2" sheetId="3" r:id="rId3"/>
    <sheet name="MSN" sheetId="2" r:id="rId4"/>
    <sheet name="NE RES Emit" sheetId="11" r:id="rId5"/>
    <sheet name="R1" sheetId="21" r:id="rId6"/>
    <sheet name="R2" sheetId="24" r:id="rId7"/>
    <sheet name="R3" sheetId="25" r:id="rId8"/>
    <sheet name="NE C Emit" sheetId="18" r:id="rId9"/>
    <sheet name="C1 " sheetId="28" r:id="rId10"/>
    <sheet name="C2" sheetId="30" r:id="rId11"/>
    <sheet name="C3" sheetId="32" r:id="rId12"/>
    <sheet name="NE I emit" sheetId="27" r:id="rId13"/>
    <sheet name="I1" sheetId="29" r:id="rId14"/>
    <sheet name="I2" sheetId="31" r:id="rId15"/>
    <sheet name="I3" sheetId="33" r:id="rId16"/>
    <sheet name="NE RCI Emit" sheetId="34" r:id="rId17"/>
    <sheet name="MA RCI compare" sheetId="35" r:id="rId18"/>
    <sheet name="RCI 1" sheetId="36" r:id="rId19"/>
    <sheet name="RCI 2" sheetId="37" r:id="rId20"/>
    <sheet name="RCI3" sheetId="38" r:id="rId21"/>
    <sheet name="NE BTU" sheetId="12" r:id="rId22"/>
    <sheet name="NE Pop" sheetId="22" r:id="rId23"/>
    <sheet name="NE HDD" sheetId="13" r:id="rId24"/>
    <sheet name="Linest Test" sheetId="14" r:id="rId25"/>
    <sheet name="CT-4" sheetId="4" r:id="rId26"/>
    <sheet name="G CT4 P" sheetId="5" r:id="rId27"/>
    <sheet name="G CT4 B" sheetId="6" r:id="rId28"/>
    <sheet name="G CT-5 P" sheetId="17" r:id="rId29"/>
    <sheet name="G CT7 B" sheetId="20" r:id="rId30"/>
    <sheet name="G MA CO2 B" sheetId="7" r:id="rId31"/>
    <sheet name="G MA CO2 P" sheetId="8" r:id="rId32"/>
    <sheet name="vs. SGIT" sheetId="10" r:id="rId33"/>
    <sheet name="MA Comm Emissions" sheetId="16" r:id="rId34"/>
    <sheet name="MA T Emission" sheetId="19" r:id="rId35"/>
  </sheets>
  <definedNames>
    <definedName name="_xlnm._FilterDatabase" localSheetId="3" hidden="1">MSN!$B$14:$G$900</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4" i="11" l="1"/>
  <c r="AP44" i="11" s="1"/>
  <c r="AO43" i="11"/>
  <c r="AP43" i="11" s="1"/>
  <c r="AO42" i="11"/>
  <c r="AP42" i="11" s="1"/>
  <c r="AO41" i="11"/>
  <c r="AP41" i="11" s="1"/>
  <c r="AO40" i="11"/>
  <c r="AP40" i="11" s="1"/>
  <c r="AO39" i="11"/>
  <c r="AP39" i="11" s="1"/>
  <c r="AO38" i="11"/>
  <c r="AP38" i="11" s="1"/>
  <c r="AO37" i="11"/>
  <c r="AP37" i="11" s="1"/>
  <c r="L76" i="14"/>
  <c r="K76" i="14"/>
  <c r="AO36" i="11"/>
  <c r="B64" i="27"/>
  <c r="B63" i="27"/>
  <c r="AH62" i="27"/>
  <c r="AG62" i="27"/>
  <c r="AF62" i="27"/>
  <c r="AE62" i="27"/>
  <c r="AD62" i="27"/>
  <c r="AC62" i="27"/>
  <c r="AB62" i="27"/>
  <c r="AA62" i="27"/>
  <c r="Z62" i="27"/>
  <c r="Y62" i="27"/>
  <c r="X62" i="27"/>
  <c r="W62" i="27"/>
  <c r="V62" i="27"/>
  <c r="U62" i="27"/>
  <c r="T62" i="27"/>
  <c r="S62" i="27"/>
  <c r="R62" i="27"/>
  <c r="Q62" i="27"/>
  <c r="P62" i="27"/>
  <c r="O62" i="27"/>
  <c r="N62" i="27"/>
  <c r="M62" i="27"/>
  <c r="L62" i="27"/>
  <c r="K62" i="27"/>
  <c r="J62" i="27"/>
  <c r="I62" i="27"/>
  <c r="H62" i="27"/>
  <c r="G62" i="27"/>
  <c r="F62" i="27"/>
  <c r="E62" i="27"/>
  <c r="D62" i="27"/>
  <c r="C62" i="27"/>
  <c r="B62" i="27"/>
  <c r="C65" i="34"/>
  <c r="C66" i="34" s="1"/>
  <c r="C67" i="34" s="1"/>
  <c r="C68" i="34" s="1"/>
  <c r="C69" i="34" s="1"/>
  <c r="C70" i="34" s="1"/>
  <c r="C71" i="34" s="1"/>
  <c r="C72" i="34" s="1"/>
  <c r="C73" i="34" s="1"/>
  <c r="C74" i="34" s="1"/>
  <c r="C75" i="34" s="1"/>
  <c r="C76" i="34" s="1"/>
  <c r="C77" i="34" s="1"/>
  <c r="C78" i="34" s="1"/>
  <c r="C79" i="34" s="1"/>
  <c r="C80" i="34" s="1"/>
  <c r="C81" i="34" s="1"/>
  <c r="C82" i="34" s="1"/>
  <c r="C83" i="34" s="1"/>
  <c r="C84" i="34" s="1"/>
  <c r="C85" i="34" s="1"/>
  <c r="C86" i="34" s="1"/>
  <c r="C87" i="34" s="1"/>
  <c r="C88" i="34" s="1"/>
  <c r="C89" i="34" s="1"/>
  <c r="C90" i="34" s="1"/>
  <c r="C91" i="34" s="1"/>
  <c r="C92" i="34" s="1"/>
  <c r="C93" i="34" s="1"/>
  <c r="C94" i="34" s="1"/>
  <c r="C95" i="34" s="1"/>
  <c r="C96" i="34" s="1"/>
  <c r="C97" i="34" s="1"/>
  <c r="AS3" i="18"/>
  <c r="AC70" i="16"/>
  <c r="AC68" i="16"/>
  <c r="AC69" i="16"/>
  <c r="AC67" i="16"/>
  <c r="AC66" i="16"/>
  <c r="AC65" i="16"/>
  <c r="AC64" i="16"/>
  <c r="AC63" i="16"/>
  <c r="AC62" i="16"/>
  <c r="AC61" i="16"/>
  <c r="AC60" i="16"/>
  <c r="AC59" i="16"/>
  <c r="AC58" i="16"/>
  <c r="AC57" i="16"/>
  <c r="AC56" i="16"/>
  <c r="AC55" i="16"/>
  <c r="AC54" i="16"/>
  <c r="AC53" i="16"/>
  <c r="AC52" i="16"/>
  <c r="AC51" i="16"/>
  <c r="AC50" i="16"/>
  <c r="AC49" i="16"/>
  <c r="AC48" i="16"/>
  <c r="AC47" i="16"/>
  <c r="AC46" i="16"/>
  <c r="AC45" i="16"/>
  <c r="AC44" i="16"/>
  <c r="AC43" i="16"/>
  <c r="AC42" i="16"/>
  <c r="AC41" i="16"/>
  <c r="AC40" i="16"/>
  <c r="AC39" i="16"/>
  <c r="AC38" i="16"/>
  <c r="AC37" i="16"/>
  <c r="AC36" i="16"/>
  <c r="B40" i="35"/>
  <c r="B39" i="35"/>
  <c r="AI40" i="35"/>
  <c r="AH40" i="35"/>
  <c r="AG40" i="35"/>
  <c r="AF40" i="35"/>
  <c r="AE40" i="35"/>
  <c r="AD40" i="35"/>
  <c r="AC40" i="35"/>
  <c r="AB40" i="35"/>
  <c r="AA40" i="35"/>
  <c r="Z40" i="35"/>
  <c r="Y40" i="35"/>
  <c r="X40" i="35"/>
  <c r="W40" i="35"/>
  <c r="V40" i="35"/>
  <c r="U40" i="35"/>
  <c r="T40" i="35"/>
  <c r="S40" i="35"/>
  <c r="R40" i="35"/>
  <c r="Q40" i="35"/>
  <c r="P40" i="35"/>
  <c r="O40" i="35"/>
  <c r="N40" i="35"/>
  <c r="M40" i="35"/>
  <c r="L40" i="35"/>
  <c r="K40" i="35"/>
  <c r="J40" i="35"/>
  <c r="I40" i="35"/>
  <c r="H40" i="35"/>
  <c r="G40" i="35"/>
  <c r="F40" i="35"/>
  <c r="E40" i="35"/>
  <c r="D40" i="35"/>
  <c r="C40" i="35"/>
  <c r="AH39" i="35"/>
  <c r="AG39" i="35"/>
  <c r="AF39" i="35"/>
  <c r="AE39" i="35"/>
  <c r="AD39" i="35"/>
  <c r="AC39" i="35"/>
  <c r="AB39" i="35"/>
  <c r="AA39" i="35"/>
  <c r="Z39" i="35"/>
  <c r="Y39" i="35"/>
  <c r="X39" i="35"/>
  <c r="W39" i="35"/>
  <c r="V39" i="35"/>
  <c r="U39" i="35"/>
  <c r="T39" i="35"/>
  <c r="S39" i="35"/>
  <c r="R39" i="35"/>
  <c r="Q39" i="35"/>
  <c r="P39" i="35"/>
  <c r="O39" i="35"/>
  <c r="N39" i="35"/>
  <c r="M39" i="35"/>
  <c r="L39" i="35"/>
  <c r="K39" i="35"/>
  <c r="J39" i="35"/>
  <c r="I39" i="35"/>
  <c r="H39" i="35"/>
  <c r="G39" i="35"/>
  <c r="F39" i="35"/>
  <c r="E39" i="35"/>
  <c r="D39" i="35"/>
  <c r="C39" i="35"/>
  <c r="AH18" i="35"/>
  <c r="AG18" i="35"/>
  <c r="AF18" i="35"/>
  <c r="AE18" i="35"/>
  <c r="AD18" i="35"/>
  <c r="AC18" i="35"/>
  <c r="AB18" i="35"/>
  <c r="AA18" i="35"/>
  <c r="Z18" i="35"/>
  <c r="Y18" i="35"/>
  <c r="X18" i="35"/>
  <c r="W18" i="35"/>
  <c r="V18" i="35"/>
  <c r="U18" i="35"/>
  <c r="T18" i="35"/>
  <c r="S18" i="35"/>
  <c r="R18" i="35"/>
  <c r="Q18" i="35"/>
  <c r="P18" i="35"/>
  <c r="O18" i="35"/>
  <c r="N18" i="35"/>
  <c r="M18" i="35"/>
  <c r="L18" i="35"/>
  <c r="K18" i="35"/>
  <c r="J18" i="35"/>
  <c r="I18" i="35"/>
  <c r="H18" i="35"/>
  <c r="G18" i="35"/>
  <c r="F18" i="35"/>
  <c r="E18" i="35"/>
  <c r="D18" i="35"/>
  <c r="C18" i="35"/>
  <c r="B18" i="35"/>
  <c r="C57" i="34" l="1"/>
  <c r="D57" i="34" s="1"/>
  <c r="AI11" i="34"/>
  <c r="AH11" i="34"/>
  <c r="AG11" i="34"/>
  <c r="AF11" i="34"/>
  <c r="AE11" i="34"/>
  <c r="AD11" i="34"/>
  <c r="AC11" i="34"/>
  <c r="AB11" i="34"/>
  <c r="AA11" i="34"/>
  <c r="Z11" i="34"/>
  <c r="Y11" i="34"/>
  <c r="X11" i="34"/>
  <c r="W11" i="34"/>
  <c r="W31" i="34" s="1"/>
  <c r="V11" i="34"/>
  <c r="V31" i="34" s="1"/>
  <c r="U11" i="34"/>
  <c r="T11" i="34"/>
  <c r="S11" i="34"/>
  <c r="S31" i="34" s="1"/>
  <c r="R11" i="34"/>
  <c r="R31" i="34" s="1"/>
  <c r="Q11" i="34"/>
  <c r="P11" i="34"/>
  <c r="O11" i="34"/>
  <c r="N11" i="34"/>
  <c r="M11" i="34"/>
  <c r="L11" i="34"/>
  <c r="K11" i="34"/>
  <c r="J11" i="34"/>
  <c r="I11" i="34"/>
  <c r="H11" i="34"/>
  <c r="G11" i="34"/>
  <c r="F11" i="34"/>
  <c r="E11" i="34"/>
  <c r="D11" i="34"/>
  <c r="C11" i="34"/>
  <c r="B11" i="34"/>
  <c r="AI10" i="34"/>
  <c r="AH10" i="34"/>
  <c r="AG10" i="34"/>
  <c r="AG30" i="34" s="1"/>
  <c r="AF10" i="34"/>
  <c r="AF30" i="34" s="1"/>
  <c r="AE10" i="34"/>
  <c r="AD10" i="34"/>
  <c r="AC10" i="34"/>
  <c r="AB10" i="34"/>
  <c r="AB30" i="34" s="1"/>
  <c r="AA10" i="34"/>
  <c r="Z10" i="34"/>
  <c r="Y10" i="34"/>
  <c r="X10" i="34"/>
  <c r="W10" i="34"/>
  <c r="V10" i="34"/>
  <c r="U10" i="34"/>
  <c r="T10" i="34"/>
  <c r="S10" i="34"/>
  <c r="R10" i="34"/>
  <c r="Q10" i="34"/>
  <c r="P10" i="34"/>
  <c r="O10" i="34"/>
  <c r="N10" i="34"/>
  <c r="M10" i="34"/>
  <c r="L10" i="34"/>
  <c r="K10" i="34"/>
  <c r="J10" i="34"/>
  <c r="I10" i="34"/>
  <c r="I30" i="34" s="1"/>
  <c r="H10" i="34"/>
  <c r="H30" i="34" s="1"/>
  <c r="G10" i="34"/>
  <c r="F10" i="34"/>
  <c r="E10" i="34"/>
  <c r="E30" i="34" s="1"/>
  <c r="D10" i="34"/>
  <c r="D30" i="34" s="1"/>
  <c r="C10" i="34"/>
  <c r="B10" i="34"/>
  <c r="AI9" i="34"/>
  <c r="AH9" i="34"/>
  <c r="AG9" i="34"/>
  <c r="AF9" i="34"/>
  <c r="AE9" i="34"/>
  <c r="AD9" i="34"/>
  <c r="AC9" i="34"/>
  <c r="AB9" i="34"/>
  <c r="AA9" i="34"/>
  <c r="Z9" i="34"/>
  <c r="Y9" i="34"/>
  <c r="X9" i="34"/>
  <c r="W9" i="34"/>
  <c r="V9" i="34"/>
  <c r="U9" i="34"/>
  <c r="T9" i="34"/>
  <c r="S9" i="34"/>
  <c r="R9" i="34"/>
  <c r="Q9" i="34"/>
  <c r="P9" i="34"/>
  <c r="O9" i="34"/>
  <c r="N9" i="34"/>
  <c r="M9" i="34"/>
  <c r="L9" i="34"/>
  <c r="K9" i="34"/>
  <c r="J9" i="34"/>
  <c r="I9" i="34"/>
  <c r="H9" i="34"/>
  <c r="G9" i="34"/>
  <c r="F9" i="34"/>
  <c r="E9" i="34"/>
  <c r="D9" i="34"/>
  <c r="C9" i="34"/>
  <c r="B9" i="34"/>
  <c r="AI8" i="34"/>
  <c r="AH8" i="34"/>
  <c r="AG8" i="34"/>
  <c r="AF8" i="34"/>
  <c r="AE8" i="34"/>
  <c r="AD8" i="34"/>
  <c r="AC8" i="34"/>
  <c r="AB8" i="34"/>
  <c r="AA8" i="34"/>
  <c r="Z8" i="34"/>
  <c r="Y8" i="34"/>
  <c r="X8" i="34"/>
  <c r="W8" i="34"/>
  <c r="V8" i="34"/>
  <c r="V28" i="34" s="1"/>
  <c r="U8" i="34"/>
  <c r="T8" i="34"/>
  <c r="S8" i="34"/>
  <c r="R8" i="34"/>
  <c r="Q8" i="34"/>
  <c r="P8" i="34"/>
  <c r="O8" i="34"/>
  <c r="N8" i="34"/>
  <c r="M8" i="34"/>
  <c r="L8" i="34"/>
  <c r="K8" i="34"/>
  <c r="J8" i="34"/>
  <c r="I8" i="34"/>
  <c r="H8" i="34"/>
  <c r="G8" i="34"/>
  <c r="F8" i="34"/>
  <c r="E8" i="34"/>
  <c r="D8" i="34"/>
  <c r="C8" i="34"/>
  <c r="B8" i="34"/>
  <c r="AI7" i="34"/>
  <c r="AH7" i="34"/>
  <c r="AG7" i="34"/>
  <c r="AF7" i="34"/>
  <c r="AE7" i="34"/>
  <c r="AD7" i="34"/>
  <c r="AC7" i="34"/>
  <c r="AB7" i="34"/>
  <c r="AA7" i="34"/>
  <c r="Z7" i="34"/>
  <c r="Y7" i="34"/>
  <c r="X7" i="34"/>
  <c r="W7" i="34"/>
  <c r="V7" i="34"/>
  <c r="U7" i="34"/>
  <c r="T7" i="34"/>
  <c r="S7" i="34"/>
  <c r="R7" i="34"/>
  <c r="Q7" i="34"/>
  <c r="P7" i="34"/>
  <c r="O7" i="34"/>
  <c r="N7" i="34"/>
  <c r="M7" i="34"/>
  <c r="L7" i="34"/>
  <c r="K7" i="34"/>
  <c r="J7" i="34"/>
  <c r="I7" i="34"/>
  <c r="H7" i="34"/>
  <c r="G7" i="34"/>
  <c r="F7" i="34"/>
  <c r="E7" i="34"/>
  <c r="D7" i="34"/>
  <c r="C7" i="34"/>
  <c r="B7" i="34"/>
  <c r="AI6" i="34"/>
  <c r="AH6" i="34"/>
  <c r="AG6" i="34"/>
  <c r="AF6" i="34"/>
  <c r="AE6" i="34"/>
  <c r="AD6" i="34"/>
  <c r="AC6" i="34"/>
  <c r="AB6" i="34"/>
  <c r="AA6" i="34"/>
  <c r="Z6" i="34"/>
  <c r="Y6" i="34"/>
  <c r="X6" i="34"/>
  <c r="W6" i="34"/>
  <c r="V6" i="34"/>
  <c r="U6" i="34"/>
  <c r="T6" i="34"/>
  <c r="T26" i="34" s="1"/>
  <c r="S6" i="34"/>
  <c r="R6" i="34"/>
  <c r="Q6" i="34"/>
  <c r="P6" i="34"/>
  <c r="O6" i="34"/>
  <c r="N6" i="34"/>
  <c r="M6" i="34"/>
  <c r="L6" i="34"/>
  <c r="K6" i="34"/>
  <c r="J6" i="34"/>
  <c r="I6" i="34"/>
  <c r="H6" i="34"/>
  <c r="G6" i="34"/>
  <c r="F6" i="34"/>
  <c r="E6" i="34"/>
  <c r="D6" i="34"/>
  <c r="C6" i="34"/>
  <c r="B6" i="34"/>
  <c r="AI5" i="34"/>
  <c r="AH5" i="34"/>
  <c r="AG5" i="34"/>
  <c r="AF5" i="34"/>
  <c r="AE5" i="34"/>
  <c r="AD5" i="34"/>
  <c r="AD25" i="34" s="1"/>
  <c r="AC5" i="34"/>
  <c r="AB5" i="34"/>
  <c r="AA5" i="34"/>
  <c r="Z5" i="34"/>
  <c r="Y5" i="34"/>
  <c r="X5" i="34"/>
  <c r="W5" i="34"/>
  <c r="V5" i="34"/>
  <c r="U5" i="34"/>
  <c r="T5" i="34"/>
  <c r="S5" i="34"/>
  <c r="R5" i="34"/>
  <c r="Q5" i="34"/>
  <c r="P5" i="34"/>
  <c r="O5" i="34"/>
  <c r="N5" i="34"/>
  <c r="M5" i="34"/>
  <c r="L5" i="34"/>
  <c r="K5" i="34"/>
  <c r="J5" i="34"/>
  <c r="I5" i="34"/>
  <c r="H5" i="34"/>
  <c r="G5" i="34"/>
  <c r="F5" i="34"/>
  <c r="F25" i="34" s="1"/>
  <c r="E5" i="34"/>
  <c r="D5" i="34"/>
  <c r="C5" i="34"/>
  <c r="B5" i="34"/>
  <c r="AI4" i="34"/>
  <c r="AH4" i="34"/>
  <c r="AG4" i="34"/>
  <c r="AF4" i="34"/>
  <c r="AE4" i="34"/>
  <c r="AD4" i="34"/>
  <c r="AC4" i="34"/>
  <c r="AB4" i="34"/>
  <c r="AA4" i="34"/>
  <c r="Z4" i="34"/>
  <c r="Y4" i="34"/>
  <c r="X4" i="34"/>
  <c r="W4" i="34"/>
  <c r="V4" i="34"/>
  <c r="U4" i="34"/>
  <c r="U24" i="34" s="1"/>
  <c r="T4" i="34"/>
  <c r="T24" i="34" s="1"/>
  <c r="S4" i="34"/>
  <c r="R4" i="34"/>
  <c r="Q4" i="34"/>
  <c r="P4" i="34"/>
  <c r="O4" i="34"/>
  <c r="N4" i="34"/>
  <c r="M4" i="34"/>
  <c r="L4" i="34"/>
  <c r="K4" i="34"/>
  <c r="J4" i="34"/>
  <c r="I4" i="34"/>
  <c r="H4" i="34"/>
  <c r="G4" i="34"/>
  <c r="F4" i="34"/>
  <c r="E4" i="34"/>
  <c r="D4" i="34"/>
  <c r="C4" i="34"/>
  <c r="B4" i="34"/>
  <c r="AI3" i="34"/>
  <c r="AH3" i="34"/>
  <c r="AG3" i="34"/>
  <c r="AF3" i="34"/>
  <c r="AE3" i="34"/>
  <c r="AD3" i="34"/>
  <c r="AC3" i="34"/>
  <c r="AB3" i="34"/>
  <c r="AA3" i="34"/>
  <c r="Z3" i="34"/>
  <c r="Z12" i="34" s="1"/>
  <c r="Y3" i="34"/>
  <c r="X3" i="34"/>
  <c r="W3" i="34"/>
  <c r="V3" i="34"/>
  <c r="U3" i="34"/>
  <c r="T3" i="34"/>
  <c r="S3" i="34"/>
  <c r="R3" i="34"/>
  <c r="Q3" i="34"/>
  <c r="P3" i="34"/>
  <c r="O3" i="34"/>
  <c r="N3" i="34"/>
  <c r="M3" i="34"/>
  <c r="L3" i="34"/>
  <c r="K3" i="34"/>
  <c r="J3" i="34"/>
  <c r="I3" i="34"/>
  <c r="H3" i="34"/>
  <c r="G3" i="34"/>
  <c r="F3" i="34"/>
  <c r="E3" i="34"/>
  <c r="D3" i="34"/>
  <c r="C3" i="34"/>
  <c r="B3" i="34"/>
  <c r="B12" i="34" s="1"/>
  <c r="AI23" i="27"/>
  <c r="V23" i="27"/>
  <c r="AI31" i="27"/>
  <c r="AH31" i="27"/>
  <c r="AG31" i="27"/>
  <c r="AF31" i="27"/>
  <c r="AE31" i="27"/>
  <c r="AD31" i="27"/>
  <c r="AC31" i="27"/>
  <c r="AB31" i="27"/>
  <c r="AA31" i="27"/>
  <c r="Z31" i="27"/>
  <c r="Y31" i="27"/>
  <c r="X31" i="27"/>
  <c r="W31" i="27"/>
  <c r="V31" i="27"/>
  <c r="U31" i="27"/>
  <c r="T31" i="27"/>
  <c r="S31" i="27"/>
  <c r="R31" i="27"/>
  <c r="Q31" i="27"/>
  <c r="P31" i="27"/>
  <c r="O31" i="27"/>
  <c r="N31" i="27"/>
  <c r="M31" i="27"/>
  <c r="L31" i="27"/>
  <c r="K31" i="27"/>
  <c r="J31" i="27"/>
  <c r="I31" i="27"/>
  <c r="H31" i="27"/>
  <c r="G31" i="27"/>
  <c r="F31" i="27"/>
  <c r="E31" i="27"/>
  <c r="D31" i="27"/>
  <c r="C31" i="27"/>
  <c r="B31" i="27"/>
  <c r="AI30" i="27"/>
  <c r="AH30" i="27"/>
  <c r="AG30" i="27"/>
  <c r="AF30" i="27"/>
  <c r="AE30" i="27"/>
  <c r="AD30" i="27"/>
  <c r="AC30" i="27"/>
  <c r="AB30" i="27"/>
  <c r="AA30" i="27"/>
  <c r="Z30" i="27"/>
  <c r="Y30" i="27"/>
  <c r="X30" i="27"/>
  <c r="W30" i="27"/>
  <c r="V30" i="27"/>
  <c r="U30" i="27"/>
  <c r="T30" i="27"/>
  <c r="S30" i="27"/>
  <c r="R30" i="27"/>
  <c r="Q30" i="27"/>
  <c r="P30" i="27"/>
  <c r="O30" i="27"/>
  <c r="N30" i="27"/>
  <c r="M30" i="27"/>
  <c r="L30" i="27"/>
  <c r="K30" i="27"/>
  <c r="J30" i="27"/>
  <c r="I30" i="27"/>
  <c r="H30" i="27"/>
  <c r="G30" i="27"/>
  <c r="F30" i="27"/>
  <c r="E30" i="27"/>
  <c r="D30" i="27"/>
  <c r="C30" i="27"/>
  <c r="B30" i="27"/>
  <c r="AI29" i="27"/>
  <c r="AH29" i="27"/>
  <c r="AG29" i="27"/>
  <c r="AF29" i="27"/>
  <c r="AE29" i="27"/>
  <c r="AD29" i="27"/>
  <c r="AC29" i="27"/>
  <c r="AB29" i="27"/>
  <c r="AA29" i="27"/>
  <c r="Z29" i="27"/>
  <c r="Y29" i="27"/>
  <c r="X29" i="27"/>
  <c r="W29" i="27"/>
  <c r="V29" i="27"/>
  <c r="U29" i="27"/>
  <c r="T29" i="27"/>
  <c r="S29" i="27"/>
  <c r="R29" i="27"/>
  <c r="Q29" i="27"/>
  <c r="P29" i="27"/>
  <c r="O29" i="27"/>
  <c r="N29" i="27"/>
  <c r="M29" i="27"/>
  <c r="L29" i="27"/>
  <c r="K29" i="27"/>
  <c r="J29" i="27"/>
  <c r="I29" i="27"/>
  <c r="H29" i="27"/>
  <c r="G29" i="27"/>
  <c r="F29" i="27"/>
  <c r="E29" i="27"/>
  <c r="D29" i="27"/>
  <c r="C29" i="27"/>
  <c r="B29" i="27"/>
  <c r="AI28" i="27"/>
  <c r="AH28" i="27"/>
  <c r="AG28" i="27"/>
  <c r="AF28" i="27"/>
  <c r="AE28" i="27"/>
  <c r="AD28" i="27"/>
  <c r="AC28" i="27"/>
  <c r="AB28" i="27"/>
  <c r="AA28" i="27"/>
  <c r="Z28" i="27"/>
  <c r="Y28" i="27"/>
  <c r="X28" i="27"/>
  <c r="W28" i="27"/>
  <c r="V28" i="27"/>
  <c r="U28" i="27"/>
  <c r="T28" i="27"/>
  <c r="S28" i="27"/>
  <c r="R28" i="27"/>
  <c r="Q28" i="27"/>
  <c r="P28" i="27"/>
  <c r="O28" i="27"/>
  <c r="N28" i="27"/>
  <c r="M28" i="27"/>
  <c r="L28" i="27"/>
  <c r="K28" i="27"/>
  <c r="J28" i="27"/>
  <c r="I28" i="27"/>
  <c r="H28" i="27"/>
  <c r="G28" i="27"/>
  <c r="F28" i="27"/>
  <c r="E28" i="27"/>
  <c r="D28" i="27"/>
  <c r="C28" i="27"/>
  <c r="B28"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D27" i="27"/>
  <c r="C27" i="27"/>
  <c r="B27"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D26" i="27"/>
  <c r="C26" i="27"/>
  <c r="B26" i="27"/>
  <c r="AI25" i="27"/>
  <c r="AH25" i="27"/>
  <c r="AG25" i="27"/>
  <c r="AF25" i="27"/>
  <c r="AE25" i="27"/>
  <c r="AD25" i="27"/>
  <c r="AC25" i="27"/>
  <c r="AB25" i="27"/>
  <c r="AA25" i="27"/>
  <c r="Z25" i="27"/>
  <c r="Y25" i="27"/>
  <c r="X25" i="27"/>
  <c r="W25" i="27"/>
  <c r="V25" i="27"/>
  <c r="U25" i="27"/>
  <c r="T25" i="27"/>
  <c r="S25" i="27"/>
  <c r="R25" i="27"/>
  <c r="Q25" i="27"/>
  <c r="P25" i="27"/>
  <c r="O25" i="27"/>
  <c r="N25" i="27"/>
  <c r="M25" i="27"/>
  <c r="L25" i="27"/>
  <c r="K25" i="27"/>
  <c r="J25" i="27"/>
  <c r="I25" i="27"/>
  <c r="H25" i="27"/>
  <c r="G25" i="27"/>
  <c r="F25" i="27"/>
  <c r="E25" i="27"/>
  <c r="D25" i="27"/>
  <c r="C25" i="27"/>
  <c r="B25" i="27"/>
  <c r="AI24" i="27"/>
  <c r="AH24" i="27"/>
  <c r="AG24" i="27"/>
  <c r="AF24" i="27"/>
  <c r="AE24" i="27"/>
  <c r="AD24" i="27"/>
  <c r="AC24" i="27"/>
  <c r="AB24" i="27"/>
  <c r="AA24" i="27"/>
  <c r="Z24" i="27"/>
  <c r="Y24" i="27"/>
  <c r="X24" i="27"/>
  <c r="W24" i="27"/>
  <c r="V24" i="27"/>
  <c r="U24" i="27"/>
  <c r="T24" i="27"/>
  <c r="S24" i="27"/>
  <c r="R24" i="27"/>
  <c r="Q24" i="27"/>
  <c r="P24" i="27"/>
  <c r="O24" i="27"/>
  <c r="N24" i="27"/>
  <c r="M24" i="27"/>
  <c r="L24" i="27"/>
  <c r="K24" i="27"/>
  <c r="J24" i="27"/>
  <c r="I24" i="27"/>
  <c r="H24" i="27"/>
  <c r="G24" i="27"/>
  <c r="F24" i="27"/>
  <c r="E24" i="27"/>
  <c r="D24" i="27"/>
  <c r="C24" i="27"/>
  <c r="B24" i="27"/>
  <c r="AH23" i="27"/>
  <c r="AG23" i="27"/>
  <c r="AF23" i="27"/>
  <c r="AE23" i="27"/>
  <c r="AD23" i="27"/>
  <c r="AC23" i="27"/>
  <c r="AB23" i="27"/>
  <c r="AA23" i="27"/>
  <c r="Z23" i="27"/>
  <c r="Y23" i="27"/>
  <c r="X23" i="27"/>
  <c r="W23" i="27"/>
  <c r="U23" i="27"/>
  <c r="T23" i="27"/>
  <c r="S23" i="27"/>
  <c r="R23" i="27"/>
  <c r="Q23" i="27"/>
  <c r="P23" i="27"/>
  <c r="O23" i="27"/>
  <c r="N23" i="27"/>
  <c r="M23" i="27"/>
  <c r="L23" i="27"/>
  <c r="K23" i="27"/>
  <c r="J23" i="27"/>
  <c r="I23" i="27"/>
  <c r="H23" i="27"/>
  <c r="G23" i="27"/>
  <c r="F23" i="27"/>
  <c r="E23" i="27"/>
  <c r="D23" i="27"/>
  <c r="C23" i="27"/>
  <c r="B23" i="27"/>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F31" i="18"/>
  <c r="E31" i="18"/>
  <c r="D31" i="18"/>
  <c r="C31" i="18"/>
  <c r="B31" i="18"/>
  <c r="AI30" i="18"/>
  <c r="AH30" i="18"/>
  <c r="AG30" i="18"/>
  <c r="AF30" i="18"/>
  <c r="AE30" i="18"/>
  <c r="AD30" i="18"/>
  <c r="AC30" i="18"/>
  <c r="AB30" i="18"/>
  <c r="AA30" i="18"/>
  <c r="Z30" i="18"/>
  <c r="Y30" i="18"/>
  <c r="X30" i="18"/>
  <c r="W30" i="18"/>
  <c r="V30" i="18"/>
  <c r="U30" i="18"/>
  <c r="T30" i="18"/>
  <c r="S30" i="18"/>
  <c r="R30" i="18"/>
  <c r="Q30" i="18"/>
  <c r="P30" i="18"/>
  <c r="O30" i="18"/>
  <c r="N30" i="18"/>
  <c r="M30" i="18"/>
  <c r="L30" i="18"/>
  <c r="K30" i="18"/>
  <c r="J30" i="18"/>
  <c r="I30" i="18"/>
  <c r="H30" i="18"/>
  <c r="G30" i="18"/>
  <c r="F30" i="18"/>
  <c r="E30" i="18"/>
  <c r="D30" i="18"/>
  <c r="C30" i="18"/>
  <c r="B30" i="18"/>
  <c r="AI29" i="18"/>
  <c r="AH29" i="18"/>
  <c r="AG29" i="18"/>
  <c r="AF29" i="18"/>
  <c r="AE29" i="18"/>
  <c r="AD29"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D29" i="18"/>
  <c r="C29" i="18"/>
  <c r="B29" i="18"/>
  <c r="AI28" i="18"/>
  <c r="AH28" i="18"/>
  <c r="AG28" i="18"/>
  <c r="AF28" i="18"/>
  <c r="AE28" i="18"/>
  <c r="AD28" i="18"/>
  <c r="AC28" i="18"/>
  <c r="AB28" i="18"/>
  <c r="AA28" i="18"/>
  <c r="Z28" i="18"/>
  <c r="Y28" i="18"/>
  <c r="X28" i="18"/>
  <c r="W28" i="18"/>
  <c r="V28" i="18"/>
  <c r="U28" i="18"/>
  <c r="T28" i="18"/>
  <c r="S28" i="18"/>
  <c r="R28" i="18"/>
  <c r="Q28" i="18"/>
  <c r="P28" i="18"/>
  <c r="O28" i="18"/>
  <c r="N28" i="18"/>
  <c r="M28" i="18"/>
  <c r="L28" i="18"/>
  <c r="K28" i="18"/>
  <c r="J28" i="18"/>
  <c r="I28" i="18"/>
  <c r="H28" i="18"/>
  <c r="G28" i="18"/>
  <c r="F28" i="18"/>
  <c r="E28" i="18"/>
  <c r="D28" i="18"/>
  <c r="C28" i="18"/>
  <c r="B28" i="18"/>
  <c r="AI27" i="18"/>
  <c r="AH27" i="18"/>
  <c r="AG27" i="18"/>
  <c r="AF27" i="18"/>
  <c r="AE27" i="18"/>
  <c r="AD27" i="18"/>
  <c r="AC27" i="18"/>
  <c r="AB27" i="18"/>
  <c r="AA27" i="18"/>
  <c r="Z27" i="18"/>
  <c r="Y27" i="18"/>
  <c r="X27" i="18"/>
  <c r="W27" i="18"/>
  <c r="V27" i="18"/>
  <c r="U27" i="18"/>
  <c r="T27" i="18"/>
  <c r="S27" i="18"/>
  <c r="R27" i="18"/>
  <c r="Q27" i="18"/>
  <c r="P27" i="18"/>
  <c r="O27" i="18"/>
  <c r="N27" i="18"/>
  <c r="M27" i="18"/>
  <c r="L27" i="18"/>
  <c r="K27" i="18"/>
  <c r="J27" i="18"/>
  <c r="I27" i="18"/>
  <c r="H27" i="18"/>
  <c r="G27" i="18"/>
  <c r="F27" i="18"/>
  <c r="E27" i="18"/>
  <c r="D27" i="18"/>
  <c r="C27" i="18"/>
  <c r="B27" i="18"/>
  <c r="AI26" i="18"/>
  <c r="AH26" i="18"/>
  <c r="AG26" i="18"/>
  <c r="AF26" i="18"/>
  <c r="AE26" i="18"/>
  <c r="AD26" i="18"/>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D26" i="18"/>
  <c r="C26" i="18"/>
  <c r="B26" i="18"/>
  <c r="AI25" i="18"/>
  <c r="AH25" i="18"/>
  <c r="AG25" i="18"/>
  <c r="AF25" i="18"/>
  <c r="AE25" i="18"/>
  <c r="AD25" i="18"/>
  <c r="AC25" i="18"/>
  <c r="AB25" i="18"/>
  <c r="AA25" i="18"/>
  <c r="Z25" i="18"/>
  <c r="Y25" i="18"/>
  <c r="X25" i="18"/>
  <c r="W25" i="18"/>
  <c r="V25" i="18"/>
  <c r="U25" i="18"/>
  <c r="T25" i="18"/>
  <c r="S25" i="18"/>
  <c r="R25" i="18"/>
  <c r="Q25" i="18"/>
  <c r="P25" i="18"/>
  <c r="O25" i="18"/>
  <c r="N25" i="18"/>
  <c r="M25" i="18"/>
  <c r="L25" i="18"/>
  <c r="K25" i="18"/>
  <c r="J25" i="18"/>
  <c r="I25" i="18"/>
  <c r="H25" i="18"/>
  <c r="G25" i="18"/>
  <c r="F25" i="18"/>
  <c r="E25" i="18"/>
  <c r="D25" i="18"/>
  <c r="C25" i="18"/>
  <c r="B25" i="18"/>
  <c r="AI24" i="18"/>
  <c r="AH24" i="18"/>
  <c r="AG24" i="18"/>
  <c r="AF24" i="18"/>
  <c r="AE24" i="18"/>
  <c r="AD24" i="18"/>
  <c r="AC24" i="18"/>
  <c r="AB24" i="18"/>
  <c r="AA24" i="18"/>
  <c r="Z24" i="18"/>
  <c r="Y24" i="18"/>
  <c r="X24" i="18"/>
  <c r="W24" i="18"/>
  <c r="V24" i="18"/>
  <c r="U24" i="18"/>
  <c r="T24" i="18"/>
  <c r="S24" i="18"/>
  <c r="R24" i="18"/>
  <c r="Q24" i="18"/>
  <c r="P24" i="18"/>
  <c r="O24" i="18"/>
  <c r="N24" i="18"/>
  <c r="M24" i="18"/>
  <c r="L24" i="18"/>
  <c r="K24" i="18"/>
  <c r="J24" i="18"/>
  <c r="I24" i="18"/>
  <c r="H24" i="18"/>
  <c r="G24" i="18"/>
  <c r="F24" i="18"/>
  <c r="E24" i="18"/>
  <c r="D24" i="18"/>
  <c r="C24" i="18"/>
  <c r="B24" i="18"/>
  <c r="AI23" i="18"/>
  <c r="AH23" i="18"/>
  <c r="AG23" i="18"/>
  <c r="AF23" i="18"/>
  <c r="AE23" i="18"/>
  <c r="AD23" i="18"/>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D23" i="18"/>
  <c r="C23" i="18"/>
  <c r="B23" i="18"/>
  <c r="AN43" i="27"/>
  <c r="AN42" i="27"/>
  <c r="AN41" i="27"/>
  <c r="AN40" i="27"/>
  <c r="C57" i="27"/>
  <c r="D57" i="27" s="1"/>
  <c r="AP44" i="27"/>
  <c r="AO44" i="27"/>
  <c r="AU44" i="27" s="1"/>
  <c r="AM44" i="27"/>
  <c r="AN44" i="27" s="1"/>
  <c r="AL44" i="27"/>
  <c r="AK44" i="27"/>
  <c r="AJ44" i="27"/>
  <c r="AE44" i="27" s="1"/>
  <c r="AE56" i="27" s="1"/>
  <c r="L44" i="27"/>
  <c r="L56" i="27" s="1"/>
  <c r="AP43" i="27"/>
  <c r="AO43" i="27"/>
  <c r="AU43" i="27" s="1"/>
  <c r="AM43" i="27"/>
  <c r="AL43" i="27"/>
  <c r="AK43" i="27"/>
  <c r="AJ43" i="27"/>
  <c r="AE43" i="27" s="1"/>
  <c r="AE55" i="27" s="1"/>
  <c r="L43" i="27"/>
  <c r="L55" i="27" s="1"/>
  <c r="AP42" i="27"/>
  <c r="AO42" i="27"/>
  <c r="AU42" i="27" s="1"/>
  <c r="AM42" i="27"/>
  <c r="AL42" i="27"/>
  <c r="AK42" i="27"/>
  <c r="AJ42" i="27"/>
  <c r="AE42" i="27" s="1"/>
  <c r="AE54" i="27" s="1"/>
  <c r="AP41" i="27"/>
  <c r="AO41" i="27"/>
  <c r="AU41" i="27" s="1"/>
  <c r="AM41" i="27"/>
  <c r="AL41" i="27"/>
  <c r="AK41" i="27"/>
  <c r="AJ41" i="27"/>
  <c r="AE41" i="27" s="1"/>
  <c r="AE53" i="27" s="1"/>
  <c r="AP40" i="27"/>
  <c r="AO40" i="27"/>
  <c r="AU40" i="27" s="1"/>
  <c r="AM40" i="27"/>
  <c r="AL40" i="27"/>
  <c r="AK40" i="27"/>
  <c r="AJ40" i="27"/>
  <c r="AE40" i="27" s="1"/>
  <c r="AE52" i="27" s="1"/>
  <c r="AP39" i="27"/>
  <c r="AO39" i="27"/>
  <c r="AU39" i="27" s="1"/>
  <c r="AM39" i="27"/>
  <c r="AN39" i="27" s="1"/>
  <c r="AL39" i="27"/>
  <c r="AK39" i="27"/>
  <c r="AJ39" i="27"/>
  <c r="AE39" i="27" s="1"/>
  <c r="AE51" i="27" s="1"/>
  <c r="AP38" i="27"/>
  <c r="AO38" i="27"/>
  <c r="AU38" i="27" s="1"/>
  <c r="AM38" i="27"/>
  <c r="AN38" i="27" s="1"/>
  <c r="AL38" i="27"/>
  <c r="AK38" i="27"/>
  <c r="AJ38" i="27"/>
  <c r="AE38" i="27" s="1"/>
  <c r="AE50" i="27" s="1"/>
  <c r="AP37" i="27"/>
  <c r="AO37" i="27"/>
  <c r="AM37" i="27"/>
  <c r="AN37" i="27" s="1"/>
  <c r="AL37" i="27"/>
  <c r="AK37" i="27"/>
  <c r="AJ37" i="27"/>
  <c r="AE37" i="27" s="1"/>
  <c r="AE49" i="27" s="1"/>
  <c r="AP36" i="27"/>
  <c r="AO36" i="27"/>
  <c r="AU36" i="27" s="1"/>
  <c r="AM36" i="27"/>
  <c r="AN36" i="27" s="1"/>
  <c r="AL36" i="27"/>
  <c r="AK36" i="27"/>
  <c r="AJ36" i="27"/>
  <c r="AE36" i="27" s="1"/>
  <c r="AE48" i="27" s="1"/>
  <c r="AO11" i="27"/>
  <c r="AN11" i="27"/>
  <c r="AM11" i="27"/>
  <c r="AP11" i="27" s="1"/>
  <c r="AO10" i="27"/>
  <c r="AM10" i="27"/>
  <c r="AP10" i="27" s="1"/>
  <c r="AP9" i="27"/>
  <c r="AO9" i="27"/>
  <c r="AN9" i="27"/>
  <c r="AM9" i="27"/>
  <c r="AO8" i="27"/>
  <c r="AM8" i="27"/>
  <c r="AP8" i="27" s="1"/>
  <c r="AO7" i="27"/>
  <c r="AN7" i="27"/>
  <c r="AM7" i="27"/>
  <c r="AP7" i="27" s="1"/>
  <c r="AO6" i="27"/>
  <c r="AM6" i="27"/>
  <c r="AP6" i="27" s="1"/>
  <c r="AP5" i="27"/>
  <c r="AO5" i="27"/>
  <c r="AN5" i="27"/>
  <c r="AM5" i="27"/>
  <c r="AO4" i="27"/>
  <c r="AM4" i="27"/>
  <c r="AP4" i="27" s="1"/>
  <c r="AO3" i="27"/>
  <c r="AN3" i="27"/>
  <c r="AM3" i="27"/>
  <c r="AP3" i="27" s="1"/>
  <c r="AV44" i="18"/>
  <c r="AP44" i="18"/>
  <c r="AO44" i="18"/>
  <c r="AU44" i="18" s="1"/>
  <c r="AM44" i="18"/>
  <c r="AN44" i="18" s="1"/>
  <c r="AL44" i="18"/>
  <c r="AK44" i="18"/>
  <c r="AJ44" i="18"/>
  <c r="AV43" i="18"/>
  <c r="AU43" i="18"/>
  <c r="AP43" i="18"/>
  <c r="AO43" i="18"/>
  <c r="AM43" i="18"/>
  <c r="AN43" i="18" s="1"/>
  <c r="AL43" i="18"/>
  <c r="AK43" i="18"/>
  <c r="AJ43" i="18"/>
  <c r="AV42" i="18"/>
  <c r="AP42" i="18"/>
  <c r="AO42" i="18"/>
  <c r="AM42" i="18"/>
  <c r="AN42" i="18" s="1"/>
  <c r="AL42" i="18"/>
  <c r="AK42" i="18"/>
  <c r="AJ42" i="18"/>
  <c r="AV41" i="18"/>
  <c r="AP41" i="18"/>
  <c r="AO41" i="18"/>
  <c r="AU41" i="18" s="1"/>
  <c r="AM41" i="18"/>
  <c r="AN41" i="18" s="1"/>
  <c r="AL41" i="18"/>
  <c r="AK41" i="18"/>
  <c r="AJ41" i="18"/>
  <c r="AV40" i="18"/>
  <c r="AP40" i="18"/>
  <c r="AO40" i="18"/>
  <c r="AU40" i="18" s="1"/>
  <c r="AN40" i="18"/>
  <c r="AM40" i="18"/>
  <c r="AL40" i="18"/>
  <c r="AK40" i="18"/>
  <c r="AJ40" i="18"/>
  <c r="AV39" i="18"/>
  <c r="AP39" i="18"/>
  <c r="AO39" i="18"/>
  <c r="AU39" i="18" s="1"/>
  <c r="AM39" i="18"/>
  <c r="AN39" i="18" s="1"/>
  <c r="AL39" i="18"/>
  <c r="AK39" i="18"/>
  <c r="AJ39" i="18"/>
  <c r="AV38" i="18"/>
  <c r="AU38" i="18"/>
  <c r="AP38" i="18"/>
  <c r="AO38" i="18"/>
  <c r="AN38" i="18"/>
  <c r="AM38" i="18"/>
  <c r="AL38" i="18"/>
  <c r="AK38" i="18"/>
  <c r="AJ38" i="18"/>
  <c r="AV36" i="18"/>
  <c r="AP36" i="18"/>
  <c r="AO36" i="18"/>
  <c r="AU36" i="18" s="1"/>
  <c r="AM36" i="18"/>
  <c r="AN36" i="18" s="1"/>
  <c r="AL36" i="18"/>
  <c r="AK36" i="18"/>
  <c r="AJ36" i="18"/>
  <c r="X28" i="34" l="1"/>
  <c r="J12" i="34"/>
  <c r="AH12" i="34"/>
  <c r="X30" i="34"/>
  <c r="AM44" i="34"/>
  <c r="AN44" i="34" s="1"/>
  <c r="K12" i="34"/>
  <c r="AI12" i="34"/>
  <c r="O12" i="34"/>
  <c r="Q12" i="34"/>
  <c r="AE23" i="34"/>
  <c r="N31" i="34"/>
  <c r="U14" i="34"/>
  <c r="W12" i="34"/>
  <c r="C25" i="34"/>
  <c r="AA25" i="34"/>
  <c r="Q26" i="34"/>
  <c r="Y30" i="34"/>
  <c r="O31" i="34"/>
  <c r="D25" i="34"/>
  <c r="AB25" i="34"/>
  <c r="R26" i="34"/>
  <c r="Z30" i="34"/>
  <c r="P31" i="34"/>
  <c r="Y12" i="34"/>
  <c r="E25" i="34"/>
  <c r="AC25" i="34"/>
  <c r="S26" i="34"/>
  <c r="C30" i="34"/>
  <c r="AA30" i="34"/>
  <c r="Q31" i="34"/>
  <c r="L12" i="34"/>
  <c r="AO4" i="34"/>
  <c r="AJ42" i="34"/>
  <c r="N12" i="34"/>
  <c r="U12" i="34"/>
  <c r="B25" i="34"/>
  <c r="Z25" i="34"/>
  <c r="P26" i="34"/>
  <c r="F27" i="34"/>
  <c r="AD27" i="34"/>
  <c r="T28" i="34"/>
  <c r="J29" i="34"/>
  <c r="AH29" i="34"/>
  <c r="T14" i="34"/>
  <c r="G27" i="34"/>
  <c r="AE27" i="34"/>
  <c r="U28" i="34"/>
  <c r="K29" i="34"/>
  <c r="AI29" i="34"/>
  <c r="X12" i="34"/>
  <c r="H27" i="34"/>
  <c r="AF27" i="34"/>
  <c r="L29" i="34"/>
  <c r="AO10" i="34"/>
  <c r="I27" i="34"/>
  <c r="AG27" i="34"/>
  <c r="W28" i="34"/>
  <c r="M29" i="34"/>
  <c r="J27" i="34"/>
  <c r="AH27" i="34"/>
  <c r="N29" i="34"/>
  <c r="G25" i="34"/>
  <c r="AE25" i="34"/>
  <c r="U26" i="34"/>
  <c r="K27" i="34"/>
  <c r="AI27" i="34"/>
  <c r="Y28" i="34"/>
  <c r="O29" i="34"/>
  <c r="AC30" i="34"/>
  <c r="D12" i="34"/>
  <c r="AB12" i="34"/>
  <c r="AQ8" i="34"/>
  <c r="AM39" i="34"/>
  <c r="AN39" i="34" s="1"/>
  <c r="I12" i="34"/>
  <c r="AG12" i="34"/>
  <c r="W41" i="35"/>
  <c r="W19" i="35"/>
  <c r="M14" i="34"/>
  <c r="D23" i="34"/>
  <c r="AB23" i="34"/>
  <c r="R24" i="34"/>
  <c r="H25" i="34"/>
  <c r="AF25" i="34"/>
  <c r="V26" i="34"/>
  <c r="L27" i="34"/>
  <c r="B28" i="34"/>
  <c r="Z28" i="34"/>
  <c r="P29" i="34"/>
  <c r="F30" i="34"/>
  <c r="AD30" i="34"/>
  <c r="T31" i="34"/>
  <c r="AK42" i="34"/>
  <c r="C42" i="34" s="1"/>
  <c r="C54" i="34" s="1"/>
  <c r="AQ10" i="34"/>
  <c r="X41" i="35"/>
  <c r="X19" i="35"/>
  <c r="N14" i="34"/>
  <c r="E23" i="34"/>
  <c r="AC23" i="34"/>
  <c r="S24" i="34"/>
  <c r="I25" i="34"/>
  <c r="AG25" i="34"/>
  <c r="W26" i="34"/>
  <c r="M27" i="34"/>
  <c r="C28" i="34"/>
  <c r="AA28" i="34"/>
  <c r="Q29" i="34"/>
  <c r="G30" i="34"/>
  <c r="AE30" i="34"/>
  <c r="U31" i="34"/>
  <c r="AJ40" i="34"/>
  <c r="AL42" i="34"/>
  <c r="AM11" i="34"/>
  <c r="AP11" i="34" s="1"/>
  <c r="Y19" i="35"/>
  <c r="Y41" i="35"/>
  <c r="O14" i="34"/>
  <c r="F23" i="34"/>
  <c r="AD23" i="34"/>
  <c r="J25" i="34"/>
  <c r="AH25" i="34"/>
  <c r="X26" i="34"/>
  <c r="N27" i="34"/>
  <c r="D28" i="34"/>
  <c r="AB28" i="34"/>
  <c r="R29" i="34"/>
  <c r="AK40" i="34"/>
  <c r="R40" i="34" s="1"/>
  <c r="R52" i="34" s="1"/>
  <c r="AM42" i="34"/>
  <c r="AN42" i="34" s="1"/>
  <c r="AO11" i="34"/>
  <c r="B19" i="35"/>
  <c r="B41" i="35"/>
  <c r="B42" i="35" s="1"/>
  <c r="Z19" i="35"/>
  <c r="Z41" i="35"/>
  <c r="P14" i="34"/>
  <c r="G23" i="34"/>
  <c r="K25" i="34"/>
  <c r="AI25" i="34"/>
  <c r="Y26" i="34"/>
  <c r="O27" i="34"/>
  <c r="E28" i="34"/>
  <c r="AC28" i="34"/>
  <c r="S29" i="34"/>
  <c r="AL40" i="34"/>
  <c r="AQ4" i="34"/>
  <c r="AQ11" i="34"/>
  <c r="M12" i="34"/>
  <c r="C19" i="35"/>
  <c r="C41" i="35"/>
  <c r="AA19" i="35"/>
  <c r="AA41" i="35"/>
  <c r="AA42" i="35" s="1"/>
  <c r="Q14" i="34"/>
  <c r="H23" i="34"/>
  <c r="AF23" i="34"/>
  <c r="V24" i="34"/>
  <c r="L25" i="34"/>
  <c r="B26" i="34"/>
  <c r="Z26" i="34"/>
  <c r="P27" i="34"/>
  <c r="F28" i="34"/>
  <c r="AD28" i="34"/>
  <c r="T29" i="34"/>
  <c r="J30" i="34"/>
  <c r="AH30" i="34"/>
  <c r="X31" i="34"/>
  <c r="AM40" i="34"/>
  <c r="AN40" i="34" s="1"/>
  <c r="AM5" i="34"/>
  <c r="D19" i="35"/>
  <c r="D41" i="35"/>
  <c r="AB41" i="35"/>
  <c r="AB19" i="35"/>
  <c r="R14" i="34"/>
  <c r="I23" i="34"/>
  <c r="AG23" i="34"/>
  <c r="W24" i="34"/>
  <c r="M25" i="34"/>
  <c r="C26" i="34"/>
  <c r="AA26" i="34"/>
  <c r="Q27" i="34"/>
  <c r="G28" i="34"/>
  <c r="AE28" i="34"/>
  <c r="U29" i="34"/>
  <c r="K30" i="34"/>
  <c r="AI30" i="34"/>
  <c r="Y31" i="34"/>
  <c r="AO5" i="34"/>
  <c r="E19" i="35"/>
  <c r="E41" i="35"/>
  <c r="E42" i="35" s="1"/>
  <c r="AC19" i="35"/>
  <c r="AC41" i="35"/>
  <c r="S14" i="34"/>
  <c r="J23" i="34"/>
  <c r="AH23" i="34"/>
  <c r="X24" i="34"/>
  <c r="N25" i="34"/>
  <c r="D26" i="34"/>
  <c r="AB26" i="34"/>
  <c r="R27" i="34"/>
  <c r="H28" i="34"/>
  <c r="AF28" i="34"/>
  <c r="V29" i="34"/>
  <c r="L30" i="34"/>
  <c r="B31" i="34"/>
  <c r="Z31" i="34"/>
  <c r="P12" i="34"/>
  <c r="F41" i="35"/>
  <c r="F19" i="35"/>
  <c r="AD19" i="35"/>
  <c r="AD41" i="35"/>
  <c r="AD42" i="35" s="1"/>
  <c r="K23" i="34"/>
  <c r="AI23" i="34"/>
  <c r="Y24" i="34"/>
  <c r="O25" i="34"/>
  <c r="E26" i="34"/>
  <c r="AC26" i="34"/>
  <c r="S27" i="34"/>
  <c r="I28" i="34"/>
  <c r="AG28" i="34"/>
  <c r="W29" i="34"/>
  <c r="M30" i="34"/>
  <c r="C31" i="34"/>
  <c r="AA31" i="34"/>
  <c r="AJ41" i="34"/>
  <c r="AQ5" i="34"/>
  <c r="AE41" i="35"/>
  <c r="AE42" i="35" s="1"/>
  <c r="AE19" i="35"/>
  <c r="L23" i="34"/>
  <c r="B24" i="34"/>
  <c r="Z24" i="34"/>
  <c r="P25" i="34"/>
  <c r="F26" i="34"/>
  <c r="AD26" i="34"/>
  <c r="T27" i="34"/>
  <c r="J28" i="34"/>
  <c r="AH28" i="34"/>
  <c r="X29" i="34"/>
  <c r="N30" i="34"/>
  <c r="D31" i="34"/>
  <c r="AB31" i="34"/>
  <c r="AJ37" i="34"/>
  <c r="W37" i="34" s="1"/>
  <c r="W49" i="34" s="1"/>
  <c r="AK41" i="34"/>
  <c r="V41" i="34" s="1"/>
  <c r="V53" i="34" s="1"/>
  <c r="AM6" i="34"/>
  <c r="AN6" i="34" s="1"/>
  <c r="G41" i="35"/>
  <c r="G19" i="35"/>
  <c r="R12" i="34"/>
  <c r="H19" i="35"/>
  <c r="H41" i="35"/>
  <c r="AF19" i="35"/>
  <c r="AF41" i="35"/>
  <c r="V14" i="34"/>
  <c r="M23" i="34"/>
  <c r="C24" i="34"/>
  <c r="AA24" i="34"/>
  <c r="Q25" i="34"/>
  <c r="G26" i="34"/>
  <c r="AE26" i="34"/>
  <c r="U27" i="34"/>
  <c r="K28" i="34"/>
  <c r="AI28" i="34"/>
  <c r="Y29" i="34"/>
  <c r="O30" i="34"/>
  <c r="E31" i="34"/>
  <c r="AC31" i="34"/>
  <c r="AK37" i="34"/>
  <c r="V37" i="34" s="1"/>
  <c r="V49" i="34" s="1"/>
  <c r="AL41" i="34"/>
  <c r="AO6" i="34"/>
  <c r="S12" i="34"/>
  <c r="I19" i="35"/>
  <c r="I41" i="35"/>
  <c r="AG41" i="35"/>
  <c r="AG19" i="35"/>
  <c r="W14" i="34"/>
  <c r="N23" i="34"/>
  <c r="D24" i="34"/>
  <c r="AB24" i="34"/>
  <c r="R25" i="34"/>
  <c r="H26" i="34"/>
  <c r="AF26" i="34"/>
  <c r="V27" i="34"/>
  <c r="L28" i="34"/>
  <c r="B29" i="34"/>
  <c r="Z29" i="34"/>
  <c r="P30" i="34"/>
  <c r="F31" i="34"/>
  <c r="AD31" i="34"/>
  <c r="AL37" i="34"/>
  <c r="AM41" i="34"/>
  <c r="AN41" i="34" s="1"/>
  <c r="AJ43" i="34"/>
  <c r="M43" i="34" s="1"/>
  <c r="M55" i="34" s="1"/>
  <c r="AQ6" i="34"/>
  <c r="T12" i="34"/>
  <c r="J19" i="35"/>
  <c r="J41" i="35"/>
  <c r="AH41" i="35"/>
  <c r="AH42" i="35" s="1"/>
  <c r="AH19" i="35"/>
  <c r="X14" i="34"/>
  <c r="O23" i="34"/>
  <c r="E24" i="34"/>
  <c r="AC24" i="34"/>
  <c r="S25" i="34"/>
  <c r="I26" i="34"/>
  <c r="AG26" i="34"/>
  <c r="W27" i="34"/>
  <c r="M28" i="34"/>
  <c r="C29" i="34"/>
  <c r="AA29" i="34"/>
  <c r="Q30" i="34"/>
  <c r="G31" i="34"/>
  <c r="AE31" i="34"/>
  <c r="AM37" i="34"/>
  <c r="AN37" i="34" s="1"/>
  <c r="AK43" i="34"/>
  <c r="AM7" i="34"/>
  <c r="AP7" i="34" s="1"/>
  <c r="K41" i="35"/>
  <c r="K19" i="35"/>
  <c r="Y14" i="34"/>
  <c r="P23" i="34"/>
  <c r="F24" i="34"/>
  <c r="AD24" i="34"/>
  <c r="T25" i="34"/>
  <c r="J26" i="34"/>
  <c r="AH26" i="34"/>
  <c r="X27" i="34"/>
  <c r="N28" i="34"/>
  <c r="D29" i="34"/>
  <c r="AB29" i="34"/>
  <c r="R30" i="34"/>
  <c r="H31" i="34"/>
  <c r="AF31" i="34"/>
  <c r="AJ38" i="34"/>
  <c r="L38" i="34" s="1"/>
  <c r="L50" i="34" s="1"/>
  <c r="AL43" i="34"/>
  <c r="AO7" i="34"/>
  <c r="V12" i="34"/>
  <c r="L41" i="35"/>
  <c r="L19" i="35"/>
  <c r="B14" i="34"/>
  <c r="Z14" i="34"/>
  <c r="Q23" i="34"/>
  <c r="G24" i="34"/>
  <c r="AE24" i="34"/>
  <c r="U25" i="34"/>
  <c r="K26" i="34"/>
  <c r="AI26" i="34"/>
  <c r="Y27" i="34"/>
  <c r="O28" i="34"/>
  <c r="E29" i="34"/>
  <c r="AC29" i="34"/>
  <c r="S30" i="34"/>
  <c r="I31" i="34"/>
  <c r="AG31" i="34"/>
  <c r="AK38" i="34"/>
  <c r="AM43" i="34"/>
  <c r="AN43" i="34" s="1"/>
  <c r="AQ7" i="34"/>
  <c r="M41" i="35"/>
  <c r="M19" i="35"/>
  <c r="C14" i="34"/>
  <c r="AA14" i="34"/>
  <c r="R23" i="34"/>
  <c r="H24" i="34"/>
  <c r="AF24" i="34"/>
  <c r="V25" i="34"/>
  <c r="L26" i="34"/>
  <c r="B27" i="34"/>
  <c r="Z27" i="34"/>
  <c r="P28" i="34"/>
  <c r="F29" i="34"/>
  <c r="AD29" i="34"/>
  <c r="T30" i="34"/>
  <c r="J31" i="34"/>
  <c r="AH31" i="34"/>
  <c r="AL38" i="34"/>
  <c r="AM8" i="34"/>
  <c r="N41" i="35"/>
  <c r="N19" i="35"/>
  <c r="D14" i="34"/>
  <c r="AB14" i="34"/>
  <c r="S23" i="34"/>
  <c r="I24" i="34"/>
  <c r="AG24" i="34"/>
  <c r="W25" i="34"/>
  <c r="M26" i="34"/>
  <c r="C27" i="34"/>
  <c r="AA27" i="34"/>
  <c r="Q28" i="34"/>
  <c r="G29" i="34"/>
  <c r="AE29" i="34"/>
  <c r="U30" i="34"/>
  <c r="K31" i="34"/>
  <c r="AI31" i="34"/>
  <c r="AM38" i="34"/>
  <c r="AN38" i="34" s="1"/>
  <c r="O41" i="35"/>
  <c r="O19" i="35"/>
  <c r="E14" i="34"/>
  <c r="AC14" i="34"/>
  <c r="T23" i="34"/>
  <c r="J24" i="34"/>
  <c r="AH24" i="34"/>
  <c r="X25" i="34"/>
  <c r="N26" i="34"/>
  <c r="D27" i="34"/>
  <c r="AB27" i="34"/>
  <c r="R28" i="34"/>
  <c r="H29" i="34"/>
  <c r="AF29" i="34"/>
  <c r="V30" i="34"/>
  <c r="L31" i="34"/>
  <c r="AJ44" i="34"/>
  <c r="B44" i="34" s="1"/>
  <c r="B56" i="34" s="1"/>
  <c r="AO8" i="34"/>
  <c r="P41" i="35"/>
  <c r="P19" i="35"/>
  <c r="F14" i="34"/>
  <c r="AD14" i="34"/>
  <c r="U23" i="34"/>
  <c r="K24" i="34"/>
  <c r="AI24" i="34"/>
  <c r="Y25" i="34"/>
  <c r="O26" i="34"/>
  <c r="E27" i="34"/>
  <c r="AC27" i="34"/>
  <c r="S28" i="34"/>
  <c r="I29" i="34"/>
  <c r="AG29" i="34"/>
  <c r="W30" i="34"/>
  <c r="M31" i="34"/>
  <c r="AK44" i="34"/>
  <c r="C12" i="34"/>
  <c r="AA12" i="34"/>
  <c r="Q41" i="35"/>
  <c r="Q19" i="35"/>
  <c r="G14" i="34"/>
  <c r="AE14" i="34"/>
  <c r="V23" i="34"/>
  <c r="L24" i="34"/>
  <c r="AJ36" i="34"/>
  <c r="AB36" i="34" s="1"/>
  <c r="AB48" i="34" s="1"/>
  <c r="AJ39" i="34"/>
  <c r="Q39" i="34" s="1"/>
  <c r="Q51" i="34" s="1"/>
  <c r="AL44" i="34"/>
  <c r="R41" i="35"/>
  <c r="R19" i="35"/>
  <c r="H14" i="34"/>
  <c r="AF14" i="34"/>
  <c r="W23" i="34"/>
  <c r="M24" i="34"/>
  <c r="AK36" i="34"/>
  <c r="AK39" i="34"/>
  <c r="AM9" i="34"/>
  <c r="AN9" i="34" s="1"/>
  <c r="E12" i="34"/>
  <c r="AC12" i="34"/>
  <c r="S19" i="35"/>
  <c r="S41" i="35"/>
  <c r="I14" i="34"/>
  <c r="AG14" i="34"/>
  <c r="X23" i="34"/>
  <c r="N24" i="34"/>
  <c r="B30" i="34"/>
  <c r="AL36" i="34"/>
  <c r="AL39" i="34"/>
  <c r="AM3" i="34"/>
  <c r="AN3" i="34" s="1"/>
  <c r="AO9" i="34"/>
  <c r="F12" i="34"/>
  <c r="AD12" i="34"/>
  <c r="T19" i="35"/>
  <c r="T41" i="35"/>
  <c r="J14" i="34"/>
  <c r="AH14" i="34"/>
  <c r="Y23" i="34"/>
  <c r="O24" i="34"/>
  <c r="AM36" i="34"/>
  <c r="AN36" i="34" s="1"/>
  <c r="AO3" i="34"/>
  <c r="AQ9" i="34"/>
  <c r="G12" i="34"/>
  <c r="AE12" i="34"/>
  <c r="U41" i="35"/>
  <c r="U19" i="35"/>
  <c r="K14" i="34"/>
  <c r="B23" i="34"/>
  <c r="Z23" i="34"/>
  <c r="P24" i="34"/>
  <c r="AQ3" i="34"/>
  <c r="AM10" i="34"/>
  <c r="AP10" i="34" s="1"/>
  <c r="H12" i="34"/>
  <c r="AF12" i="34"/>
  <c r="V41" i="35"/>
  <c r="V19" i="35"/>
  <c r="L14" i="34"/>
  <c r="C23" i="34"/>
  <c r="AA23" i="34"/>
  <c r="Q24" i="34"/>
  <c r="AM4" i="34"/>
  <c r="AP4" i="34" s="1"/>
  <c r="E57" i="34"/>
  <c r="F57" i="34" s="1"/>
  <c r="G57" i="34" s="1"/>
  <c r="H57" i="34" s="1"/>
  <c r="I57" i="34" s="1"/>
  <c r="J57" i="34" s="1"/>
  <c r="K57" i="34" s="1"/>
  <c r="L57" i="34" s="1"/>
  <c r="M57" i="34" s="1"/>
  <c r="N57" i="34" s="1"/>
  <c r="O57" i="34" s="1"/>
  <c r="P57" i="34" s="1"/>
  <c r="Q57" i="34" s="1"/>
  <c r="R57" i="34" s="1"/>
  <c r="S57" i="34" s="1"/>
  <c r="T57" i="34" s="1"/>
  <c r="U57" i="34" s="1"/>
  <c r="V57" i="34" s="1"/>
  <c r="AK3" i="34"/>
  <c r="AN11" i="34"/>
  <c r="W42" i="34"/>
  <c r="W54" i="34" s="1"/>
  <c r="AE40" i="34"/>
  <c r="AE52" i="34" s="1"/>
  <c r="Y42" i="34"/>
  <c r="Y54" i="34" s="1"/>
  <c r="H40" i="34"/>
  <c r="H52" i="34" s="1"/>
  <c r="AF40" i="34"/>
  <c r="AF52" i="34" s="1"/>
  <c r="B42" i="34"/>
  <c r="B54" i="34" s="1"/>
  <c r="Z42" i="34"/>
  <c r="Z54" i="34" s="1"/>
  <c r="O38" i="34"/>
  <c r="O50" i="34" s="1"/>
  <c r="D42" i="34"/>
  <c r="D54" i="34" s="1"/>
  <c r="AB42" i="34"/>
  <c r="AB54" i="34" s="1"/>
  <c r="Q38" i="34"/>
  <c r="Q50" i="34" s="1"/>
  <c r="K40" i="34"/>
  <c r="K52" i="34" s="1"/>
  <c r="AI40" i="34"/>
  <c r="AI52" i="34" s="1"/>
  <c r="M40" i="34"/>
  <c r="M52" i="34" s="1"/>
  <c r="G42" i="34"/>
  <c r="G54" i="34" s="1"/>
  <c r="AE42" i="34"/>
  <c r="AE54" i="34" s="1"/>
  <c r="T38" i="34"/>
  <c r="T50" i="34" s="1"/>
  <c r="H42" i="34"/>
  <c r="H54" i="34" s="1"/>
  <c r="AF42" i="34"/>
  <c r="AF54" i="34" s="1"/>
  <c r="U38" i="34"/>
  <c r="U50" i="34" s="1"/>
  <c r="O40" i="34"/>
  <c r="O52" i="34" s="1"/>
  <c r="I42" i="34"/>
  <c r="I54" i="34" s="1"/>
  <c r="AG42" i="34"/>
  <c r="AG54" i="34" s="1"/>
  <c r="J42" i="34"/>
  <c r="J54" i="34" s="1"/>
  <c r="W38" i="34"/>
  <c r="W50" i="34" s="1"/>
  <c r="K42" i="34"/>
  <c r="K54" i="34" s="1"/>
  <c r="AI42" i="34"/>
  <c r="AI54" i="34" s="1"/>
  <c r="X38" i="34"/>
  <c r="X50" i="34" s="1"/>
  <c r="Y38" i="34"/>
  <c r="Y50" i="34" s="1"/>
  <c r="S40" i="34"/>
  <c r="S52" i="34" s="1"/>
  <c r="D41" i="34"/>
  <c r="D53" i="34" s="1"/>
  <c r="G44" i="34"/>
  <c r="G56" i="34" s="1"/>
  <c r="AB38" i="34"/>
  <c r="AB50" i="34" s="1"/>
  <c r="V40" i="34"/>
  <c r="V52" i="34" s="1"/>
  <c r="E38" i="34"/>
  <c r="E50" i="34" s="1"/>
  <c r="Q42" i="34"/>
  <c r="Q54" i="34" s="1"/>
  <c r="S42" i="34"/>
  <c r="S54" i="34" s="1"/>
  <c r="H38" i="34"/>
  <c r="H50" i="34" s="1"/>
  <c r="T42" i="34"/>
  <c r="T54" i="34" s="1"/>
  <c r="C40" i="34"/>
  <c r="C52" i="34" s="1"/>
  <c r="AA40" i="34"/>
  <c r="AA52" i="34" s="1"/>
  <c r="U42" i="34"/>
  <c r="U54" i="34" s="1"/>
  <c r="E57" i="27"/>
  <c r="F57" i="27" s="1"/>
  <c r="G57" i="27" s="1"/>
  <c r="H57" i="27" s="1"/>
  <c r="I57" i="27" s="1"/>
  <c r="J57" i="27" s="1"/>
  <c r="K57" i="27" s="1"/>
  <c r="L57" i="27" s="1"/>
  <c r="M57" i="27" s="1"/>
  <c r="N57" i="27" s="1"/>
  <c r="O57" i="27" s="1"/>
  <c r="P57" i="27" s="1"/>
  <c r="Q57" i="27" s="1"/>
  <c r="R57" i="27" s="1"/>
  <c r="S57" i="27" s="1"/>
  <c r="T57" i="27" s="1"/>
  <c r="U57" i="27" s="1"/>
  <c r="V57" i="27" s="1"/>
  <c r="AK5" i="27"/>
  <c r="AK7" i="27"/>
  <c r="AK4" i="27"/>
  <c r="AK6" i="27"/>
  <c r="AK8" i="27"/>
  <c r="AK9" i="27"/>
  <c r="Q43" i="27"/>
  <c r="Q55" i="27" s="1"/>
  <c r="H36" i="27"/>
  <c r="H48" i="27" s="1"/>
  <c r="AF36" i="27"/>
  <c r="AF48" i="27" s="1"/>
  <c r="H37" i="27"/>
  <c r="H49" i="27" s="1"/>
  <c r="AF37" i="27"/>
  <c r="AF49" i="27" s="1"/>
  <c r="H38" i="27"/>
  <c r="H50" i="27" s="1"/>
  <c r="AF38" i="27"/>
  <c r="AF50" i="27" s="1"/>
  <c r="H39" i="27"/>
  <c r="H51" i="27" s="1"/>
  <c r="AF39" i="27"/>
  <c r="AF51" i="27" s="1"/>
  <c r="H40" i="27"/>
  <c r="H52" i="27" s="1"/>
  <c r="AF40" i="27"/>
  <c r="AF52" i="27" s="1"/>
  <c r="H41" i="27"/>
  <c r="H53" i="27" s="1"/>
  <c r="AF41" i="27"/>
  <c r="AF53" i="27" s="1"/>
  <c r="H42" i="27"/>
  <c r="H54" i="27" s="1"/>
  <c r="AF42" i="27"/>
  <c r="AF54" i="27" s="1"/>
  <c r="H43" i="27"/>
  <c r="H55" i="27" s="1"/>
  <c r="AF43" i="27"/>
  <c r="AF55" i="27" s="1"/>
  <c r="H44" i="27"/>
  <c r="H56" i="27" s="1"/>
  <c r="AF44" i="27"/>
  <c r="AF56" i="27" s="1"/>
  <c r="M42" i="27"/>
  <c r="M54" i="27" s="1"/>
  <c r="Q42" i="27"/>
  <c r="Q54" i="27" s="1"/>
  <c r="R36" i="27"/>
  <c r="R48" i="27" s="1"/>
  <c r="I36" i="27"/>
  <c r="I48" i="27" s="1"/>
  <c r="AG36" i="27"/>
  <c r="AG48" i="27" s="1"/>
  <c r="I37" i="27"/>
  <c r="I49" i="27" s="1"/>
  <c r="AG37" i="27"/>
  <c r="AG49" i="27" s="1"/>
  <c r="I38" i="27"/>
  <c r="I50" i="27" s="1"/>
  <c r="AG38" i="27"/>
  <c r="AG50" i="27" s="1"/>
  <c r="I39" i="27"/>
  <c r="I51" i="27" s="1"/>
  <c r="AG39" i="27"/>
  <c r="AG51" i="27" s="1"/>
  <c r="I40" i="27"/>
  <c r="I52" i="27" s="1"/>
  <c r="AG40" i="27"/>
  <c r="AG52" i="27" s="1"/>
  <c r="I41" i="27"/>
  <c r="I53" i="27" s="1"/>
  <c r="AG41" i="27"/>
  <c r="AG53" i="27" s="1"/>
  <c r="I42" i="27"/>
  <c r="I54" i="27" s="1"/>
  <c r="AG42" i="27"/>
  <c r="AG54" i="27" s="1"/>
  <c r="I43" i="27"/>
  <c r="I55" i="27" s="1"/>
  <c r="AG43" i="27"/>
  <c r="AG55" i="27" s="1"/>
  <c r="I44" i="27"/>
  <c r="I56" i="27" s="1"/>
  <c r="AG44" i="27"/>
  <c r="AG56" i="27" s="1"/>
  <c r="J36" i="27"/>
  <c r="J48" i="27" s="1"/>
  <c r="AH36" i="27"/>
  <c r="AH48" i="27" s="1"/>
  <c r="J37" i="27"/>
  <c r="J49" i="27" s="1"/>
  <c r="AH37" i="27"/>
  <c r="AH49" i="27" s="1"/>
  <c r="J38" i="27"/>
  <c r="J50" i="27" s="1"/>
  <c r="AH38" i="27"/>
  <c r="AH50" i="27" s="1"/>
  <c r="J39" i="27"/>
  <c r="J51" i="27" s="1"/>
  <c r="AH39" i="27"/>
  <c r="AH51" i="27" s="1"/>
  <c r="J40" i="27"/>
  <c r="J52" i="27" s="1"/>
  <c r="AH40" i="27"/>
  <c r="AH52" i="27" s="1"/>
  <c r="J41" i="27"/>
  <c r="J53" i="27" s="1"/>
  <c r="AH41" i="27"/>
  <c r="AH53" i="27" s="1"/>
  <c r="J42" i="27"/>
  <c r="J54" i="27" s="1"/>
  <c r="AH42" i="27"/>
  <c r="AH54" i="27" s="1"/>
  <c r="J43" i="27"/>
  <c r="J55" i="27" s="1"/>
  <c r="AH43" i="27"/>
  <c r="AH55" i="27" s="1"/>
  <c r="J44" i="27"/>
  <c r="J56" i="27" s="1"/>
  <c r="AH44" i="27"/>
  <c r="AH56" i="27" s="1"/>
  <c r="Q40" i="27"/>
  <c r="Q52" i="27" s="1"/>
  <c r="R43" i="27"/>
  <c r="R55" i="27" s="1"/>
  <c r="K36" i="27"/>
  <c r="K48" i="27" s="1"/>
  <c r="AI36" i="27"/>
  <c r="AI48" i="27" s="1"/>
  <c r="K37" i="27"/>
  <c r="K49" i="27" s="1"/>
  <c r="AI37" i="27"/>
  <c r="AI49" i="27" s="1"/>
  <c r="K38" i="27"/>
  <c r="K50" i="27" s="1"/>
  <c r="AI38" i="27"/>
  <c r="AI50" i="27" s="1"/>
  <c r="K39" i="27"/>
  <c r="K51" i="27" s="1"/>
  <c r="AI39" i="27"/>
  <c r="AI51" i="27" s="1"/>
  <c r="K40" i="27"/>
  <c r="K52" i="27" s="1"/>
  <c r="AI40" i="27"/>
  <c r="AI52" i="27" s="1"/>
  <c r="K41" i="27"/>
  <c r="K53" i="27" s="1"/>
  <c r="AI41" i="27"/>
  <c r="AI53" i="27" s="1"/>
  <c r="K42" i="27"/>
  <c r="K54" i="27" s="1"/>
  <c r="AI42" i="27"/>
  <c r="AI54" i="27" s="1"/>
  <c r="K43" i="27"/>
  <c r="K55" i="27" s="1"/>
  <c r="AI43" i="27"/>
  <c r="AI55" i="27" s="1"/>
  <c r="K44" i="27"/>
  <c r="K56" i="27" s="1"/>
  <c r="AI44" i="27"/>
  <c r="AI56" i="27" s="1"/>
  <c r="M43" i="27"/>
  <c r="M55" i="27" s="1"/>
  <c r="M44" i="27"/>
  <c r="M56" i="27" s="1"/>
  <c r="L38" i="27"/>
  <c r="L50" i="27" s="1"/>
  <c r="L42" i="27"/>
  <c r="L54" i="27" s="1"/>
  <c r="N43" i="27"/>
  <c r="N55" i="27" s="1"/>
  <c r="N44" i="27"/>
  <c r="N56" i="27" s="1"/>
  <c r="M41" i="27"/>
  <c r="M53" i="27" s="1"/>
  <c r="N36" i="27"/>
  <c r="N48" i="27" s="1"/>
  <c r="N38" i="27"/>
  <c r="N50" i="27" s="1"/>
  <c r="O42" i="27"/>
  <c r="O54" i="27" s="1"/>
  <c r="O44" i="27"/>
  <c r="O56" i="27" s="1"/>
  <c r="L36" i="27"/>
  <c r="L48" i="27" s="1"/>
  <c r="L39" i="27"/>
  <c r="L51" i="27" s="1"/>
  <c r="O43" i="27"/>
  <c r="O55" i="27" s="1"/>
  <c r="P36" i="27"/>
  <c r="P48" i="27" s="1"/>
  <c r="P37" i="27"/>
  <c r="P49" i="27" s="1"/>
  <c r="P38" i="27"/>
  <c r="P50" i="27" s="1"/>
  <c r="P39" i="27"/>
  <c r="P51" i="27" s="1"/>
  <c r="P40" i="27"/>
  <c r="P52" i="27" s="1"/>
  <c r="P41" i="27"/>
  <c r="P53" i="27" s="1"/>
  <c r="P42" i="27"/>
  <c r="P54" i="27" s="1"/>
  <c r="P43" i="27"/>
  <c r="P55" i="27" s="1"/>
  <c r="P44" i="27"/>
  <c r="P56" i="27" s="1"/>
  <c r="M38" i="27"/>
  <c r="M50" i="27" s="1"/>
  <c r="Q44" i="27"/>
  <c r="Q56" i="27" s="1"/>
  <c r="N41" i="27"/>
  <c r="N53" i="27" s="1"/>
  <c r="R44" i="27"/>
  <c r="R56" i="27" s="1"/>
  <c r="S36" i="27"/>
  <c r="S48" i="27" s="1"/>
  <c r="S37" i="27"/>
  <c r="S49" i="27" s="1"/>
  <c r="S38" i="27"/>
  <c r="S50" i="27" s="1"/>
  <c r="S39" i="27"/>
  <c r="S51" i="27" s="1"/>
  <c r="S40" i="27"/>
  <c r="S52" i="27" s="1"/>
  <c r="S41" i="27"/>
  <c r="S53" i="27" s="1"/>
  <c r="S42" i="27"/>
  <c r="S54" i="27" s="1"/>
  <c r="S43" i="27"/>
  <c r="S55" i="27" s="1"/>
  <c r="S44" i="27"/>
  <c r="S56" i="27" s="1"/>
  <c r="O37" i="27"/>
  <c r="O49" i="27" s="1"/>
  <c r="O38" i="27"/>
  <c r="O50" i="27" s="1"/>
  <c r="T37" i="27"/>
  <c r="T49" i="27" s="1"/>
  <c r="T40" i="27"/>
  <c r="T52" i="27" s="1"/>
  <c r="T43" i="27"/>
  <c r="T55" i="27" s="1"/>
  <c r="T44" i="27"/>
  <c r="T56" i="27" s="1"/>
  <c r="U36" i="27"/>
  <c r="U48" i="27" s="1"/>
  <c r="U37" i="27"/>
  <c r="U49" i="27" s="1"/>
  <c r="U38" i="27"/>
  <c r="U50" i="27" s="1"/>
  <c r="U39" i="27"/>
  <c r="U51" i="27" s="1"/>
  <c r="U40" i="27"/>
  <c r="U52" i="27" s="1"/>
  <c r="U41" i="27"/>
  <c r="U53" i="27" s="1"/>
  <c r="U42" i="27"/>
  <c r="U54" i="27" s="1"/>
  <c r="U43" i="27"/>
  <c r="U55" i="27" s="1"/>
  <c r="U44" i="27"/>
  <c r="U56" i="27" s="1"/>
  <c r="V37" i="27"/>
  <c r="V49" i="27" s="1"/>
  <c r="V38" i="27"/>
  <c r="V50" i="27" s="1"/>
  <c r="V39" i="27"/>
  <c r="V51" i="27" s="1"/>
  <c r="V40" i="27"/>
  <c r="V52" i="27" s="1"/>
  <c r="V41" i="27"/>
  <c r="V53" i="27" s="1"/>
  <c r="V42" i="27"/>
  <c r="V54" i="27" s="1"/>
  <c r="V43" i="27"/>
  <c r="V55" i="27" s="1"/>
  <c r="V44" i="27"/>
  <c r="V56" i="27" s="1"/>
  <c r="L40" i="27"/>
  <c r="L52" i="27" s="1"/>
  <c r="R37" i="27"/>
  <c r="R49" i="27" s="1"/>
  <c r="W36" i="27"/>
  <c r="W48" i="27" s="1"/>
  <c r="W37" i="27"/>
  <c r="W49" i="27" s="1"/>
  <c r="AU37" i="27"/>
  <c r="W38" i="27"/>
  <c r="W50" i="27" s="1"/>
  <c r="W39" i="27"/>
  <c r="W51" i="27" s="1"/>
  <c r="W40" i="27"/>
  <c r="W52" i="27" s="1"/>
  <c r="W41" i="27"/>
  <c r="W53" i="27" s="1"/>
  <c r="W42" i="27"/>
  <c r="W54" i="27" s="1"/>
  <c r="W43" i="27"/>
  <c r="W55" i="27" s="1"/>
  <c r="W44" i="27"/>
  <c r="W56" i="27" s="1"/>
  <c r="O36" i="27"/>
  <c r="O48" i="27" s="1"/>
  <c r="T36" i="27"/>
  <c r="T48" i="27" s="1"/>
  <c r="V36" i="27"/>
  <c r="V48" i="27" s="1"/>
  <c r="X36" i="27"/>
  <c r="X48" i="27" s="1"/>
  <c r="X37" i="27"/>
  <c r="X49" i="27" s="1"/>
  <c r="X38" i="27"/>
  <c r="X50" i="27" s="1"/>
  <c r="X39" i="27"/>
  <c r="X51" i="27" s="1"/>
  <c r="X40" i="27"/>
  <c r="X52" i="27" s="1"/>
  <c r="X41" i="27"/>
  <c r="X53" i="27" s="1"/>
  <c r="X42" i="27"/>
  <c r="X54" i="27" s="1"/>
  <c r="X43" i="27"/>
  <c r="X55" i="27" s="1"/>
  <c r="X44" i="27"/>
  <c r="X56" i="27" s="1"/>
  <c r="O39" i="27"/>
  <c r="O51" i="27" s="1"/>
  <c r="O40" i="27"/>
  <c r="O52" i="27" s="1"/>
  <c r="Q37" i="27"/>
  <c r="Q49" i="27" s="1"/>
  <c r="Q38" i="27"/>
  <c r="Q50" i="27" s="1"/>
  <c r="Q41" i="27"/>
  <c r="Q53" i="27" s="1"/>
  <c r="R41" i="27"/>
  <c r="R53" i="27" s="1"/>
  <c r="Y36" i="27"/>
  <c r="Y48" i="27" s="1"/>
  <c r="Y37" i="27"/>
  <c r="Y49" i="27" s="1"/>
  <c r="Y38" i="27"/>
  <c r="Y50" i="27" s="1"/>
  <c r="Y39" i="27"/>
  <c r="Y51" i="27" s="1"/>
  <c r="Y40" i="27"/>
  <c r="Y52" i="27" s="1"/>
  <c r="Y41" i="27"/>
  <c r="Y53" i="27" s="1"/>
  <c r="Y42" i="27"/>
  <c r="Y54" i="27" s="1"/>
  <c r="Y43" i="27"/>
  <c r="Y55" i="27" s="1"/>
  <c r="Y44" i="27"/>
  <c r="Y56" i="27" s="1"/>
  <c r="O41" i="27"/>
  <c r="O53" i="27" s="1"/>
  <c r="Q36" i="27"/>
  <c r="Q48" i="27" s="1"/>
  <c r="Q39" i="27"/>
  <c r="Q51" i="27" s="1"/>
  <c r="R39" i="27"/>
  <c r="R51" i="27" s="1"/>
  <c r="B36" i="27"/>
  <c r="Z36" i="27"/>
  <c r="Z48" i="27" s="1"/>
  <c r="B37" i="27"/>
  <c r="Z37" i="27"/>
  <c r="Z49" i="27" s="1"/>
  <c r="Z38" i="27"/>
  <c r="Z50" i="27" s="1"/>
  <c r="B39" i="27"/>
  <c r="Z39" i="27"/>
  <c r="Z51" i="27" s="1"/>
  <c r="B40" i="27"/>
  <c r="Z40" i="27"/>
  <c r="Z52" i="27" s="1"/>
  <c r="B41" i="27"/>
  <c r="Z41" i="27"/>
  <c r="Z53" i="27" s="1"/>
  <c r="B42" i="27"/>
  <c r="Z42" i="27"/>
  <c r="Z54" i="27" s="1"/>
  <c r="B43" i="27"/>
  <c r="Z43" i="27"/>
  <c r="Z55" i="27" s="1"/>
  <c r="B44" i="27"/>
  <c r="Z44" i="27"/>
  <c r="Z56" i="27" s="1"/>
  <c r="M37" i="27"/>
  <c r="M49" i="27" s="1"/>
  <c r="M39" i="27"/>
  <c r="M51" i="27" s="1"/>
  <c r="R42" i="27"/>
  <c r="R54" i="27" s="1"/>
  <c r="T38" i="27"/>
  <c r="T50" i="27" s="1"/>
  <c r="T39" i="27"/>
  <c r="T51" i="27" s="1"/>
  <c r="T42" i="27"/>
  <c r="T54" i="27" s="1"/>
  <c r="B38" i="27"/>
  <c r="C36" i="27"/>
  <c r="C48" i="27" s="1"/>
  <c r="AA36" i="27"/>
  <c r="AA48" i="27" s="1"/>
  <c r="C37" i="27"/>
  <c r="C49" i="27" s="1"/>
  <c r="AA37" i="27"/>
  <c r="AA49" i="27" s="1"/>
  <c r="C38" i="27"/>
  <c r="C50" i="27" s="1"/>
  <c r="AA38" i="27"/>
  <c r="AA50" i="27" s="1"/>
  <c r="C39" i="27"/>
  <c r="C51" i="27" s="1"/>
  <c r="AA39" i="27"/>
  <c r="AA51" i="27" s="1"/>
  <c r="C40" i="27"/>
  <c r="C52" i="27" s="1"/>
  <c r="AA40" i="27"/>
  <c r="AA52" i="27" s="1"/>
  <c r="C41" i="27"/>
  <c r="C53" i="27" s="1"/>
  <c r="AA41" i="27"/>
  <c r="AA53" i="27" s="1"/>
  <c r="C42" i="27"/>
  <c r="C54" i="27" s="1"/>
  <c r="AA42" i="27"/>
  <c r="AA54" i="27" s="1"/>
  <c r="C43" i="27"/>
  <c r="C55" i="27" s="1"/>
  <c r="AA43" i="27"/>
  <c r="AA55" i="27" s="1"/>
  <c r="C44" i="27"/>
  <c r="C56" i="27" s="1"/>
  <c r="AA44" i="27"/>
  <c r="AA56" i="27" s="1"/>
  <c r="L37" i="27"/>
  <c r="L49" i="27" s="1"/>
  <c r="L41" i="27"/>
  <c r="L53" i="27" s="1"/>
  <c r="M36" i="27"/>
  <c r="M48" i="27" s="1"/>
  <c r="M40" i="27"/>
  <c r="M52" i="27" s="1"/>
  <c r="N37" i="27"/>
  <c r="N49" i="27" s="1"/>
  <c r="N40" i="27"/>
  <c r="N52" i="27" s="1"/>
  <c r="T41" i="27"/>
  <c r="T53" i="27" s="1"/>
  <c r="D36" i="27"/>
  <c r="D48" i="27" s="1"/>
  <c r="AB36" i="27"/>
  <c r="AB48" i="27" s="1"/>
  <c r="D37" i="27"/>
  <c r="D49" i="27" s="1"/>
  <c r="AB37" i="27"/>
  <c r="AB49" i="27" s="1"/>
  <c r="D38" i="27"/>
  <c r="D50" i="27" s="1"/>
  <c r="AB38" i="27"/>
  <c r="AB50" i="27" s="1"/>
  <c r="D39" i="27"/>
  <c r="D51" i="27" s="1"/>
  <c r="AB39" i="27"/>
  <c r="AB51" i="27" s="1"/>
  <c r="D40" i="27"/>
  <c r="D52" i="27" s="1"/>
  <c r="AB40" i="27"/>
  <c r="AB52" i="27" s="1"/>
  <c r="D41" i="27"/>
  <c r="D53" i="27" s="1"/>
  <c r="AB41" i="27"/>
  <c r="AB53" i="27" s="1"/>
  <c r="D42" i="27"/>
  <c r="D54" i="27" s="1"/>
  <c r="AB42" i="27"/>
  <c r="AB54" i="27" s="1"/>
  <c r="D43" i="27"/>
  <c r="D55" i="27" s="1"/>
  <c r="AB43" i="27"/>
  <c r="AB55" i="27" s="1"/>
  <c r="D44" i="27"/>
  <c r="D56" i="27" s="1"/>
  <c r="AB44" i="27"/>
  <c r="AB56" i="27" s="1"/>
  <c r="R40" i="27"/>
  <c r="R52" i="27" s="1"/>
  <c r="E36" i="27"/>
  <c r="E48" i="27" s="1"/>
  <c r="AC36" i="27"/>
  <c r="AC48" i="27" s="1"/>
  <c r="E37" i="27"/>
  <c r="E49" i="27" s="1"/>
  <c r="AC37" i="27"/>
  <c r="AC49" i="27" s="1"/>
  <c r="E38" i="27"/>
  <c r="E50" i="27" s="1"/>
  <c r="AC38" i="27"/>
  <c r="AC50" i="27" s="1"/>
  <c r="E39" i="27"/>
  <c r="E51" i="27" s="1"/>
  <c r="AC39" i="27"/>
  <c r="AC51" i="27" s="1"/>
  <c r="E40" i="27"/>
  <c r="E52" i="27" s="1"/>
  <c r="AC40" i="27"/>
  <c r="AC52" i="27" s="1"/>
  <c r="E41" i="27"/>
  <c r="E53" i="27" s="1"/>
  <c r="AC41" i="27"/>
  <c r="AC53" i="27" s="1"/>
  <c r="E42" i="27"/>
  <c r="E54" i="27" s="1"/>
  <c r="AC42" i="27"/>
  <c r="AC54" i="27" s="1"/>
  <c r="E43" i="27"/>
  <c r="E55" i="27" s="1"/>
  <c r="AC43" i="27"/>
  <c r="AC55" i="27" s="1"/>
  <c r="E44" i="27"/>
  <c r="E56" i="27" s="1"/>
  <c r="AC44" i="27"/>
  <c r="AC56" i="27" s="1"/>
  <c r="R38" i="27"/>
  <c r="R50" i="27" s="1"/>
  <c r="F36" i="27"/>
  <c r="F48" i="27" s="1"/>
  <c r="AD36" i="27"/>
  <c r="AD48" i="27" s="1"/>
  <c r="F37" i="27"/>
  <c r="F49" i="27" s="1"/>
  <c r="AD37" i="27"/>
  <c r="AD49" i="27" s="1"/>
  <c r="F38" i="27"/>
  <c r="F50" i="27" s="1"/>
  <c r="AD38" i="27"/>
  <c r="AD50" i="27" s="1"/>
  <c r="F39" i="27"/>
  <c r="F51" i="27" s="1"/>
  <c r="AD39" i="27"/>
  <c r="AD51" i="27" s="1"/>
  <c r="F40" i="27"/>
  <c r="F52" i="27" s="1"/>
  <c r="AD40" i="27"/>
  <c r="AD52" i="27" s="1"/>
  <c r="F41" i="27"/>
  <c r="F53" i="27" s="1"/>
  <c r="AD41" i="27"/>
  <c r="AD53" i="27" s="1"/>
  <c r="F42" i="27"/>
  <c r="F54" i="27" s="1"/>
  <c r="AD42" i="27"/>
  <c r="AD54" i="27" s="1"/>
  <c r="F43" i="27"/>
  <c r="F55" i="27" s="1"/>
  <c r="AD43" i="27"/>
  <c r="AD55" i="27" s="1"/>
  <c r="F44" i="27"/>
  <c r="F56" i="27" s="1"/>
  <c r="AD44" i="27"/>
  <c r="AD56" i="27" s="1"/>
  <c r="N39" i="27"/>
  <c r="N51" i="27" s="1"/>
  <c r="N42" i="27"/>
  <c r="N54" i="27" s="1"/>
  <c r="G36" i="27"/>
  <c r="G48" i="27" s="1"/>
  <c r="G37" i="27"/>
  <c r="G49" i="27" s="1"/>
  <c r="G38" i="27"/>
  <c r="G50" i="27" s="1"/>
  <c r="G39" i="27"/>
  <c r="G51" i="27" s="1"/>
  <c r="G40" i="27"/>
  <c r="G52" i="27" s="1"/>
  <c r="G41" i="27"/>
  <c r="G53" i="27" s="1"/>
  <c r="G42" i="27"/>
  <c r="G54" i="27" s="1"/>
  <c r="G43" i="27"/>
  <c r="G55" i="27" s="1"/>
  <c r="G44" i="27"/>
  <c r="G56" i="27" s="1"/>
  <c r="AN4" i="27"/>
  <c r="AN8" i="27"/>
  <c r="AN6" i="27"/>
  <c r="AN10" i="27"/>
  <c r="AU42" i="18"/>
  <c r="Y42" i="35" l="1"/>
  <c r="AD44" i="34"/>
  <c r="AD56" i="34" s="1"/>
  <c r="AH40" i="34"/>
  <c r="AH52" i="34" s="1"/>
  <c r="P37" i="34"/>
  <c r="P49" i="34" s="1"/>
  <c r="S42" i="35"/>
  <c r="AF38" i="34"/>
  <c r="AF50" i="34" s="1"/>
  <c r="V38" i="34"/>
  <c r="V50" i="34" s="1"/>
  <c r="M38" i="34"/>
  <c r="M50" i="34" s="1"/>
  <c r="V42" i="35"/>
  <c r="M44" i="34"/>
  <c r="M56" i="34" s="1"/>
  <c r="X41" i="34"/>
  <c r="X53" i="34" s="1"/>
  <c r="V43" i="34"/>
  <c r="V55" i="34" s="1"/>
  <c r="D43" i="34"/>
  <c r="D55" i="34" s="1"/>
  <c r="W40" i="34"/>
  <c r="W52" i="34" s="1"/>
  <c r="AC38" i="34"/>
  <c r="AC50" i="34" s="1"/>
  <c r="N40" i="34"/>
  <c r="N52" i="34" s="1"/>
  <c r="Y41" i="34"/>
  <c r="Y53" i="34" s="1"/>
  <c r="AE37" i="34"/>
  <c r="AE49" i="34" s="1"/>
  <c r="AB43" i="34"/>
  <c r="AB55" i="34" s="1"/>
  <c r="Z44" i="34"/>
  <c r="Z56" i="34" s="1"/>
  <c r="U44" i="34"/>
  <c r="U56" i="34" s="1"/>
  <c r="K43" i="34"/>
  <c r="K55" i="34" s="1"/>
  <c r="R42" i="35"/>
  <c r="AB42" i="35"/>
  <c r="B43" i="34"/>
  <c r="B55" i="34" s="1"/>
  <c r="F44" i="34"/>
  <c r="F56" i="34" s="1"/>
  <c r="X42" i="35"/>
  <c r="AC44" i="34"/>
  <c r="AC56" i="34" s="1"/>
  <c r="Q41" i="34"/>
  <c r="Q53" i="34" s="1"/>
  <c r="K37" i="34"/>
  <c r="K49" i="34" s="1"/>
  <c r="T43" i="34"/>
  <c r="T55" i="34" s="1"/>
  <c r="T37" i="34"/>
  <c r="T49" i="34" s="1"/>
  <c r="Z41" i="34"/>
  <c r="Z53" i="34" s="1"/>
  <c r="L42" i="35"/>
  <c r="AH44" i="34"/>
  <c r="AH56" i="34" s="1"/>
  <c r="Q40" i="34"/>
  <c r="Q52" i="34" s="1"/>
  <c r="U41" i="34"/>
  <c r="U53" i="34" s="1"/>
  <c r="G40" i="34"/>
  <c r="G52" i="34" s="1"/>
  <c r="J44" i="34"/>
  <c r="J56" i="34" s="1"/>
  <c r="T41" i="34"/>
  <c r="T53" i="34" s="1"/>
  <c r="AB37" i="34"/>
  <c r="AB49" i="34" s="1"/>
  <c r="H41" i="34"/>
  <c r="H53" i="34" s="1"/>
  <c r="K42" i="35"/>
  <c r="F43" i="34"/>
  <c r="F55" i="34" s="1"/>
  <c r="V39" i="34"/>
  <c r="V51" i="34" s="1"/>
  <c r="AG44" i="34"/>
  <c r="AG56" i="34" s="1"/>
  <c r="F42" i="35"/>
  <c r="Z42" i="35"/>
  <c r="AI37" i="34"/>
  <c r="AI49" i="34" s="1"/>
  <c r="AI41" i="34"/>
  <c r="AI53" i="34" s="1"/>
  <c r="I44" i="34"/>
  <c r="I56" i="34" s="1"/>
  <c r="AA44" i="34"/>
  <c r="AA56" i="34" s="1"/>
  <c r="AF37" i="34"/>
  <c r="AF49" i="34" s="1"/>
  <c r="H43" i="34"/>
  <c r="H55" i="34" s="1"/>
  <c r="H36" i="34"/>
  <c r="H48" i="34" s="1"/>
  <c r="W44" i="34"/>
  <c r="W56" i="34" s="1"/>
  <c r="S37" i="34"/>
  <c r="S49" i="34" s="1"/>
  <c r="M37" i="34"/>
  <c r="M49" i="34" s="1"/>
  <c r="Q44" i="34"/>
  <c r="Q56" i="34" s="1"/>
  <c r="AF43" i="34"/>
  <c r="AF55" i="34" s="1"/>
  <c r="U40" i="34"/>
  <c r="U52" i="34" s="1"/>
  <c r="Z40" i="34"/>
  <c r="Z52" i="34" s="1"/>
  <c r="C38" i="34"/>
  <c r="C50" i="34" s="1"/>
  <c r="R43" i="34"/>
  <c r="R55" i="34" s="1"/>
  <c r="V44" i="34"/>
  <c r="V56" i="34" s="1"/>
  <c r="AC40" i="34"/>
  <c r="AC52" i="34" s="1"/>
  <c r="K41" i="34"/>
  <c r="K53" i="34" s="1"/>
  <c r="C44" i="34"/>
  <c r="C56" i="34" s="1"/>
  <c r="H37" i="34"/>
  <c r="H49" i="34" s="1"/>
  <c r="B40" i="34"/>
  <c r="B52" i="34" s="1"/>
  <c r="B38" i="34"/>
  <c r="B50" i="34" s="1"/>
  <c r="W42" i="35"/>
  <c r="D36" i="34"/>
  <c r="D48" i="34" s="1"/>
  <c r="AG42" i="35"/>
  <c r="C42" i="35"/>
  <c r="S41" i="34"/>
  <c r="S53" i="34" s="1"/>
  <c r="D42" i="35"/>
  <c r="X43" i="34"/>
  <c r="X55" i="34" s="1"/>
  <c r="E44" i="34"/>
  <c r="E56" i="34" s="1"/>
  <c r="P42" i="35"/>
  <c r="AK12" i="34"/>
  <c r="Y40" i="34"/>
  <c r="Y52" i="34" s="1"/>
  <c r="AA38" i="34"/>
  <c r="AA50" i="34" s="1"/>
  <c r="N37" i="34"/>
  <c r="N49" i="34" s="1"/>
  <c r="R41" i="34"/>
  <c r="R53" i="34" s="1"/>
  <c r="E40" i="34"/>
  <c r="E52" i="34" s="1"/>
  <c r="U42" i="35"/>
  <c r="S44" i="34"/>
  <c r="S56" i="34" s="1"/>
  <c r="B41" i="34"/>
  <c r="B53" i="34" s="1"/>
  <c r="G43" i="34"/>
  <c r="G55" i="34" s="1"/>
  <c r="X40" i="34"/>
  <c r="X52" i="34" s="1"/>
  <c r="AB44" i="34"/>
  <c r="AB56" i="34" s="1"/>
  <c r="Z36" i="34"/>
  <c r="Z48" i="34" s="1"/>
  <c r="AG40" i="34"/>
  <c r="AG52" i="34" s="1"/>
  <c r="AM12" i="34"/>
  <c r="AN12" i="34" s="1"/>
  <c r="D40" i="34"/>
  <c r="D52" i="34" s="1"/>
  <c r="AD38" i="34"/>
  <c r="AD50" i="34" s="1"/>
  <c r="AF44" i="34"/>
  <c r="AF56" i="34" s="1"/>
  <c r="D44" i="34"/>
  <c r="D56" i="34" s="1"/>
  <c r="I40" i="34"/>
  <c r="I52" i="34" s="1"/>
  <c r="AN10" i="34"/>
  <c r="AJ12" i="34"/>
  <c r="K38" i="34"/>
  <c r="K50" i="34" s="1"/>
  <c r="AD41" i="34"/>
  <c r="AD53" i="34" s="1"/>
  <c r="F41" i="34"/>
  <c r="F53" i="34" s="1"/>
  <c r="N41" i="34"/>
  <c r="N53" i="34" s="1"/>
  <c r="O36" i="34"/>
  <c r="O48" i="34" s="1"/>
  <c r="K44" i="34"/>
  <c r="K56" i="34" s="1"/>
  <c r="T44" i="34"/>
  <c r="T56" i="34" s="1"/>
  <c r="N42" i="35"/>
  <c r="J36" i="34"/>
  <c r="J48" i="34" s="1"/>
  <c r="AH41" i="34"/>
  <c r="AH53" i="34" s="1"/>
  <c r="J41" i="34"/>
  <c r="J53" i="34" s="1"/>
  <c r="AI44" i="34"/>
  <c r="AI56" i="34" s="1"/>
  <c r="H44" i="34"/>
  <c r="H56" i="34" s="1"/>
  <c r="Y44" i="34"/>
  <c r="Y56" i="34" s="1"/>
  <c r="O44" i="34"/>
  <c r="O56" i="34" s="1"/>
  <c r="P43" i="34"/>
  <c r="P55" i="34" s="1"/>
  <c r="AD43" i="34"/>
  <c r="AD55" i="34" s="1"/>
  <c r="Z43" i="34"/>
  <c r="Z55" i="34" s="1"/>
  <c r="AE44" i="34"/>
  <c r="AE56" i="34" s="1"/>
  <c r="P40" i="34"/>
  <c r="P52" i="34" s="1"/>
  <c r="AI43" i="34"/>
  <c r="AI55" i="34" s="1"/>
  <c r="AP8" i="34"/>
  <c r="K39" i="34"/>
  <c r="K51" i="34" s="1"/>
  <c r="E42" i="34"/>
  <c r="E54" i="34" s="1"/>
  <c r="AG39" i="34"/>
  <c r="AG51" i="34" s="1"/>
  <c r="AH43" i="34"/>
  <c r="AH55" i="34" s="1"/>
  <c r="O39" i="34"/>
  <c r="O51" i="34" s="1"/>
  <c r="M39" i="34"/>
  <c r="M51" i="34" s="1"/>
  <c r="Z38" i="34"/>
  <c r="Z50" i="34" s="1"/>
  <c r="I39" i="34"/>
  <c r="I51" i="34" s="1"/>
  <c r="W41" i="34"/>
  <c r="W53" i="34" s="1"/>
  <c r="AA39" i="34"/>
  <c r="AA51" i="34" s="1"/>
  <c r="G37" i="34"/>
  <c r="G49" i="34" s="1"/>
  <c r="J43" i="34"/>
  <c r="J55" i="34" s="1"/>
  <c r="F42" i="34"/>
  <c r="F54" i="34" s="1"/>
  <c r="AO12" i="34"/>
  <c r="L42" i="34"/>
  <c r="L54" i="34" s="1"/>
  <c r="AG36" i="34"/>
  <c r="AG48" i="34" s="1"/>
  <c r="AE39" i="34"/>
  <c r="AE51" i="34" s="1"/>
  <c r="C39" i="34"/>
  <c r="C51" i="34" s="1"/>
  <c r="V36" i="34"/>
  <c r="V48" i="34" s="1"/>
  <c r="F38" i="34"/>
  <c r="F50" i="34" s="1"/>
  <c r="D38" i="34"/>
  <c r="D50" i="34" s="1"/>
  <c r="Q37" i="34"/>
  <c r="Q49" i="34" s="1"/>
  <c r="AD36" i="34"/>
  <c r="AD48" i="34" s="1"/>
  <c r="G39" i="34"/>
  <c r="G51" i="34" s="1"/>
  <c r="AC39" i="34"/>
  <c r="AC51" i="34" s="1"/>
  <c r="R38" i="34"/>
  <c r="R50" i="34" s="1"/>
  <c r="P41" i="34"/>
  <c r="P53" i="34" s="1"/>
  <c r="AP3" i="34"/>
  <c r="M42" i="34"/>
  <c r="M54" i="34" s="1"/>
  <c r="AH39" i="34"/>
  <c r="AH51" i="34" s="1"/>
  <c r="J39" i="34"/>
  <c r="J51" i="34" s="1"/>
  <c r="AF36" i="34"/>
  <c r="AF48" i="34" s="1"/>
  <c r="F36" i="34"/>
  <c r="F48" i="34" s="1"/>
  <c r="E39" i="34"/>
  <c r="E51" i="34" s="1"/>
  <c r="X36" i="34"/>
  <c r="X48" i="34" s="1"/>
  <c r="AN7" i="34"/>
  <c r="N42" i="34"/>
  <c r="N54" i="34" s="1"/>
  <c r="Q42" i="35"/>
  <c r="AH36" i="34"/>
  <c r="AH48" i="34" s="1"/>
  <c r="AF42" i="35"/>
  <c r="O42" i="34"/>
  <c r="O54" i="34" s="1"/>
  <c r="R42" i="34"/>
  <c r="R54" i="34" s="1"/>
  <c r="S39" i="34"/>
  <c r="S51" i="34" s="1"/>
  <c r="U39" i="34"/>
  <c r="U51" i="34" s="1"/>
  <c r="L39" i="34"/>
  <c r="L51" i="34" s="1"/>
  <c r="H42" i="35"/>
  <c r="M41" i="34"/>
  <c r="M53" i="34" s="1"/>
  <c r="O41" i="34"/>
  <c r="O53" i="34" s="1"/>
  <c r="L41" i="34"/>
  <c r="L53" i="34" s="1"/>
  <c r="X42" i="34"/>
  <c r="X54" i="34" s="1"/>
  <c r="P36" i="34"/>
  <c r="P48" i="34" s="1"/>
  <c r="R36" i="34"/>
  <c r="R48" i="34" s="1"/>
  <c r="L36" i="34"/>
  <c r="L48" i="34" s="1"/>
  <c r="AB40" i="34"/>
  <c r="AB52" i="34" s="1"/>
  <c r="L40" i="34"/>
  <c r="L52" i="34" s="1"/>
  <c r="F40" i="34"/>
  <c r="F52" i="34" s="1"/>
  <c r="AD40" i="34"/>
  <c r="AD52" i="34" s="1"/>
  <c r="AA42" i="34"/>
  <c r="AA54" i="34" s="1"/>
  <c r="J38" i="34"/>
  <c r="J50" i="34" s="1"/>
  <c r="N36" i="34"/>
  <c r="N48" i="34" s="1"/>
  <c r="AF41" i="34"/>
  <c r="AF53" i="34" s="1"/>
  <c r="AB41" i="34"/>
  <c r="AB53" i="34" s="1"/>
  <c r="B36" i="34"/>
  <c r="B48" i="34" s="1"/>
  <c r="Z39" i="34"/>
  <c r="Z51" i="34" s="1"/>
  <c r="U36" i="34"/>
  <c r="U48" i="34" s="1"/>
  <c r="D37" i="34"/>
  <c r="D49" i="34" s="1"/>
  <c r="J42" i="35"/>
  <c r="I42" i="35"/>
  <c r="AC42" i="34"/>
  <c r="AC54" i="34" s="1"/>
  <c r="B39" i="34"/>
  <c r="B51" i="34" s="1"/>
  <c r="S36" i="34"/>
  <c r="S48" i="34" s="1"/>
  <c r="B20" i="35" a="1"/>
  <c r="B20" i="35" s="1"/>
  <c r="B21" i="35" s="1"/>
  <c r="AD42" i="34"/>
  <c r="AD54" i="34" s="1"/>
  <c r="M42" i="35"/>
  <c r="AS12" i="34"/>
  <c r="AU12" i="34"/>
  <c r="AV12" i="34" s="1"/>
  <c r="AT12" i="34"/>
  <c r="AL12" i="34"/>
  <c r="AR12" i="34" s="1"/>
  <c r="G42" i="35"/>
  <c r="V42" i="34"/>
  <c r="V54" i="34" s="1"/>
  <c r="AP6" i="34"/>
  <c r="AN4" i="34"/>
  <c r="AE43" i="34"/>
  <c r="AE55" i="34" s="1"/>
  <c r="AG43" i="34"/>
  <c r="AG55" i="34" s="1"/>
  <c r="AA43" i="34"/>
  <c r="AA55" i="34" s="1"/>
  <c r="O43" i="34"/>
  <c r="O55" i="34" s="1"/>
  <c r="N43" i="34"/>
  <c r="N55" i="34" s="1"/>
  <c r="L43" i="34"/>
  <c r="L55" i="34" s="1"/>
  <c r="I43" i="34"/>
  <c r="I55" i="34" s="1"/>
  <c r="C43" i="34"/>
  <c r="C55" i="34" s="1"/>
  <c r="Y37" i="34"/>
  <c r="Y49" i="34" s="1"/>
  <c r="F37" i="34"/>
  <c r="F49" i="34" s="1"/>
  <c r="C37" i="34"/>
  <c r="C49" i="34" s="1"/>
  <c r="AG37" i="34"/>
  <c r="AG49" i="34" s="1"/>
  <c r="AD37" i="34"/>
  <c r="AD49" i="34" s="1"/>
  <c r="AA37" i="34"/>
  <c r="AA49" i="34" s="1"/>
  <c r="U37" i="34"/>
  <c r="U49" i="34" s="1"/>
  <c r="R37" i="34"/>
  <c r="R49" i="34" s="1"/>
  <c r="O37" i="34"/>
  <c r="O49" i="34" s="1"/>
  <c r="L37" i="34"/>
  <c r="L49" i="34" s="1"/>
  <c r="I37" i="34"/>
  <c r="I49" i="34" s="1"/>
  <c r="AQ12" i="34"/>
  <c r="O42" i="35"/>
  <c r="AE36" i="34"/>
  <c r="AE48" i="34" s="1"/>
  <c r="AN5" i="34"/>
  <c r="AP5" i="34"/>
  <c r="N39" i="34"/>
  <c r="N51" i="34" s="1"/>
  <c r="W36" i="34"/>
  <c r="W48" i="34" s="1"/>
  <c r="AI36" i="34"/>
  <c r="AI48" i="34" s="1"/>
  <c r="AF39" i="34"/>
  <c r="AF51" i="34" s="1"/>
  <c r="AA36" i="34"/>
  <c r="AA48" i="34" s="1"/>
  <c r="W39" i="34"/>
  <c r="W51" i="34" s="1"/>
  <c r="AP9" i="34"/>
  <c r="AH38" i="34"/>
  <c r="AH50" i="34" s="1"/>
  <c r="AD39" i="34"/>
  <c r="AD51" i="34" s="1"/>
  <c r="K36" i="34"/>
  <c r="K48" i="34" s="1"/>
  <c r="N38" i="34"/>
  <c r="N50" i="34" s="1"/>
  <c r="T42" i="35"/>
  <c r="AN8" i="34"/>
  <c r="AC42" i="35"/>
  <c r="X39" i="34"/>
  <c r="X51" i="34" s="1"/>
  <c r="AC36" i="34"/>
  <c r="AC48" i="34" s="1"/>
  <c r="AE38" i="34"/>
  <c r="AE50" i="34" s="1"/>
  <c r="E36" i="34"/>
  <c r="E48" i="34" s="1"/>
  <c r="T39" i="34"/>
  <c r="T51" i="34" s="1"/>
  <c r="X37" i="34"/>
  <c r="X49" i="34" s="1"/>
  <c r="H39" i="34"/>
  <c r="H51" i="34" s="1"/>
  <c r="I36" i="34"/>
  <c r="I48" i="34" s="1"/>
  <c r="P39" i="34"/>
  <c r="P51" i="34" s="1"/>
  <c r="G36" i="34"/>
  <c r="G48" i="34" s="1"/>
  <c r="AB39" i="34"/>
  <c r="AB51" i="34" s="1"/>
  <c r="D39" i="34"/>
  <c r="D51" i="34" s="1"/>
  <c r="I38" i="34"/>
  <c r="I50" i="34" s="1"/>
  <c r="N44" i="34"/>
  <c r="N56" i="34" s="1"/>
  <c r="M36" i="34"/>
  <c r="M48" i="34" s="1"/>
  <c r="P42" i="34"/>
  <c r="P54" i="34" s="1"/>
  <c r="E41" i="34"/>
  <c r="E53" i="34" s="1"/>
  <c r="AA41" i="34"/>
  <c r="AA53" i="34" s="1"/>
  <c r="S43" i="34"/>
  <c r="S55" i="34" s="1"/>
  <c r="J37" i="34"/>
  <c r="J49" i="34" s="1"/>
  <c r="J40" i="34"/>
  <c r="J52" i="34" s="1"/>
  <c r="E37" i="34"/>
  <c r="E49" i="34" s="1"/>
  <c r="Z37" i="34"/>
  <c r="Z49" i="34" s="1"/>
  <c r="F39" i="34"/>
  <c r="F51" i="34" s="1"/>
  <c r="R39" i="34"/>
  <c r="R51" i="34" s="1"/>
  <c r="AG38" i="34"/>
  <c r="AG50" i="34" s="1"/>
  <c r="G38" i="34"/>
  <c r="G50" i="34" s="1"/>
  <c r="W43" i="34"/>
  <c r="W55" i="34" s="1"/>
  <c r="AL55" i="34" s="1"/>
  <c r="C36" i="34"/>
  <c r="C48" i="34" s="1"/>
  <c r="S38" i="34"/>
  <c r="S50" i="34" s="1"/>
  <c r="AI38" i="34"/>
  <c r="AI50" i="34" s="1"/>
  <c r="Y43" i="34"/>
  <c r="Y55" i="34" s="1"/>
  <c r="AC41" i="34"/>
  <c r="AC53" i="34" s="1"/>
  <c r="U43" i="34"/>
  <c r="U55" i="34" s="1"/>
  <c r="AH37" i="34"/>
  <c r="AH49" i="34" s="1"/>
  <c r="AC37" i="34"/>
  <c r="AC49" i="34" s="1"/>
  <c r="AC43" i="34"/>
  <c r="AC55" i="34" s="1"/>
  <c r="AG41" i="34"/>
  <c r="AG53" i="34" s="1"/>
  <c r="AE41" i="34"/>
  <c r="AE53" i="34" s="1"/>
  <c r="T40" i="34"/>
  <c r="T52" i="34" s="1"/>
  <c r="C41" i="34"/>
  <c r="C53" i="34" s="1"/>
  <c r="AH42" i="34"/>
  <c r="AH54" i="34" s="1"/>
  <c r="Q43" i="34"/>
  <c r="Q55" i="34" s="1"/>
  <c r="Y36" i="34"/>
  <c r="Y48" i="34" s="1"/>
  <c r="Y39" i="34"/>
  <c r="Y51" i="34" s="1"/>
  <c r="T36" i="34"/>
  <c r="T48" i="34" s="1"/>
  <c r="B37" i="34"/>
  <c r="B49" i="34" s="1"/>
  <c r="E43" i="34"/>
  <c r="E55" i="34" s="1"/>
  <c r="I41" i="34"/>
  <c r="I53" i="34" s="1"/>
  <c r="G41" i="34"/>
  <c r="G53" i="34" s="1"/>
  <c r="AI39" i="34"/>
  <c r="AI51" i="34" s="1"/>
  <c r="X44" i="34"/>
  <c r="X56" i="34" s="1"/>
  <c r="AJ56" i="34" s="1"/>
  <c r="P38" i="34"/>
  <c r="P50" i="34" s="1"/>
  <c r="Q36" i="34"/>
  <c r="Q48" i="34" s="1"/>
  <c r="P44" i="34"/>
  <c r="P56" i="34" s="1"/>
  <c r="R44" i="34"/>
  <c r="R56" i="34" s="1"/>
  <c r="L44" i="34"/>
  <c r="L56" i="34" s="1"/>
  <c r="AK7" i="34"/>
  <c r="AU9" i="34"/>
  <c r="AV9" i="34" s="1"/>
  <c r="AS7" i="34"/>
  <c r="AS5" i="34"/>
  <c r="AS3" i="34"/>
  <c r="AT9" i="34"/>
  <c r="AS9" i="34"/>
  <c r="AU11" i="34"/>
  <c r="AV11" i="34" s="1"/>
  <c r="AT11" i="34"/>
  <c r="AL7" i="34"/>
  <c r="AR7" i="34" s="1"/>
  <c r="AL3" i="34"/>
  <c r="AR3" i="34" s="1"/>
  <c r="AS11" i="34"/>
  <c r="W57" i="34"/>
  <c r="X57" i="34" s="1"/>
  <c r="Y57" i="34" s="1"/>
  <c r="Z57" i="34" s="1"/>
  <c r="AA57" i="34" s="1"/>
  <c r="AB57" i="34" s="1"/>
  <c r="AC57" i="34" s="1"/>
  <c r="AD57" i="34" s="1"/>
  <c r="AE57" i="34" s="1"/>
  <c r="AF57" i="34" s="1"/>
  <c r="AG57" i="34" s="1"/>
  <c r="AH57" i="34" s="1"/>
  <c r="AI57" i="34" s="1"/>
  <c r="AT8" i="34"/>
  <c r="AS6" i="34"/>
  <c r="AT4" i="34"/>
  <c r="AU10" i="34"/>
  <c r="AV10" i="34" s="1"/>
  <c r="AS8" i="34"/>
  <c r="AS4" i="34"/>
  <c r="AL11" i="34"/>
  <c r="AR11" i="34" s="1"/>
  <c r="AT10" i="34"/>
  <c r="AS10" i="34"/>
  <c r="AL6" i="34"/>
  <c r="AR6" i="34" s="1"/>
  <c r="AL10" i="34"/>
  <c r="AR10" i="34" s="1"/>
  <c r="AL8" i="34"/>
  <c r="AR8" i="34" s="1"/>
  <c r="AL4" i="34"/>
  <c r="AR4" i="34" s="1"/>
  <c r="AK4" i="34"/>
  <c r="AK8" i="34"/>
  <c r="AK10" i="34"/>
  <c r="AJ6" i="34"/>
  <c r="AK6" i="34"/>
  <c r="AJ11" i="34"/>
  <c r="AK11" i="34"/>
  <c r="AK5" i="34"/>
  <c r="AK9" i="34"/>
  <c r="AQ44" i="27"/>
  <c r="AR44" i="27" s="1"/>
  <c r="B56" i="27"/>
  <c r="B55" i="27"/>
  <c r="AQ43" i="27"/>
  <c r="AR43" i="27" s="1"/>
  <c r="AQ42" i="27"/>
  <c r="AR42" i="27" s="1"/>
  <c r="B54" i="27"/>
  <c r="B53" i="27"/>
  <c r="AQ41" i="27"/>
  <c r="AR41" i="27" s="1"/>
  <c r="B52" i="27"/>
  <c r="AQ40" i="27"/>
  <c r="AR40" i="27" s="1"/>
  <c r="AQ39" i="27"/>
  <c r="AR39" i="27" s="1"/>
  <c r="B51" i="27"/>
  <c r="W57" i="27"/>
  <c r="AK11" i="27"/>
  <c r="AQ37" i="27"/>
  <c r="AR37" i="27" s="1"/>
  <c r="B49" i="27"/>
  <c r="AK3" i="27"/>
  <c r="B48" i="27"/>
  <c r="AQ36" i="27"/>
  <c r="AR36" i="27" s="1"/>
  <c r="AK10" i="27"/>
  <c r="B50" i="27"/>
  <c r="AQ38" i="27"/>
  <c r="AR38" i="27" s="1"/>
  <c r="AK50" i="34" l="1"/>
  <c r="AJ52" i="34"/>
  <c r="AK52" i="34"/>
  <c r="AK55" i="34"/>
  <c r="AL50" i="34"/>
  <c r="AK48" i="34"/>
  <c r="AJ48" i="34"/>
  <c r="AJ50" i="34"/>
  <c r="AK51" i="34"/>
  <c r="AK53" i="34"/>
  <c r="AP12" i="34"/>
  <c r="AK54" i="34"/>
  <c r="AK56" i="34"/>
  <c r="AJ49" i="34"/>
  <c r="AL48" i="34"/>
  <c r="AL56" i="34"/>
  <c r="AJ55" i="34"/>
  <c r="AK49" i="34"/>
  <c r="AY12" i="34"/>
  <c r="AW12" i="34"/>
  <c r="AZ12" i="34" s="1"/>
  <c r="AX12" i="34"/>
  <c r="BA12" i="34" s="1"/>
  <c r="AL52" i="34"/>
  <c r="AY11" i="34"/>
  <c r="AW11" i="34"/>
  <c r="AZ11" i="34" s="1"/>
  <c r="AX11" i="34"/>
  <c r="BA11" i="34" s="1"/>
  <c r="AW9" i="34"/>
  <c r="AZ9" i="34" s="1"/>
  <c r="AY9" i="34"/>
  <c r="AX9" i="34"/>
  <c r="BA9" i="34" s="1"/>
  <c r="AS13" i="34"/>
  <c r="AY3" i="34"/>
  <c r="AY4" i="34"/>
  <c r="AY5" i="34"/>
  <c r="AY8" i="34"/>
  <c r="AY7" i="34"/>
  <c r="AL49" i="34"/>
  <c r="AY6" i="34"/>
  <c r="AY10" i="34"/>
  <c r="AW10" i="34"/>
  <c r="AZ10" i="34" s="1"/>
  <c r="AX10" i="34"/>
  <c r="BA10" i="34" s="1"/>
  <c r="AT3" i="34"/>
  <c r="AT5" i="34"/>
  <c r="AJ10" i="34"/>
  <c r="AU4" i="34"/>
  <c r="AV4" i="34" s="1"/>
  <c r="AW4" i="34" s="1"/>
  <c r="AZ4" i="34" s="1"/>
  <c r="AT7" i="34"/>
  <c r="AJ51" i="34"/>
  <c r="AT6" i="34"/>
  <c r="AU3" i="34"/>
  <c r="AV3" i="34" s="1"/>
  <c r="AW3" i="34" s="1"/>
  <c r="AZ3" i="34" s="1"/>
  <c r="AU8" i="34"/>
  <c r="AV8" i="34" s="1"/>
  <c r="AX8" i="34" s="1"/>
  <c r="BA8" i="34" s="1"/>
  <c r="AU5" i="34"/>
  <c r="AV5" i="34" s="1"/>
  <c r="AW5" i="34" s="1"/>
  <c r="AZ5" i="34" s="1"/>
  <c r="AJ53" i="34"/>
  <c r="AU6" i="34"/>
  <c r="AV6" i="34" s="1"/>
  <c r="AW6" i="34" s="1"/>
  <c r="AZ6" i="34" s="1"/>
  <c r="AU7" i="34"/>
  <c r="AV7" i="34" s="1"/>
  <c r="AW7" i="34" s="1"/>
  <c r="AZ7" i="34" s="1"/>
  <c r="AL53" i="34"/>
  <c r="AJ9" i="34"/>
  <c r="AJ8" i="34"/>
  <c r="AL54" i="34"/>
  <c r="AJ3" i="34"/>
  <c r="AL51" i="34"/>
  <c r="AJ4" i="34"/>
  <c r="AL5" i="34"/>
  <c r="AR5" i="34" s="1"/>
  <c r="AJ5" i="34"/>
  <c r="AJ54" i="34"/>
  <c r="AL9" i="34"/>
  <c r="AR9" i="34" s="1"/>
  <c r="AJ7" i="34"/>
  <c r="AK50" i="27"/>
  <c r="AS38" i="27"/>
  <c r="AT38" i="27"/>
  <c r="AW38" i="27" s="1"/>
  <c r="AK51" i="27"/>
  <c r="AS39" i="27"/>
  <c r="AT39" i="27"/>
  <c r="AW39" i="27" s="1"/>
  <c r="AK48" i="27"/>
  <c r="AT36" i="27"/>
  <c r="AW36" i="27" s="1"/>
  <c r="AS36" i="27"/>
  <c r="X57" i="27"/>
  <c r="AS40" i="27"/>
  <c r="AT40" i="27"/>
  <c r="AW40" i="27" s="1"/>
  <c r="AK52" i="27"/>
  <c r="AK49" i="27"/>
  <c r="AS41" i="27"/>
  <c r="AT41" i="27"/>
  <c r="AW41" i="27" s="1"/>
  <c r="AK53" i="27"/>
  <c r="AT37" i="27"/>
  <c r="AW37" i="27" s="1"/>
  <c r="AS37" i="27"/>
  <c r="AK54" i="27"/>
  <c r="AT42" i="27"/>
  <c r="AW42" i="27" s="1"/>
  <c r="AS42" i="27"/>
  <c r="AT43" i="27"/>
  <c r="AW43" i="27" s="1"/>
  <c r="AS43" i="27"/>
  <c r="AK55" i="27"/>
  <c r="AK56" i="27"/>
  <c r="AT44" i="27"/>
  <c r="AW44" i="27" s="1"/>
  <c r="AS44" i="27"/>
  <c r="AP37" i="18"/>
  <c r="AO37" i="18"/>
  <c r="AU37" i="18" s="1"/>
  <c r="AV37" i="18"/>
  <c r="AU11" i="18"/>
  <c r="AV11" i="18" s="1"/>
  <c r="AT11" i="18"/>
  <c r="AS11" i="18"/>
  <c r="AY11" i="18" s="1"/>
  <c r="AQ11" i="18"/>
  <c r="AO11" i="18"/>
  <c r="AM11" i="18"/>
  <c r="AP11" i="18" s="1"/>
  <c r="AL11" i="18"/>
  <c r="AR11" i="18" s="1"/>
  <c r="AK11" i="18"/>
  <c r="AJ11" i="18"/>
  <c r="AU10" i="18"/>
  <c r="AV10" i="18" s="1"/>
  <c r="AT10" i="18"/>
  <c r="AS10" i="18"/>
  <c r="AY10" i="18" s="1"/>
  <c r="AQ10" i="18"/>
  <c r="AO10" i="18"/>
  <c r="AM10" i="18"/>
  <c r="AP10" i="18" s="1"/>
  <c r="AL10" i="18"/>
  <c r="AR10" i="18" s="1"/>
  <c r="AK10" i="18"/>
  <c r="AJ10" i="18"/>
  <c r="AU9" i="18"/>
  <c r="AV9" i="18" s="1"/>
  <c r="AT9" i="18"/>
  <c r="AS9" i="18"/>
  <c r="AQ9" i="18"/>
  <c r="AO9" i="18"/>
  <c r="AN9" i="18"/>
  <c r="AM9" i="18"/>
  <c r="AP9" i="18" s="1"/>
  <c r="AL9" i="18"/>
  <c r="AR9" i="18" s="1"/>
  <c r="AK9" i="18"/>
  <c r="AJ9" i="18"/>
  <c r="AY8" i="18"/>
  <c r="AU8" i="18"/>
  <c r="AV8" i="18" s="1"/>
  <c r="AT8" i="18"/>
  <c r="AS8" i="18"/>
  <c r="AR8" i="18"/>
  <c r="AQ8" i="18"/>
  <c r="AO8" i="18"/>
  <c r="AM8" i="18"/>
  <c r="AP8" i="18" s="1"/>
  <c r="AL8" i="18"/>
  <c r="AK8" i="18"/>
  <c r="AJ8" i="18"/>
  <c r="AU7" i="18"/>
  <c r="AV7" i="18" s="1"/>
  <c r="AT7" i="18"/>
  <c r="AS7" i="18"/>
  <c r="AY7" i="18" s="1"/>
  <c r="AQ7" i="18"/>
  <c r="AO7" i="18"/>
  <c r="AM7" i="18"/>
  <c r="AP7" i="18" s="1"/>
  <c r="AL7" i="18"/>
  <c r="AR7" i="18" s="1"/>
  <c r="AK7" i="18"/>
  <c r="AJ7" i="18"/>
  <c r="AU6" i="18"/>
  <c r="AV6" i="18" s="1"/>
  <c r="AT6" i="18"/>
  <c r="AS6" i="18"/>
  <c r="AY6" i="18" s="1"/>
  <c r="AQ6" i="18"/>
  <c r="AO6" i="18"/>
  <c r="AM6" i="18"/>
  <c r="AP6" i="18" s="1"/>
  <c r="AL6" i="18"/>
  <c r="AR6" i="18" s="1"/>
  <c r="AK6" i="18"/>
  <c r="AJ6" i="18"/>
  <c r="AU5" i="18"/>
  <c r="AV5" i="18" s="1"/>
  <c r="AT5" i="18"/>
  <c r="AS5" i="18"/>
  <c r="AR5" i="18"/>
  <c r="AQ5" i="18"/>
  <c r="AO5" i="18"/>
  <c r="AN5" i="18"/>
  <c r="AM5" i="18"/>
  <c r="AP5" i="18" s="1"/>
  <c r="AL5" i="18"/>
  <c r="AK5" i="18"/>
  <c r="AJ5" i="18"/>
  <c r="AY4" i="18"/>
  <c r="AU4" i="18"/>
  <c r="AV4" i="18" s="1"/>
  <c r="AT4" i="18"/>
  <c r="AS4" i="18"/>
  <c r="AR4" i="18"/>
  <c r="AQ4" i="18"/>
  <c r="AO4" i="18"/>
  <c r="AM4" i="18"/>
  <c r="AP4" i="18" s="1"/>
  <c r="AL4" i="18"/>
  <c r="AK4" i="18"/>
  <c r="AJ4" i="18"/>
  <c r="AU3" i="18"/>
  <c r="AV3" i="18" s="1"/>
  <c r="AT3" i="18"/>
  <c r="AS13" i="18"/>
  <c r="AQ3" i="18"/>
  <c r="AO3" i="18"/>
  <c r="AN3" i="18"/>
  <c r="AM3" i="18"/>
  <c r="AP3" i="18" s="1"/>
  <c r="AL3" i="18"/>
  <c r="AR3" i="18" s="1"/>
  <c r="AK3" i="18"/>
  <c r="AJ3" i="18"/>
  <c r="D57" i="18"/>
  <c r="E57" i="18" s="1"/>
  <c r="C57" i="18"/>
  <c r="M54" i="18"/>
  <c r="L54" i="18"/>
  <c r="AB52" i="18"/>
  <c r="AA52" i="18"/>
  <c r="D52" i="18"/>
  <c r="L51" i="18"/>
  <c r="AD49" i="18"/>
  <c r="O49" i="18"/>
  <c r="L49" i="18"/>
  <c r="I49" i="18"/>
  <c r="F49" i="18"/>
  <c r="L36" i="18"/>
  <c r="L48" i="18" s="1"/>
  <c r="P44" i="18"/>
  <c r="P56" i="18" s="1"/>
  <c r="N44" i="18"/>
  <c r="N56" i="18" s="1"/>
  <c r="L44" i="18"/>
  <c r="L56" i="18" s="1"/>
  <c r="AA43" i="18"/>
  <c r="AA55" i="18" s="1"/>
  <c r="AE43" i="18"/>
  <c r="AE55" i="18" s="1"/>
  <c r="AC43" i="18"/>
  <c r="AC55" i="18" s="1"/>
  <c r="M43" i="18"/>
  <c r="M55" i="18" s="1"/>
  <c r="E43" i="18"/>
  <c r="E55" i="18" s="1"/>
  <c r="T42" i="18"/>
  <c r="T54" i="18" s="1"/>
  <c r="V42" i="18"/>
  <c r="V54" i="18" s="1"/>
  <c r="M42" i="18"/>
  <c r="L42" i="18"/>
  <c r="L41" i="18"/>
  <c r="L53" i="18" s="1"/>
  <c r="AI41" i="18"/>
  <c r="AI53" i="18" s="1"/>
  <c r="AA40" i="18"/>
  <c r="AB40" i="18"/>
  <c r="L40" i="18"/>
  <c r="L52" i="18" s="1"/>
  <c r="D40" i="18"/>
  <c r="R39" i="18"/>
  <c r="R51" i="18" s="1"/>
  <c r="AA39" i="18"/>
  <c r="AA51" i="18" s="1"/>
  <c r="S39" i="18"/>
  <c r="S51" i="18" s="1"/>
  <c r="O39" i="18"/>
  <c r="O51" i="18" s="1"/>
  <c r="L39" i="18"/>
  <c r="C39" i="18"/>
  <c r="C51" i="18" s="1"/>
  <c r="AG38" i="18"/>
  <c r="AG50" i="18" s="1"/>
  <c r="AH38" i="18"/>
  <c r="AH50" i="18" s="1"/>
  <c r="L38" i="18"/>
  <c r="L50" i="18" s="1"/>
  <c r="J38" i="18"/>
  <c r="J50" i="18" s="1"/>
  <c r="AM37" i="18"/>
  <c r="AN37" i="18" s="1"/>
  <c r="AL37" i="18"/>
  <c r="AK37" i="18"/>
  <c r="AJ37" i="18"/>
  <c r="W37" i="18" s="1"/>
  <c r="W49" i="18" s="1"/>
  <c r="AG37" i="18"/>
  <c r="AG49" i="18" s="1"/>
  <c r="AD37" i="18"/>
  <c r="AA37" i="18"/>
  <c r="AA49" i="18" s="1"/>
  <c r="Y37" i="18"/>
  <c r="Y49" i="18" s="1"/>
  <c r="X37" i="18"/>
  <c r="X49" i="18" s="1"/>
  <c r="U37" i="18"/>
  <c r="U49" i="18" s="1"/>
  <c r="R37" i="18"/>
  <c r="R49" i="18" s="1"/>
  <c r="O37" i="18"/>
  <c r="L37" i="18"/>
  <c r="I37" i="18"/>
  <c r="F37" i="18"/>
  <c r="C37" i="18"/>
  <c r="C49" i="18" s="1"/>
  <c r="U82" i="14"/>
  <c r="T82" i="14"/>
  <c r="G78" i="14"/>
  <c r="H78" i="14" s="1"/>
  <c r="Q81" i="14"/>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C31" i="11"/>
  <c r="AI30" i="11"/>
  <c r="AH30" i="11"/>
  <c r="AG30" i="11"/>
  <c r="AF30" i="11"/>
  <c r="AE30" i="11"/>
  <c r="AD30" i="11"/>
  <c r="AC30"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C30" i="11"/>
  <c r="AI29" i="11"/>
  <c r="AH29" i="11"/>
  <c r="AG29" i="11"/>
  <c r="AF29" i="11"/>
  <c r="AE29" i="11"/>
  <c r="AD29" i="11"/>
  <c r="AC29" i="11"/>
  <c r="AB29" i="11"/>
  <c r="AA29" i="11"/>
  <c r="Z29" i="11"/>
  <c r="Y29" i="11"/>
  <c r="X29" i="11"/>
  <c r="W29" i="11"/>
  <c r="V29" i="11"/>
  <c r="U29" i="11"/>
  <c r="T29" i="11"/>
  <c r="S29" i="11"/>
  <c r="R29" i="11"/>
  <c r="Q29" i="11"/>
  <c r="P29" i="11"/>
  <c r="O29" i="11"/>
  <c r="N29" i="11"/>
  <c r="M29" i="11"/>
  <c r="L29" i="11"/>
  <c r="K29" i="11"/>
  <c r="J29" i="11"/>
  <c r="I29" i="11"/>
  <c r="H29" i="11"/>
  <c r="G29" i="11"/>
  <c r="F29" i="11"/>
  <c r="E29" i="11"/>
  <c r="D29" i="11"/>
  <c r="C29" i="11"/>
  <c r="AI28" i="11"/>
  <c r="AH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C28"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AI26" i="11"/>
  <c r="AH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AI25" i="11"/>
  <c r="AH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AI23" i="11"/>
  <c r="AH23" i="11"/>
  <c r="AG23" i="11"/>
  <c r="AF23" i="11"/>
  <c r="AE23" i="11"/>
  <c r="AD23" i="11"/>
  <c r="AC23" i="11"/>
  <c r="AB23" i="11"/>
  <c r="AA23" i="11"/>
  <c r="Z23" i="11"/>
  <c r="Y23" i="11"/>
  <c r="X23" i="11"/>
  <c r="W23" i="11"/>
  <c r="V23" i="11"/>
  <c r="U23" i="11"/>
  <c r="T23" i="11"/>
  <c r="S23" i="11"/>
  <c r="R23" i="11"/>
  <c r="Q23" i="11"/>
  <c r="P23" i="11"/>
  <c r="O23" i="11"/>
  <c r="N23" i="11"/>
  <c r="M23" i="11"/>
  <c r="L23" i="11"/>
  <c r="K23" i="11"/>
  <c r="J23" i="11"/>
  <c r="I23" i="11"/>
  <c r="H23" i="11"/>
  <c r="G23" i="11"/>
  <c r="F23" i="11"/>
  <c r="E23" i="11"/>
  <c r="D23" i="11"/>
  <c r="C23" i="11"/>
  <c r="B31" i="11"/>
  <c r="B30" i="11"/>
  <c r="B29" i="11"/>
  <c r="B28" i="11"/>
  <c r="B27" i="11"/>
  <c r="B26" i="11"/>
  <c r="B25" i="11"/>
  <c r="B24" i="11"/>
  <c r="B23" i="11"/>
  <c r="AQ60" i="11"/>
  <c r="AQ61" i="11"/>
  <c r="AQ62" i="11"/>
  <c r="AQ63" i="11"/>
  <c r="AQ64" i="11"/>
  <c r="AQ65" i="11"/>
  <c r="AQ66" i="11"/>
  <c r="AQ67" i="11"/>
  <c r="AQ68" i="11"/>
  <c r="AI68" i="11"/>
  <c r="AH68" i="11"/>
  <c r="AG68" i="11"/>
  <c r="AF68" i="11"/>
  <c r="AE68" i="11"/>
  <c r="AD68" i="11"/>
  <c r="AC68" i="11"/>
  <c r="AB68" i="11"/>
  <c r="AA68" i="11"/>
  <c r="Z68" i="11"/>
  <c r="Y68" i="11"/>
  <c r="X68" i="11"/>
  <c r="W68" i="11"/>
  <c r="V68" i="11"/>
  <c r="U68" i="11"/>
  <c r="T68" i="11"/>
  <c r="S68" i="11"/>
  <c r="R68" i="11"/>
  <c r="Q68" i="11"/>
  <c r="P68" i="11"/>
  <c r="O68" i="11"/>
  <c r="N68" i="11"/>
  <c r="M68" i="11"/>
  <c r="L68" i="11"/>
  <c r="K68" i="11"/>
  <c r="J68" i="11"/>
  <c r="I68" i="11"/>
  <c r="H68" i="11"/>
  <c r="G68" i="11"/>
  <c r="F68" i="11"/>
  <c r="E68" i="11"/>
  <c r="D68" i="11"/>
  <c r="C68" i="11"/>
  <c r="AI67" i="11"/>
  <c r="AH67" i="11"/>
  <c r="AG67" i="11"/>
  <c r="AF67" i="11"/>
  <c r="AE67" i="11"/>
  <c r="AD67" i="11"/>
  <c r="AC67" i="11"/>
  <c r="AB67" i="11"/>
  <c r="AA67" i="11"/>
  <c r="Z67" i="11"/>
  <c r="Y67" i="11"/>
  <c r="X67" i="11"/>
  <c r="W67" i="11"/>
  <c r="V67" i="11"/>
  <c r="U67" i="11"/>
  <c r="T67" i="11"/>
  <c r="S67" i="11"/>
  <c r="R67" i="11"/>
  <c r="Q67" i="11"/>
  <c r="P67" i="11"/>
  <c r="O67" i="11"/>
  <c r="N67" i="11"/>
  <c r="M67" i="11"/>
  <c r="L67" i="11"/>
  <c r="K67" i="11"/>
  <c r="J67" i="11"/>
  <c r="I67" i="11"/>
  <c r="H67" i="11"/>
  <c r="G67" i="11"/>
  <c r="F67" i="11"/>
  <c r="E67" i="11"/>
  <c r="D67" i="11"/>
  <c r="C67" i="11"/>
  <c r="AI66" i="11"/>
  <c r="AH66" i="11"/>
  <c r="AG66" i="11"/>
  <c r="AF66" i="11"/>
  <c r="AE66" i="11"/>
  <c r="AD66" i="11"/>
  <c r="AC66" i="11"/>
  <c r="AB66" i="11"/>
  <c r="AA66" i="11"/>
  <c r="Z66" i="11"/>
  <c r="Y66" i="11"/>
  <c r="X66" i="11"/>
  <c r="W66" i="11"/>
  <c r="V66" i="11"/>
  <c r="U66" i="11"/>
  <c r="T66" i="11"/>
  <c r="S66" i="11"/>
  <c r="R66" i="11"/>
  <c r="Q66" i="11"/>
  <c r="P66" i="11"/>
  <c r="O66" i="11"/>
  <c r="N66" i="11"/>
  <c r="M66" i="11"/>
  <c r="L66" i="11"/>
  <c r="K66" i="11"/>
  <c r="J66" i="11"/>
  <c r="I66" i="11"/>
  <c r="H66" i="11"/>
  <c r="G66" i="11"/>
  <c r="F66" i="11"/>
  <c r="E66" i="11"/>
  <c r="D66" i="11"/>
  <c r="C66" i="11"/>
  <c r="AI65" i="11"/>
  <c r="AH65" i="11"/>
  <c r="AG65" i="11"/>
  <c r="AF65" i="11"/>
  <c r="AE65" i="11"/>
  <c r="AD65" i="11"/>
  <c r="AC65"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C65" i="11"/>
  <c r="AI64" i="11"/>
  <c r="AH64" i="11"/>
  <c r="AG64" i="11"/>
  <c r="AF64" i="11"/>
  <c r="AE64" i="11"/>
  <c r="AD64" i="11"/>
  <c r="AC64" i="11"/>
  <c r="AB64" i="11"/>
  <c r="AA64" i="11"/>
  <c r="Z64" i="11"/>
  <c r="Y64" i="11"/>
  <c r="X64" i="11"/>
  <c r="W64" i="11"/>
  <c r="V64" i="11"/>
  <c r="U64" i="11"/>
  <c r="T64" i="11"/>
  <c r="S64" i="11"/>
  <c r="R64" i="11"/>
  <c r="Q64" i="11"/>
  <c r="P64" i="11"/>
  <c r="O64" i="11"/>
  <c r="N64" i="11"/>
  <c r="M64" i="11"/>
  <c r="L64" i="11"/>
  <c r="K64" i="11"/>
  <c r="J64" i="11"/>
  <c r="I64" i="11"/>
  <c r="H64" i="11"/>
  <c r="G64" i="11"/>
  <c r="F64" i="11"/>
  <c r="E64" i="11"/>
  <c r="D64" i="11"/>
  <c r="C64" i="11"/>
  <c r="AI63" i="11"/>
  <c r="AH63" i="11"/>
  <c r="AG63" i="11"/>
  <c r="AF63" i="11"/>
  <c r="AE63" i="11"/>
  <c r="AD63" i="11"/>
  <c r="AC63" i="11"/>
  <c r="AB63" i="11"/>
  <c r="AA63" i="11"/>
  <c r="Z63" i="11"/>
  <c r="Y63" i="11"/>
  <c r="X63" i="11"/>
  <c r="W63" i="11"/>
  <c r="V63" i="11"/>
  <c r="U63" i="11"/>
  <c r="T63" i="11"/>
  <c r="S63" i="11"/>
  <c r="R63" i="11"/>
  <c r="Q63" i="11"/>
  <c r="P63" i="11"/>
  <c r="O63" i="11"/>
  <c r="N63" i="11"/>
  <c r="M63" i="11"/>
  <c r="L63" i="11"/>
  <c r="K63" i="11"/>
  <c r="J63" i="11"/>
  <c r="I63" i="11"/>
  <c r="H63" i="11"/>
  <c r="G63" i="11"/>
  <c r="F63" i="11"/>
  <c r="E63" i="11"/>
  <c r="D63" i="11"/>
  <c r="C63" i="11"/>
  <c r="AI62" i="11"/>
  <c r="AH62" i="11"/>
  <c r="AG62" i="11"/>
  <c r="AF62" i="11"/>
  <c r="AE62" i="11"/>
  <c r="AD62" i="11"/>
  <c r="AC62" i="11"/>
  <c r="AB62" i="11"/>
  <c r="AA62" i="11"/>
  <c r="Z62" i="11"/>
  <c r="Y62" i="11"/>
  <c r="X62" i="11"/>
  <c r="W62" i="11"/>
  <c r="V62" i="11"/>
  <c r="U62" i="11"/>
  <c r="T62" i="11"/>
  <c r="S62" i="11"/>
  <c r="R62" i="11"/>
  <c r="Q62" i="11"/>
  <c r="P62" i="11"/>
  <c r="O62" i="11"/>
  <c r="N62" i="11"/>
  <c r="M62" i="11"/>
  <c r="L62" i="11"/>
  <c r="K62" i="11"/>
  <c r="J62" i="11"/>
  <c r="I62" i="11"/>
  <c r="H62" i="11"/>
  <c r="G62" i="11"/>
  <c r="F62" i="11"/>
  <c r="E62" i="11"/>
  <c r="D62" i="11"/>
  <c r="C62"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K61" i="11"/>
  <c r="J61" i="11"/>
  <c r="I61" i="11"/>
  <c r="H61" i="11"/>
  <c r="G61" i="11"/>
  <c r="F61" i="11"/>
  <c r="E61" i="11"/>
  <c r="D61" i="11"/>
  <c r="C61" i="11"/>
  <c r="AI60" i="11"/>
  <c r="AH60" i="11"/>
  <c r="AG60" i="11"/>
  <c r="AF60" i="11"/>
  <c r="AE60" i="11"/>
  <c r="AD60" i="11"/>
  <c r="AC60" i="11"/>
  <c r="AB60" i="11"/>
  <c r="AA60" i="11"/>
  <c r="Z60" i="11"/>
  <c r="Y60" i="11"/>
  <c r="X60" i="11"/>
  <c r="W60" i="11"/>
  <c r="V60" i="11"/>
  <c r="U60" i="11"/>
  <c r="T60" i="11"/>
  <c r="S60" i="11"/>
  <c r="R60" i="11"/>
  <c r="Q60" i="11"/>
  <c r="P60" i="11"/>
  <c r="O60" i="11"/>
  <c r="N60" i="11"/>
  <c r="M60" i="11"/>
  <c r="L60" i="11"/>
  <c r="K60" i="11"/>
  <c r="J60" i="11"/>
  <c r="I60" i="11"/>
  <c r="H60" i="11"/>
  <c r="G60" i="11"/>
  <c r="F60" i="11"/>
  <c r="E60" i="11"/>
  <c r="D60" i="11"/>
  <c r="C60" i="11"/>
  <c r="B68" i="11"/>
  <c r="B67" i="11"/>
  <c r="B66" i="11"/>
  <c r="B65" i="11"/>
  <c r="B64" i="11"/>
  <c r="B63" i="11"/>
  <c r="B62" i="11"/>
  <c r="B61" i="11"/>
  <c r="B60" i="11"/>
  <c r="E32" i="13"/>
  <c r="F32" i="13" s="1"/>
  <c r="C32" i="13"/>
  <c r="B32" i="13"/>
  <c r="E31" i="13"/>
  <c r="F31" i="13" s="1"/>
  <c r="D31" i="13"/>
  <c r="C31" i="13"/>
  <c r="B31" i="13"/>
  <c r="E30" i="13"/>
  <c r="F30" i="13" s="1"/>
  <c r="D30" i="13"/>
  <c r="C30" i="13"/>
  <c r="B30" i="13"/>
  <c r="E29" i="13"/>
  <c r="F29" i="13" s="1"/>
  <c r="D29" i="13"/>
  <c r="C29" i="13"/>
  <c r="B29" i="13"/>
  <c r="E28" i="13"/>
  <c r="F28" i="13" s="1"/>
  <c r="D28" i="13"/>
  <c r="C28" i="13"/>
  <c r="B28" i="13"/>
  <c r="E27" i="13"/>
  <c r="F27" i="13" s="1"/>
  <c r="D27" i="13"/>
  <c r="C27" i="13"/>
  <c r="B27" i="13"/>
  <c r="E26" i="13"/>
  <c r="F26" i="13" s="1"/>
  <c r="D26" i="13"/>
  <c r="C26" i="13"/>
  <c r="B26" i="13"/>
  <c r="E25" i="13"/>
  <c r="F25" i="13" s="1"/>
  <c r="D25" i="13"/>
  <c r="C25" i="13"/>
  <c r="B25" i="13"/>
  <c r="C24" i="13"/>
  <c r="E24" i="13"/>
  <c r="F24" i="13" s="1"/>
  <c r="D24" i="13"/>
  <c r="B24" i="13"/>
  <c r="D34" i="13"/>
  <c r="E34" i="13" s="1"/>
  <c r="F34" i="13" s="1"/>
  <c r="G34" i="13" s="1"/>
  <c r="H34" i="13" s="1"/>
  <c r="I34" i="13" s="1"/>
  <c r="J34" i="13" s="1"/>
  <c r="K34" i="13" s="1"/>
  <c r="L34" i="13" s="1"/>
  <c r="M34" i="13" s="1"/>
  <c r="N34" i="13" s="1"/>
  <c r="O34" i="13" s="1"/>
  <c r="P34" i="13" s="1"/>
  <c r="Q34" i="13" s="1"/>
  <c r="R34" i="13" s="1"/>
  <c r="S34" i="13" s="1"/>
  <c r="T34" i="13" s="1"/>
  <c r="U34" i="13" s="1"/>
  <c r="V34" i="13" s="1"/>
  <c r="W34" i="13" s="1"/>
  <c r="X34" i="13" s="1"/>
  <c r="Y34" i="13" s="1"/>
  <c r="Z34" i="13" s="1"/>
  <c r="AA34" i="13" s="1"/>
  <c r="AB34" i="13" s="1"/>
  <c r="AC34" i="13" s="1"/>
  <c r="AD34" i="13" s="1"/>
  <c r="AE34" i="13" s="1"/>
  <c r="AF34" i="13" s="1"/>
  <c r="AG34" i="13" s="1"/>
  <c r="AH34" i="13" s="1"/>
  <c r="AI34" i="13" s="1"/>
  <c r="C34" i="13"/>
  <c r="AI68" i="19"/>
  <c r="AI67" i="19"/>
  <c r="AI66" i="19"/>
  <c r="AI65" i="19"/>
  <c r="AI64" i="19"/>
  <c r="AI63" i="19"/>
  <c r="AI62" i="19"/>
  <c r="AI61" i="19"/>
  <c r="AI60" i="19"/>
  <c r="AI59" i="19"/>
  <c r="AI58" i="19"/>
  <c r="AI57" i="19"/>
  <c r="AI56" i="19"/>
  <c r="AI55" i="19"/>
  <c r="AI54" i="19"/>
  <c r="AI53" i="19"/>
  <c r="AI52" i="19"/>
  <c r="AI51" i="19"/>
  <c r="AI50" i="19"/>
  <c r="AI49" i="19"/>
  <c r="AI48" i="19"/>
  <c r="AI47" i="19"/>
  <c r="AI46" i="19"/>
  <c r="AI45" i="19"/>
  <c r="AI44" i="19"/>
  <c r="AI43" i="19"/>
  <c r="AI42" i="19"/>
  <c r="AI41" i="19"/>
  <c r="AI40" i="19"/>
  <c r="AI39" i="19"/>
  <c r="AI38" i="19"/>
  <c r="AI37" i="19"/>
  <c r="AI36" i="19"/>
  <c r="AH68" i="19"/>
  <c r="AG68" i="19"/>
  <c r="AH67" i="19"/>
  <c r="AG67" i="19"/>
  <c r="AH66" i="19"/>
  <c r="AG66" i="19"/>
  <c r="AH65" i="19"/>
  <c r="AG65" i="19"/>
  <c r="AH64" i="19"/>
  <c r="AG64" i="19"/>
  <c r="AH63" i="19"/>
  <c r="AG63" i="19"/>
  <c r="AH62" i="19"/>
  <c r="AG62" i="19"/>
  <c r="AH61" i="19"/>
  <c r="AG61" i="19"/>
  <c r="AH60" i="19"/>
  <c r="AG60" i="19"/>
  <c r="AH59" i="19"/>
  <c r="AG59" i="19"/>
  <c r="AH58" i="19"/>
  <c r="AG58" i="19"/>
  <c r="AH57" i="19"/>
  <c r="AG57" i="19"/>
  <c r="AH56" i="19"/>
  <c r="AG56" i="19"/>
  <c r="AH55" i="19"/>
  <c r="AG55" i="19"/>
  <c r="AH54" i="19"/>
  <c r="AG54" i="19"/>
  <c r="AH53" i="19"/>
  <c r="AG53" i="19"/>
  <c r="AH52" i="19"/>
  <c r="AG52" i="19"/>
  <c r="AH51" i="19"/>
  <c r="AG51" i="19"/>
  <c r="AH50" i="19"/>
  <c r="AG50" i="19"/>
  <c r="AH49" i="19"/>
  <c r="AG49" i="19"/>
  <c r="AH48" i="19"/>
  <c r="AG48" i="19"/>
  <c r="AH47" i="19"/>
  <c r="AG47" i="19"/>
  <c r="AH46" i="19"/>
  <c r="AG46" i="19"/>
  <c r="AH45" i="19"/>
  <c r="AG45" i="19"/>
  <c r="AH44" i="19"/>
  <c r="AG44" i="19"/>
  <c r="AH43" i="19"/>
  <c r="AG43" i="19"/>
  <c r="AH42" i="19"/>
  <c r="AG42" i="19"/>
  <c r="AH41" i="19"/>
  <c r="AG41" i="19"/>
  <c r="AH40" i="19"/>
  <c r="AG40" i="19"/>
  <c r="AH39" i="19"/>
  <c r="AG39" i="19"/>
  <c r="AH38" i="19"/>
  <c r="AG38" i="19"/>
  <c r="AH37" i="19"/>
  <c r="AG37" i="19"/>
  <c r="AH36" i="19"/>
  <c r="AG36" i="19"/>
  <c r="AE68" i="19"/>
  <c r="AE67" i="19"/>
  <c r="AE66" i="19"/>
  <c r="AE65" i="19"/>
  <c r="AE64" i="19"/>
  <c r="AE63" i="19"/>
  <c r="AE62" i="19"/>
  <c r="AE61" i="19"/>
  <c r="AE60" i="19"/>
  <c r="AE59" i="19"/>
  <c r="AE58" i="19"/>
  <c r="AE57" i="19"/>
  <c r="AE56" i="19"/>
  <c r="AE55" i="19"/>
  <c r="AE54" i="19"/>
  <c r="AE53" i="19"/>
  <c r="AE52" i="19"/>
  <c r="AE51" i="19"/>
  <c r="AE50" i="19"/>
  <c r="AE49" i="19"/>
  <c r="AE48" i="19"/>
  <c r="AE47" i="19"/>
  <c r="AE46" i="19"/>
  <c r="AE45" i="19"/>
  <c r="AE44" i="19"/>
  <c r="AE43" i="19"/>
  <c r="AE42" i="19"/>
  <c r="AE41" i="19"/>
  <c r="AE40" i="19"/>
  <c r="AE39" i="19"/>
  <c r="AE38" i="19"/>
  <c r="AE37" i="19"/>
  <c r="AE36" i="19"/>
  <c r="AD68" i="19"/>
  <c r="AD67" i="19"/>
  <c r="AD66" i="19"/>
  <c r="AD65" i="19"/>
  <c r="AD64" i="19"/>
  <c r="AD63" i="19"/>
  <c r="AD62" i="19"/>
  <c r="AD61" i="19"/>
  <c r="AD60" i="19"/>
  <c r="AD59" i="19"/>
  <c r="AD58" i="19"/>
  <c r="AD57" i="19"/>
  <c r="AD56" i="19"/>
  <c r="AD55" i="19"/>
  <c r="AD54" i="19"/>
  <c r="AD53" i="19"/>
  <c r="AD52" i="19"/>
  <c r="AD51" i="19"/>
  <c r="AD50" i="19"/>
  <c r="AD49" i="19"/>
  <c r="AD48" i="19"/>
  <c r="AD47" i="19"/>
  <c r="AD46" i="19"/>
  <c r="AD45" i="19"/>
  <c r="AD44" i="19"/>
  <c r="AD43" i="19"/>
  <c r="AD42" i="19"/>
  <c r="AD41" i="19"/>
  <c r="AD40" i="19"/>
  <c r="AD39" i="19"/>
  <c r="AD38" i="19"/>
  <c r="AD37" i="19"/>
  <c r="AD36" i="19"/>
  <c r="AD35" i="19"/>
  <c r="AC53" i="19"/>
  <c r="AC46" i="19"/>
  <c r="AC45" i="19"/>
  <c r="AB68" i="19"/>
  <c r="AB67" i="19"/>
  <c r="AB66" i="19"/>
  <c r="AB65" i="19"/>
  <c r="AB64" i="19"/>
  <c r="AB63" i="19"/>
  <c r="AB62" i="19"/>
  <c r="AB61" i="19"/>
  <c r="AB60" i="19"/>
  <c r="AB59" i="19"/>
  <c r="AB58" i="19"/>
  <c r="AB57" i="19"/>
  <c r="AB56" i="19"/>
  <c r="AB55" i="19"/>
  <c r="AB54" i="19"/>
  <c r="AB53" i="19"/>
  <c r="AB52" i="19"/>
  <c r="AB51" i="19"/>
  <c r="AB50" i="19"/>
  <c r="AB49" i="19"/>
  <c r="AB48" i="19"/>
  <c r="AB47" i="19"/>
  <c r="AB46" i="19"/>
  <c r="AB45" i="19"/>
  <c r="AB44" i="19"/>
  <c r="AB43" i="19"/>
  <c r="AB42" i="19"/>
  <c r="AB41" i="19"/>
  <c r="AB40" i="19"/>
  <c r="AB39" i="19"/>
  <c r="AB38" i="19"/>
  <c r="AB37" i="19"/>
  <c r="AB36" i="19"/>
  <c r="Z68" i="19"/>
  <c r="Y68" i="19"/>
  <c r="AA68" i="19"/>
  <c r="AC68" i="19" s="1"/>
  <c r="X68" i="19"/>
  <c r="W68" i="19"/>
  <c r="V68" i="19"/>
  <c r="U68" i="19"/>
  <c r="T68" i="19"/>
  <c r="S68" i="19"/>
  <c r="Z67" i="19"/>
  <c r="Y67" i="19"/>
  <c r="AA67" i="19"/>
  <c r="AC67" i="19" s="1"/>
  <c r="X67" i="19"/>
  <c r="W67" i="19"/>
  <c r="V67" i="19"/>
  <c r="U67" i="19"/>
  <c r="T67" i="19"/>
  <c r="S67" i="19"/>
  <c r="Z66" i="19"/>
  <c r="Y66" i="19"/>
  <c r="AA66" i="19"/>
  <c r="AC66" i="19" s="1"/>
  <c r="X66" i="19"/>
  <c r="W66" i="19"/>
  <c r="V66" i="19"/>
  <c r="U66" i="19"/>
  <c r="T66" i="19"/>
  <c r="S66" i="19"/>
  <c r="Z65" i="19"/>
  <c r="Y65" i="19"/>
  <c r="AA65" i="19"/>
  <c r="AC65" i="19" s="1"/>
  <c r="X65" i="19"/>
  <c r="W65" i="19"/>
  <c r="V65" i="19"/>
  <c r="U65" i="19"/>
  <c r="T65" i="19"/>
  <c r="S65" i="19"/>
  <c r="Z64" i="19"/>
  <c r="Y64" i="19"/>
  <c r="AA64" i="19"/>
  <c r="AC64" i="19" s="1"/>
  <c r="X64" i="19"/>
  <c r="W64" i="19"/>
  <c r="V64" i="19"/>
  <c r="U64" i="19"/>
  <c r="T64" i="19"/>
  <c r="S64" i="19"/>
  <c r="Z63" i="19"/>
  <c r="Y63" i="19"/>
  <c r="AA63" i="19"/>
  <c r="AC63" i="19" s="1"/>
  <c r="X63" i="19"/>
  <c r="W63" i="19"/>
  <c r="V63" i="19"/>
  <c r="U63" i="19"/>
  <c r="T63" i="19"/>
  <c r="S63" i="19"/>
  <c r="Z62" i="19"/>
  <c r="Y62" i="19"/>
  <c r="AA62" i="19"/>
  <c r="AC62" i="19" s="1"/>
  <c r="X62" i="19"/>
  <c r="W62" i="19"/>
  <c r="V62" i="19"/>
  <c r="U62" i="19"/>
  <c r="T62" i="19"/>
  <c r="S62" i="19"/>
  <c r="Z61" i="19"/>
  <c r="Y61" i="19"/>
  <c r="AA61" i="19"/>
  <c r="AC61" i="19" s="1"/>
  <c r="X61" i="19"/>
  <c r="W61" i="19"/>
  <c r="V61" i="19"/>
  <c r="U61" i="19"/>
  <c r="T61" i="19"/>
  <c r="S61" i="19"/>
  <c r="Z60" i="19"/>
  <c r="Y60" i="19"/>
  <c r="AA60" i="19"/>
  <c r="AC60" i="19" s="1"/>
  <c r="X60" i="19"/>
  <c r="W60" i="19"/>
  <c r="V60" i="19"/>
  <c r="U60" i="19"/>
  <c r="T60" i="19"/>
  <c r="S60" i="19"/>
  <c r="Z59" i="19"/>
  <c r="Y59" i="19"/>
  <c r="AA59" i="19"/>
  <c r="AC59" i="19" s="1"/>
  <c r="X59" i="19"/>
  <c r="W59" i="19"/>
  <c r="V59" i="19"/>
  <c r="U59" i="19"/>
  <c r="T59" i="19"/>
  <c r="S59" i="19"/>
  <c r="Z58" i="19"/>
  <c r="Y58" i="19"/>
  <c r="AA58" i="19"/>
  <c r="AC58" i="19" s="1"/>
  <c r="X58" i="19"/>
  <c r="W58" i="19"/>
  <c r="V58" i="19"/>
  <c r="U58" i="19"/>
  <c r="T58" i="19"/>
  <c r="S58" i="19"/>
  <c r="Z57" i="19"/>
  <c r="Y57" i="19"/>
  <c r="AA57" i="19"/>
  <c r="AC57" i="19" s="1"/>
  <c r="X57" i="19"/>
  <c r="W57" i="19"/>
  <c r="V57" i="19"/>
  <c r="U57" i="19"/>
  <c r="T57" i="19"/>
  <c r="S57" i="19"/>
  <c r="Z56" i="19"/>
  <c r="Y56" i="19"/>
  <c r="AA56" i="19"/>
  <c r="AC56" i="19" s="1"/>
  <c r="X56" i="19"/>
  <c r="W56" i="19"/>
  <c r="V56" i="19"/>
  <c r="U56" i="19"/>
  <c r="T56" i="19"/>
  <c r="S56" i="19"/>
  <c r="Z55" i="19"/>
  <c r="Y55" i="19"/>
  <c r="AA55" i="19"/>
  <c r="AC55" i="19" s="1"/>
  <c r="X55" i="19"/>
  <c r="W55" i="19"/>
  <c r="V55" i="19"/>
  <c r="U55" i="19"/>
  <c r="T55" i="19"/>
  <c r="S55" i="19"/>
  <c r="Z54" i="19"/>
  <c r="Y54" i="19"/>
  <c r="AA54" i="19"/>
  <c r="AC54" i="19" s="1"/>
  <c r="X54" i="19"/>
  <c r="W54" i="19"/>
  <c r="V54" i="19"/>
  <c r="U54" i="19"/>
  <c r="T54" i="19"/>
  <c r="S54" i="19"/>
  <c r="Z53" i="19"/>
  <c r="Y53" i="19"/>
  <c r="AA53" i="19"/>
  <c r="X53" i="19"/>
  <c r="W53" i="19"/>
  <c r="V53" i="19"/>
  <c r="U53" i="19"/>
  <c r="T53" i="19"/>
  <c r="S53" i="19"/>
  <c r="Z52" i="19"/>
  <c r="Y52" i="19"/>
  <c r="AA52" i="19"/>
  <c r="AC52" i="19" s="1"/>
  <c r="X52" i="19"/>
  <c r="W52" i="19"/>
  <c r="V52" i="19"/>
  <c r="U52" i="19"/>
  <c r="T52" i="19"/>
  <c r="S52" i="19"/>
  <c r="Z51" i="19"/>
  <c r="Y51" i="19"/>
  <c r="AA51" i="19"/>
  <c r="AC51" i="19" s="1"/>
  <c r="X51" i="19"/>
  <c r="W51" i="19"/>
  <c r="V51" i="19"/>
  <c r="U51" i="19"/>
  <c r="T51" i="19"/>
  <c r="S51" i="19"/>
  <c r="Z50" i="19"/>
  <c r="Y50" i="19"/>
  <c r="AA50" i="19"/>
  <c r="AC50" i="19" s="1"/>
  <c r="X50" i="19"/>
  <c r="W50" i="19"/>
  <c r="V50" i="19"/>
  <c r="U50" i="19"/>
  <c r="T50" i="19"/>
  <c r="S50" i="19"/>
  <c r="Z49" i="19"/>
  <c r="Y49" i="19"/>
  <c r="AA49" i="19"/>
  <c r="AC49" i="19" s="1"/>
  <c r="X49" i="19"/>
  <c r="W49" i="19"/>
  <c r="V49" i="19"/>
  <c r="U49" i="19"/>
  <c r="T49" i="19"/>
  <c r="S49" i="19"/>
  <c r="Z48" i="19"/>
  <c r="Y48" i="19"/>
  <c r="AA48" i="19"/>
  <c r="AC48" i="19" s="1"/>
  <c r="X48" i="19"/>
  <c r="W48" i="19"/>
  <c r="V48" i="19"/>
  <c r="U48" i="19"/>
  <c r="T48" i="19"/>
  <c r="S48" i="19"/>
  <c r="Z47" i="19"/>
  <c r="Y47" i="19"/>
  <c r="AA47" i="19"/>
  <c r="AC47" i="19" s="1"/>
  <c r="X47" i="19"/>
  <c r="W47" i="19"/>
  <c r="V47" i="19"/>
  <c r="U47" i="19"/>
  <c r="T47" i="19"/>
  <c r="S47" i="19"/>
  <c r="Z46" i="19"/>
  <c r="Y46" i="19"/>
  <c r="AA46" i="19"/>
  <c r="X46" i="19"/>
  <c r="W46" i="19"/>
  <c r="V46" i="19"/>
  <c r="U46" i="19"/>
  <c r="T46" i="19"/>
  <c r="S46" i="19"/>
  <c r="Z45" i="19"/>
  <c r="Y45" i="19"/>
  <c r="AA45" i="19"/>
  <c r="X45" i="19"/>
  <c r="W45" i="19"/>
  <c r="V45" i="19"/>
  <c r="U45" i="19"/>
  <c r="T45" i="19"/>
  <c r="S45" i="19"/>
  <c r="Z44" i="19"/>
  <c r="Y44" i="19"/>
  <c r="AA44" i="19"/>
  <c r="AC44" i="19" s="1"/>
  <c r="X44" i="19"/>
  <c r="W44" i="19"/>
  <c r="V44" i="19"/>
  <c r="U44" i="19"/>
  <c r="T44" i="19"/>
  <c r="S44" i="19"/>
  <c r="Z43" i="19"/>
  <c r="Y43" i="19"/>
  <c r="AA43" i="19"/>
  <c r="AC43" i="19" s="1"/>
  <c r="X43" i="19"/>
  <c r="W43" i="19"/>
  <c r="V43" i="19"/>
  <c r="U43" i="19"/>
  <c r="T43" i="19"/>
  <c r="S43" i="19"/>
  <c r="Z42" i="19"/>
  <c r="Y42" i="19"/>
  <c r="AA42" i="19"/>
  <c r="AC42" i="19" s="1"/>
  <c r="X42" i="19"/>
  <c r="W42" i="19"/>
  <c r="V42" i="19"/>
  <c r="U42" i="19"/>
  <c r="T42" i="19"/>
  <c r="S42" i="19"/>
  <c r="Z41" i="19"/>
  <c r="Y41" i="19"/>
  <c r="AA41" i="19"/>
  <c r="AC41" i="19" s="1"/>
  <c r="X41" i="19"/>
  <c r="W41" i="19"/>
  <c r="V41" i="19"/>
  <c r="U41" i="19"/>
  <c r="T41" i="19"/>
  <c r="S41" i="19"/>
  <c r="Z40" i="19"/>
  <c r="Y40" i="19"/>
  <c r="AA40" i="19"/>
  <c r="AC40" i="19" s="1"/>
  <c r="X40" i="19"/>
  <c r="W40" i="19"/>
  <c r="V40" i="19"/>
  <c r="U40" i="19"/>
  <c r="T40" i="19"/>
  <c r="S40" i="19"/>
  <c r="Z39" i="19"/>
  <c r="Y39" i="19"/>
  <c r="AA39" i="19"/>
  <c r="AC39" i="19" s="1"/>
  <c r="X39" i="19"/>
  <c r="W39" i="19"/>
  <c r="V39" i="19"/>
  <c r="U39" i="19"/>
  <c r="T39" i="19"/>
  <c r="S39" i="19"/>
  <c r="Z38" i="19"/>
  <c r="Y38" i="19"/>
  <c r="AA38" i="19"/>
  <c r="AC38" i="19" s="1"/>
  <c r="X38" i="19"/>
  <c r="W38" i="19"/>
  <c r="V38" i="19"/>
  <c r="U38" i="19"/>
  <c r="T38" i="19"/>
  <c r="S38" i="19"/>
  <c r="Z37" i="19"/>
  <c r="Y37" i="19"/>
  <c r="AA37" i="19"/>
  <c r="AC37" i="19" s="1"/>
  <c r="X37" i="19"/>
  <c r="W37" i="19"/>
  <c r="V37" i="19"/>
  <c r="U37" i="19"/>
  <c r="T37" i="19"/>
  <c r="S37" i="19"/>
  <c r="Z36" i="19"/>
  <c r="Y36" i="19"/>
  <c r="AA36" i="19"/>
  <c r="AC36" i="19" s="1"/>
  <c r="X36" i="19"/>
  <c r="W36" i="19"/>
  <c r="V36" i="19"/>
  <c r="U36" i="19"/>
  <c r="T36" i="19"/>
  <c r="S36"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4" i="19"/>
  <c r="L33" i="19"/>
  <c r="L32" i="19"/>
  <c r="L31" i="19"/>
  <c r="L30" i="19"/>
  <c r="L29" i="19"/>
  <c r="L28" i="19"/>
  <c r="L27" i="19"/>
  <c r="L26" i="19"/>
  <c r="L25" i="19"/>
  <c r="L24" i="19"/>
  <c r="L23" i="19"/>
  <c r="L22" i="19"/>
  <c r="L21" i="19"/>
  <c r="L20" i="19"/>
  <c r="L19" i="19"/>
  <c r="L18" i="19"/>
  <c r="L17" i="19"/>
  <c r="L16" i="19"/>
  <c r="L15" i="19"/>
  <c r="L14" i="19"/>
  <c r="L13" i="19"/>
  <c r="L12" i="19"/>
  <c r="L11" i="19"/>
  <c r="L10" i="19"/>
  <c r="L9" i="19"/>
  <c r="L8" i="19"/>
  <c r="L7" i="19"/>
  <c r="L6" i="19"/>
  <c r="N86" i="20"/>
  <c r="N85" i="20"/>
  <c r="N84" i="20"/>
  <c r="N83" i="20"/>
  <c r="N82" i="20"/>
  <c r="N81" i="20"/>
  <c r="N80" i="20"/>
  <c r="N79" i="20"/>
  <c r="N78" i="20"/>
  <c r="N77" i="20"/>
  <c r="N76" i="20"/>
  <c r="N75" i="20"/>
  <c r="N74" i="20"/>
  <c r="N73" i="20"/>
  <c r="N72" i="20"/>
  <c r="N71" i="20"/>
  <c r="N70" i="20"/>
  <c r="N69" i="20"/>
  <c r="N68" i="20"/>
  <c r="N67" i="20"/>
  <c r="N66" i="20"/>
  <c r="N65" i="20"/>
  <c r="N64" i="20"/>
  <c r="N63" i="20"/>
  <c r="N62" i="20"/>
  <c r="N61" i="20"/>
  <c r="N60" i="20"/>
  <c r="N59" i="20"/>
  <c r="N58" i="20"/>
  <c r="N57" i="20"/>
  <c r="N56" i="20"/>
  <c r="N55" i="20"/>
  <c r="N54" i="20"/>
  <c r="N53" i="20"/>
  <c r="N52" i="20"/>
  <c r="N51" i="20"/>
  <c r="N50" i="20"/>
  <c r="N49" i="20"/>
  <c r="N48" i="20"/>
  <c r="N47" i="20"/>
  <c r="N46" i="20"/>
  <c r="N45" i="20"/>
  <c r="N44" i="20"/>
  <c r="N43" i="20"/>
  <c r="N42" i="20"/>
  <c r="N41" i="20"/>
  <c r="N40" i="20"/>
  <c r="N39" i="20"/>
  <c r="N38" i="20"/>
  <c r="N37" i="20"/>
  <c r="N36" i="20"/>
  <c r="N35" i="20"/>
  <c r="N34" i="20"/>
  <c r="N33" i="20"/>
  <c r="N32" i="20"/>
  <c r="N31" i="20"/>
  <c r="N30" i="20"/>
  <c r="N29" i="20"/>
  <c r="N28" i="20"/>
  <c r="N27" i="20"/>
  <c r="N26" i="20"/>
  <c r="N25" i="20"/>
  <c r="N24" i="20"/>
  <c r="Q69" i="16"/>
  <c r="Q68" i="16"/>
  <c r="Q67" i="16"/>
  <c r="Q66" i="16"/>
  <c r="Q65" i="16"/>
  <c r="Q64" i="16"/>
  <c r="Q63" i="16"/>
  <c r="Q62" i="16"/>
  <c r="Q61" i="16"/>
  <c r="Q60" i="16"/>
  <c r="Q59" i="16"/>
  <c r="Q58" i="16"/>
  <c r="Q57" i="16"/>
  <c r="Q56" i="16"/>
  <c r="Q55" i="16"/>
  <c r="Q54" i="16"/>
  <c r="Q53" i="16"/>
  <c r="Q52" i="16"/>
  <c r="Q51" i="16"/>
  <c r="Q50" i="16"/>
  <c r="Q49" i="16"/>
  <c r="Q48" i="16"/>
  <c r="Q47" i="16"/>
  <c r="Q46" i="16"/>
  <c r="Q45" i="16"/>
  <c r="Q44" i="16"/>
  <c r="Q43" i="16"/>
  <c r="Q42" i="16"/>
  <c r="Q41" i="16"/>
  <c r="Q40" i="16"/>
  <c r="Q39" i="16"/>
  <c r="Q38" i="16"/>
  <c r="Q37" i="16"/>
  <c r="Q36" i="16"/>
  <c r="Q35" i="16"/>
  <c r="Q34" i="16"/>
  <c r="Q33" i="16"/>
  <c r="Q32" i="16"/>
  <c r="Q31" i="16"/>
  <c r="Q30" i="16"/>
  <c r="Q29" i="16"/>
  <c r="Q28" i="16"/>
  <c r="Q27" i="16"/>
  <c r="Q26" i="16"/>
  <c r="Q25" i="16"/>
  <c r="Q24" i="16"/>
  <c r="Q23" i="16"/>
  <c r="Q22" i="16"/>
  <c r="Q21" i="16"/>
  <c r="Q20" i="16"/>
  <c r="Q19" i="16"/>
  <c r="Q18" i="16"/>
  <c r="Q17" i="16"/>
  <c r="Q16" i="16"/>
  <c r="Q15" i="16"/>
  <c r="Q14" i="16"/>
  <c r="Q13" i="16"/>
  <c r="Q12" i="16"/>
  <c r="Q11" i="16"/>
  <c r="Q10" i="16"/>
  <c r="Q9" i="16"/>
  <c r="Q8" i="16"/>
  <c r="Q7" i="16"/>
  <c r="Q6" i="16"/>
  <c r="N69" i="16"/>
  <c r="N68" i="16"/>
  <c r="N67" i="16"/>
  <c r="N66" i="16"/>
  <c r="N65" i="16"/>
  <c r="N64" i="16"/>
  <c r="N63" i="16"/>
  <c r="N62" i="16"/>
  <c r="N61" i="16"/>
  <c r="N60" i="16"/>
  <c r="N59" i="16"/>
  <c r="N58" i="16"/>
  <c r="N57" i="16"/>
  <c r="N56" i="16"/>
  <c r="N55" i="16"/>
  <c r="N54" i="16"/>
  <c r="N53" i="16"/>
  <c r="N52" i="16"/>
  <c r="N51" i="16"/>
  <c r="N50" i="16"/>
  <c r="N49" i="16"/>
  <c r="N48" i="16"/>
  <c r="N47" i="16"/>
  <c r="N46" i="16"/>
  <c r="N45" i="16"/>
  <c r="N44" i="16"/>
  <c r="N43" i="16"/>
  <c r="N42" i="16"/>
  <c r="N41" i="16"/>
  <c r="N40" i="16"/>
  <c r="N39" i="16"/>
  <c r="N38" i="16"/>
  <c r="N37" i="16"/>
  <c r="N36" i="16"/>
  <c r="N35" i="16"/>
  <c r="N34" i="16"/>
  <c r="N33" i="16"/>
  <c r="N32" i="16"/>
  <c r="N31" i="16"/>
  <c r="N30" i="16"/>
  <c r="N29" i="16"/>
  <c r="N28" i="16"/>
  <c r="N27" i="16"/>
  <c r="N26" i="16"/>
  <c r="N25" i="16"/>
  <c r="N24" i="16"/>
  <c r="N23" i="16"/>
  <c r="N22" i="16"/>
  <c r="N21" i="16"/>
  <c r="N20" i="16"/>
  <c r="N19" i="16"/>
  <c r="N18" i="16"/>
  <c r="N17" i="16"/>
  <c r="N16" i="16"/>
  <c r="N15" i="16"/>
  <c r="N14" i="16"/>
  <c r="N13" i="16"/>
  <c r="N12" i="16"/>
  <c r="N11" i="16"/>
  <c r="N10" i="16"/>
  <c r="N9" i="16"/>
  <c r="N8" i="16"/>
  <c r="N7" i="16"/>
  <c r="N6" i="16"/>
  <c r="I6" i="16"/>
  <c r="P69" i="16"/>
  <c r="O69" i="16"/>
  <c r="M69" i="16"/>
  <c r="L69" i="16"/>
  <c r="K69" i="16"/>
  <c r="J69" i="16"/>
  <c r="P68" i="16"/>
  <c r="O68" i="16"/>
  <c r="AB68" i="16" s="1"/>
  <c r="M68" i="16"/>
  <c r="L68" i="16"/>
  <c r="K68" i="16"/>
  <c r="J68" i="16"/>
  <c r="P67" i="16"/>
  <c r="O67" i="16"/>
  <c r="AB67" i="16" s="1"/>
  <c r="M67" i="16"/>
  <c r="L67" i="16"/>
  <c r="K67" i="16"/>
  <c r="J67" i="16"/>
  <c r="Z68" i="16" s="1"/>
  <c r="P66" i="16"/>
  <c r="O66" i="16"/>
  <c r="AB66" i="16" s="1"/>
  <c r="M66" i="16"/>
  <c r="L66" i="16"/>
  <c r="K66" i="16"/>
  <c r="J66" i="16"/>
  <c r="Z67" i="16" s="1"/>
  <c r="P65" i="16"/>
  <c r="O65" i="16"/>
  <c r="AB65" i="16" s="1"/>
  <c r="M65" i="16"/>
  <c r="L65" i="16"/>
  <c r="K65" i="16"/>
  <c r="J65" i="16"/>
  <c r="Z66" i="16" s="1"/>
  <c r="P64" i="16"/>
  <c r="O64" i="16"/>
  <c r="AB64" i="16" s="1"/>
  <c r="M64" i="16"/>
  <c r="L64" i="16"/>
  <c r="K64" i="16"/>
  <c r="J64" i="16"/>
  <c r="Z65" i="16" s="1"/>
  <c r="P63" i="16"/>
  <c r="O63" i="16"/>
  <c r="AB63" i="16" s="1"/>
  <c r="M63" i="16"/>
  <c r="L63" i="16"/>
  <c r="K63" i="16"/>
  <c r="J63" i="16"/>
  <c r="Z64" i="16" s="1"/>
  <c r="P62" i="16"/>
  <c r="O62" i="16"/>
  <c r="AB62" i="16" s="1"/>
  <c r="M62" i="16"/>
  <c r="L62" i="16"/>
  <c r="K62" i="16"/>
  <c r="J62" i="16"/>
  <c r="Z63" i="16" s="1"/>
  <c r="P61" i="16"/>
  <c r="O61" i="16"/>
  <c r="AB61" i="16" s="1"/>
  <c r="M61" i="16"/>
  <c r="L61" i="16"/>
  <c r="K61" i="16"/>
  <c r="J61" i="16"/>
  <c r="Z62" i="16" s="1"/>
  <c r="P60" i="16"/>
  <c r="O60" i="16"/>
  <c r="AB60" i="16" s="1"/>
  <c r="M60" i="16"/>
  <c r="L60" i="16"/>
  <c r="K60" i="16"/>
  <c r="J60" i="16"/>
  <c r="Z61" i="16" s="1"/>
  <c r="P59" i="16"/>
  <c r="O59" i="16"/>
  <c r="AB59" i="16" s="1"/>
  <c r="M59" i="16"/>
  <c r="L59" i="16"/>
  <c r="K59" i="16"/>
  <c r="J59" i="16"/>
  <c r="Z60" i="16" s="1"/>
  <c r="P58" i="16"/>
  <c r="O58" i="16"/>
  <c r="AB58" i="16" s="1"/>
  <c r="M58" i="16"/>
  <c r="L58" i="16"/>
  <c r="K58" i="16"/>
  <c r="J58" i="16"/>
  <c r="Z59" i="16" s="1"/>
  <c r="P57" i="16"/>
  <c r="O57" i="16"/>
  <c r="AB57" i="16" s="1"/>
  <c r="M57" i="16"/>
  <c r="L57" i="16"/>
  <c r="K57" i="16"/>
  <c r="J57" i="16"/>
  <c r="Z58" i="16" s="1"/>
  <c r="P56" i="16"/>
  <c r="O56" i="16"/>
  <c r="AB56" i="16" s="1"/>
  <c r="M56" i="16"/>
  <c r="L56" i="16"/>
  <c r="K56" i="16"/>
  <c r="J56" i="16"/>
  <c r="Z57" i="16" s="1"/>
  <c r="P55" i="16"/>
  <c r="O55" i="16"/>
  <c r="AB55" i="16" s="1"/>
  <c r="M55" i="16"/>
  <c r="L55" i="16"/>
  <c r="K55" i="16"/>
  <c r="J55" i="16"/>
  <c r="Z56" i="16" s="1"/>
  <c r="P54" i="16"/>
  <c r="O54" i="16"/>
  <c r="AB54" i="16" s="1"/>
  <c r="M54" i="16"/>
  <c r="L54" i="16"/>
  <c r="K54" i="16"/>
  <c r="J54" i="16"/>
  <c r="Z55" i="16" s="1"/>
  <c r="P53" i="16"/>
  <c r="O53" i="16"/>
  <c r="AB53" i="16" s="1"/>
  <c r="M53" i="16"/>
  <c r="L53" i="16"/>
  <c r="K53" i="16"/>
  <c r="J53" i="16"/>
  <c r="Z54" i="16" s="1"/>
  <c r="P52" i="16"/>
  <c r="O52" i="16"/>
  <c r="AB52" i="16" s="1"/>
  <c r="M52" i="16"/>
  <c r="L52" i="16"/>
  <c r="K52" i="16"/>
  <c r="J52" i="16"/>
  <c r="Z53" i="16" s="1"/>
  <c r="P51" i="16"/>
  <c r="O51" i="16"/>
  <c r="AB51" i="16" s="1"/>
  <c r="M51" i="16"/>
  <c r="L51" i="16"/>
  <c r="K51" i="16"/>
  <c r="J51" i="16"/>
  <c r="Z52" i="16" s="1"/>
  <c r="P50" i="16"/>
  <c r="O50" i="16"/>
  <c r="AB50" i="16" s="1"/>
  <c r="M50" i="16"/>
  <c r="L50" i="16"/>
  <c r="K50" i="16"/>
  <c r="J50" i="16"/>
  <c r="Z51" i="16" s="1"/>
  <c r="P49" i="16"/>
  <c r="O49" i="16"/>
  <c r="AB49" i="16" s="1"/>
  <c r="M49" i="16"/>
  <c r="L49" i="16"/>
  <c r="K49" i="16"/>
  <c r="J49" i="16"/>
  <c r="Z50" i="16" s="1"/>
  <c r="P48" i="16"/>
  <c r="O48" i="16"/>
  <c r="AB48" i="16" s="1"/>
  <c r="M48" i="16"/>
  <c r="L48" i="16"/>
  <c r="K48" i="16"/>
  <c r="J48" i="16"/>
  <c r="Z49" i="16" s="1"/>
  <c r="P47" i="16"/>
  <c r="O47" i="16"/>
  <c r="AB47" i="16" s="1"/>
  <c r="M47" i="16"/>
  <c r="L47" i="16"/>
  <c r="K47" i="16"/>
  <c r="J47" i="16"/>
  <c r="Z48" i="16" s="1"/>
  <c r="P46" i="16"/>
  <c r="O46" i="16"/>
  <c r="AB46" i="16" s="1"/>
  <c r="M46" i="16"/>
  <c r="L46" i="16"/>
  <c r="K46" i="16"/>
  <c r="J46" i="16"/>
  <c r="Z47" i="16" s="1"/>
  <c r="P45" i="16"/>
  <c r="O45" i="16"/>
  <c r="AB45" i="16" s="1"/>
  <c r="M45" i="16"/>
  <c r="L45" i="16"/>
  <c r="K45" i="16"/>
  <c r="J45" i="16"/>
  <c r="Z46" i="16" s="1"/>
  <c r="P44" i="16"/>
  <c r="O44" i="16"/>
  <c r="AB44" i="16" s="1"/>
  <c r="M44" i="16"/>
  <c r="L44" i="16"/>
  <c r="K44" i="16"/>
  <c r="J44" i="16"/>
  <c r="Z45" i="16" s="1"/>
  <c r="P43" i="16"/>
  <c r="O43" i="16"/>
  <c r="AB43" i="16" s="1"/>
  <c r="M43" i="16"/>
  <c r="L43" i="16"/>
  <c r="K43" i="16"/>
  <c r="J43" i="16"/>
  <c r="Z44" i="16" s="1"/>
  <c r="P42" i="16"/>
  <c r="O42" i="16"/>
  <c r="AB42" i="16" s="1"/>
  <c r="M42" i="16"/>
  <c r="L42" i="16"/>
  <c r="K42" i="16"/>
  <c r="J42" i="16"/>
  <c r="Z43" i="16" s="1"/>
  <c r="P41" i="16"/>
  <c r="O41" i="16"/>
  <c r="AB41" i="16" s="1"/>
  <c r="M41" i="16"/>
  <c r="L41" i="16"/>
  <c r="K41" i="16"/>
  <c r="J41" i="16"/>
  <c r="Z42" i="16" s="1"/>
  <c r="P40" i="16"/>
  <c r="O40" i="16"/>
  <c r="AB40" i="16" s="1"/>
  <c r="M40" i="16"/>
  <c r="L40" i="16"/>
  <c r="K40" i="16"/>
  <c r="J40" i="16"/>
  <c r="Z41" i="16" s="1"/>
  <c r="P39" i="16"/>
  <c r="O39" i="16"/>
  <c r="AB39" i="16" s="1"/>
  <c r="M39" i="16"/>
  <c r="L39" i="16"/>
  <c r="K39" i="16"/>
  <c r="J39" i="16"/>
  <c r="Z40" i="16" s="1"/>
  <c r="P38" i="16"/>
  <c r="O38" i="16"/>
  <c r="AB38" i="16" s="1"/>
  <c r="M38" i="16"/>
  <c r="L38" i="16"/>
  <c r="K38" i="16"/>
  <c r="J38" i="16"/>
  <c r="Z39" i="16" s="1"/>
  <c r="P37" i="16"/>
  <c r="O37" i="16"/>
  <c r="AB37" i="16" s="1"/>
  <c r="M37" i="16"/>
  <c r="L37" i="16"/>
  <c r="K37" i="16"/>
  <c r="J37" i="16"/>
  <c r="Z38" i="16" s="1"/>
  <c r="P36" i="16"/>
  <c r="O36" i="16"/>
  <c r="AB36" i="16" s="1"/>
  <c r="M36" i="16"/>
  <c r="L36" i="16"/>
  <c r="K36" i="16"/>
  <c r="J36" i="16"/>
  <c r="Z37" i="16" s="1"/>
  <c r="P35" i="16"/>
  <c r="O35" i="16"/>
  <c r="M35" i="16"/>
  <c r="L35" i="16"/>
  <c r="K35" i="16"/>
  <c r="J35" i="16"/>
  <c r="Z36" i="16" s="1"/>
  <c r="P34" i="16"/>
  <c r="O34" i="16"/>
  <c r="M34" i="16"/>
  <c r="L34" i="16"/>
  <c r="K34" i="16"/>
  <c r="J34" i="16"/>
  <c r="P33" i="16"/>
  <c r="O33" i="16"/>
  <c r="M33" i="16"/>
  <c r="L33" i="16"/>
  <c r="K33" i="16"/>
  <c r="J33" i="16"/>
  <c r="P32" i="16"/>
  <c r="O32" i="16"/>
  <c r="M32" i="16"/>
  <c r="L32" i="16"/>
  <c r="K32" i="16"/>
  <c r="J32" i="16"/>
  <c r="P31" i="16"/>
  <c r="O31" i="16"/>
  <c r="M31" i="16"/>
  <c r="L31" i="16"/>
  <c r="K31" i="16"/>
  <c r="J31" i="16"/>
  <c r="P30" i="16"/>
  <c r="O30" i="16"/>
  <c r="M30" i="16"/>
  <c r="L30" i="16"/>
  <c r="K30" i="16"/>
  <c r="J30" i="16"/>
  <c r="P29" i="16"/>
  <c r="O29" i="16"/>
  <c r="M29" i="16"/>
  <c r="L29" i="16"/>
  <c r="K29" i="16"/>
  <c r="J29" i="16"/>
  <c r="P28" i="16"/>
  <c r="O28" i="16"/>
  <c r="M28" i="16"/>
  <c r="L28" i="16"/>
  <c r="K28" i="16"/>
  <c r="J28" i="16"/>
  <c r="P27" i="16"/>
  <c r="O27" i="16"/>
  <c r="M27" i="16"/>
  <c r="L27" i="16"/>
  <c r="K27" i="16"/>
  <c r="J27" i="16"/>
  <c r="P26" i="16"/>
  <c r="O26" i="16"/>
  <c r="M26" i="16"/>
  <c r="L26" i="16"/>
  <c r="K26" i="16"/>
  <c r="J26" i="16"/>
  <c r="P25" i="16"/>
  <c r="O25" i="16"/>
  <c r="M25" i="16"/>
  <c r="L25" i="16"/>
  <c r="K25" i="16"/>
  <c r="J25" i="16"/>
  <c r="P24" i="16"/>
  <c r="O24" i="16"/>
  <c r="M24" i="16"/>
  <c r="L24" i="16"/>
  <c r="K24" i="16"/>
  <c r="J24" i="16"/>
  <c r="P23" i="16"/>
  <c r="O23" i="16"/>
  <c r="M23" i="16"/>
  <c r="L23" i="16"/>
  <c r="K23" i="16"/>
  <c r="J23" i="16"/>
  <c r="P22" i="16"/>
  <c r="O22" i="16"/>
  <c r="M22" i="16"/>
  <c r="L22" i="16"/>
  <c r="K22" i="16"/>
  <c r="J22" i="16"/>
  <c r="P21" i="16"/>
  <c r="O21" i="16"/>
  <c r="M21" i="16"/>
  <c r="L21" i="16"/>
  <c r="K21" i="16"/>
  <c r="J21" i="16"/>
  <c r="P20" i="16"/>
  <c r="O20" i="16"/>
  <c r="M20" i="16"/>
  <c r="L20" i="16"/>
  <c r="K20" i="16"/>
  <c r="J20" i="16"/>
  <c r="P19" i="16"/>
  <c r="O19" i="16"/>
  <c r="M19" i="16"/>
  <c r="L19" i="16"/>
  <c r="K19" i="16"/>
  <c r="J19" i="16"/>
  <c r="P18" i="16"/>
  <c r="O18" i="16"/>
  <c r="M18" i="16"/>
  <c r="L18" i="16"/>
  <c r="K18" i="16"/>
  <c r="J18" i="16"/>
  <c r="P17" i="16"/>
  <c r="O17" i="16"/>
  <c r="M17" i="16"/>
  <c r="L17" i="16"/>
  <c r="K17" i="16"/>
  <c r="J17" i="16"/>
  <c r="P16" i="16"/>
  <c r="O16" i="16"/>
  <c r="M16" i="16"/>
  <c r="L16" i="16"/>
  <c r="K16" i="16"/>
  <c r="J16" i="16"/>
  <c r="P15" i="16"/>
  <c r="O15" i="16"/>
  <c r="M15" i="16"/>
  <c r="L15" i="16"/>
  <c r="K15" i="16"/>
  <c r="J15" i="16"/>
  <c r="P14" i="16"/>
  <c r="O14" i="16"/>
  <c r="M14" i="16"/>
  <c r="L14" i="16"/>
  <c r="K14" i="16"/>
  <c r="J14" i="16"/>
  <c r="P13" i="16"/>
  <c r="O13" i="16"/>
  <c r="M13" i="16"/>
  <c r="L13" i="16"/>
  <c r="K13" i="16"/>
  <c r="J13" i="16"/>
  <c r="P12" i="16"/>
  <c r="O12" i="16"/>
  <c r="M12" i="16"/>
  <c r="L12" i="16"/>
  <c r="K12" i="16"/>
  <c r="J12" i="16"/>
  <c r="P11" i="16"/>
  <c r="O11" i="16"/>
  <c r="M11" i="16"/>
  <c r="L11" i="16"/>
  <c r="K11" i="16"/>
  <c r="J11" i="16"/>
  <c r="P10" i="16"/>
  <c r="O10" i="16"/>
  <c r="M10" i="16"/>
  <c r="L10" i="16"/>
  <c r="K10" i="16"/>
  <c r="J10" i="16"/>
  <c r="P9" i="16"/>
  <c r="O9" i="16"/>
  <c r="M9" i="16"/>
  <c r="L9" i="16"/>
  <c r="K9" i="16"/>
  <c r="J9" i="16"/>
  <c r="P8" i="16"/>
  <c r="O8" i="16"/>
  <c r="M8" i="16"/>
  <c r="L8" i="16"/>
  <c r="K8" i="16"/>
  <c r="J8" i="16"/>
  <c r="P7" i="16"/>
  <c r="O7" i="16"/>
  <c r="M7" i="16"/>
  <c r="L7" i="16"/>
  <c r="K7" i="16"/>
  <c r="J7" i="16"/>
  <c r="P6" i="16"/>
  <c r="O6" i="16"/>
  <c r="M6" i="16"/>
  <c r="L6" i="16"/>
  <c r="K6" i="16"/>
  <c r="J6" i="16"/>
  <c r="I69" i="16"/>
  <c r="I68" i="16"/>
  <c r="I67" i="16"/>
  <c r="I66" i="16"/>
  <c r="I65" i="16"/>
  <c r="I64" i="16"/>
  <c r="I63" i="16"/>
  <c r="I62" i="16"/>
  <c r="I61" i="16"/>
  <c r="I60" i="16"/>
  <c r="I59" i="16"/>
  <c r="I58" i="16"/>
  <c r="I57" i="16"/>
  <c r="I56" i="16"/>
  <c r="I55" i="16"/>
  <c r="I54" i="16"/>
  <c r="I53" i="16"/>
  <c r="I52" i="16"/>
  <c r="I51" i="16"/>
  <c r="I50" i="16"/>
  <c r="I49" i="16"/>
  <c r="I48" i="16"/>
  <c r="I47" i="16"/>
  <c r="I46" i="16"/>
  <c r="I45" i="16"/>
  <c r="I44" i="16"/>
  <c r="I43" i="16"/>
  <c r="I42" i="16"/>
  <c r="I41" i="16"/>
  <c r="I40" i="16"/>
  <c r="I39" i="16"/>
  <c r="I38" i="16"/>
  <c r="I37" i="16"/>
  <c r="I36" i="16"/>
  <c r="I35" i="16"/>
  <c r="I34" i="16"/>
  <c r="I33" i="16"/>
  <c r="I32" i="16"/>
  <c r="I31" i="16"/>
  <c r="I30" i="16"/>
  <c r="I29" i="16"/>
  <c r="I28" i="16"/>
  <c r="I27" i="16"/>
  <c r="I26" i="16"/>
  <c r="I25" i="16"/>
  <c r="I24" i="16"/>
  <c r="I23" i="16"/>
  <c r="I22" i="16"/>
  <c r="I21" i="16"/>
  <c r="I20" i="16"/>
  <c r="I19" i="16"/>
  <c r="I18" i="16"/>
  <c r="I17" i="16"/>
  <c r="I16" i="16"/>
  <c r="I15" i="16"/>
  <c r="I14" i="16"/>
  <c r="I13" i="16"/>
  <c r="I12" i="16"/>
  <c r="I11" i="16"/>
  <c r="I10" i="16"/>
  <c r="I9" i="16"/>
  <c r="I8" i="16"/>
  <c r="I7" i="16"/>
  <c r="U91" i="17"/>
  <c r="U90" i="17"/>
  <c r="U89" i="17"/>
  <c r="U88" i="17"/>
  <c r="U87" i="17"/>
  <c r="U86" i="17"/>
  <c r="U85" i="17"/>
  <c r="U84" i="17"/>
  <c r="U83" i="17"/>
  <c r="U82" i="17"/>
  <c r="U81" i="17"/>
  <c r="U80" i="17"/>
  <c r="U79" i="17"/>
  <c r="U78" i="17"/>
  <c r="U77" i="17"/>
  <c r="U76" i="17"/>
  <c r="U75" i="17"/>
  <c r="U74" i="17"/>
  <c r="U73" i="17"/>
  <c r="U72" i="17"/>
  <c r="U71" i="17"/>
  <c r="U70" i="17"/>
  <c r="U69" i="17"/>
  <c r="U68" i="17"/>
  <c r="U67" i="17"/>
  <c r="U66" i="17"/>
  <c r="U65" i="17"/>
  <c r="U64" i="17"/>
  <c r="U63" i="17"/>
  <c r="U62" i="17"/>
  <c r="U61" i="17"/>
  <c r="U60" i="17"/>
  <c r="U59" i="17"/>
  <c r="U58" i="17"/>
  <c r="U57" i="17"/>
  <c r="U56" i="17"/>
  <c r="U55" i="17"/>
  <c r="U54" i="17"/>
  <c r="U53" i="17"/>
  <c r="U52" i="17"/>
  <c r="U51" i="17"/>
  <c r="U50" i="17"/>
  <c r="U49" i="17"/>
  <c r="U48" i="17"/>
  <c r="U47" i="17"/>
  <c r="U46" i="17"/>
  <c r="U45" i="17"/>
  <c r="U44" i="17"/>
  <c r="U43" i="17"/>
  <c r="U42" i="17"/>
  <c r="U41" i="17"/>
  <c r="U40" i="17"/>
  <c r="U39" i="17"/>
  <c r="U38" i="17"/>
  <c r="U37" i="17"/>
  <c r="U36" i="17"/>
  <c r="U35" i="17"/>
  <c r="U34" i="17"/>
  <c r="U33" i="17"/>
  <c r="U32" i="17"/>
  <c r="U31" i="17"/>
  <c r="U30" i="17"/>
  <c r="U29" i="17"/>
  <c r="U28" i="17"/>
  <c r="AX6" i="34" l="1"/>
  <c r="BA6" i="34" s="1"/>
  <c r="AX3" i="34"/>
  <c r="BA3" i="34" s="1"/>
  <c r="AX7" i="34"/>
  <c r="BA7" i="34" s="1"/>
  <c r="AW8" i="34"/>
  <c r="AZ8" i="34" s="1"/>
  <c r="AZ13" i="34" s="1"/>
  <c r="AX5" i="34"/>
  <c r="BA5" i="34" s="1"/>
  <c r="AX4" i="34"/>
  <c r="BA4" i="34" s="1"/>
  <c r="AY13" i="34"/>
  <c r="Y57" i="27"/>
  <c r="AX4" i="18"/>
  <c r="BA4" i="18" s="1"/>
  <c r="AW9" i="18"/>
  <c r="AZ9" i="18" s="1"/>
  <c r="AW5" i="18"/>
  <c r="AZ5" i="18" s="1"/>
  <c r="AX8" i="18"/>
  <c r="BA8" i="18" s="1"/>
  <c r="AX5" i="18"/>
  <c r="BA5" i="18" s="1"/>
  <c r="AX9" i="18"/>
  <c r="BA9" i="18" s="1"/>
  <c r="AY5" i="18"/>
  <c r="AY9" i="18"/>
  <c r="AN7" i="18"/>
  <c r="AN11" i="18"/>
  <c r="AW4" i="18"/>
  <c r="AZ4" i="18" s="1"/>
  <c r="AW8" i="18"/>
  <c r="AZ8" i="18" s="1"/>
  <c r="AN6" i="18"/>
  <c r="AN10" i="18"/>
  <c r="AW3" i="18"/>
  <c r="AZ3" i="18" s="1"/>
  <c r="AW7" i="18"/>
  <c r="AZ7" i="18" s="1"/>
  <c r="AW11" i="18"/>
  <c r="AZ11" i="18" s="1"/>
  <c r="AX3" i="18"/>
  <c r="BA3" i="18" s="1"/>
  <c r="AX7" i="18"/>
  <c r="BA7" i="18" s="1"/>
  <c r="AX11" i="18"/>
  <c r="BA11" i="18" s="1"/>
  <c r="AY3" i="18"/>
  <c r="AS12" i="18"/>
  <c r="AW6" i="18"/>
  <c r="AZ6" i="18" s="1"/>
  <c r="AW10" i="18"/>
  <c r="AZ10" i="18" s="1"/>
  <c r="AX6" i="18"/>
  <c r="BA6" i="18" s="1"/>
  <c r="AX10" i="18"/>
  <c r="BA10" i="18" s="1"/>
  <c r="AN4" i="18"/>
  <c r="AN8" i="18"/>
  <c r="F57" i="18"/>
  <c r="G57" i="18" s="1"/>
  <c r="H57" i="18" s="1"/>
  <c r="I57" i="18" s="1"/>
  <c r="J57" i="18" s="1"/>
  <c r="K57" i="18" s="1"/>
  <c r="L57" i="18" s="1"/>
  <c r="M57" i="18" s="1"/>
  <c r="N57" i="18" s="1"/>
  <c r="O57" i="18" s="1"/>
  <c r="P57" i="18" s="1"/>
  <c r="Q57" i="18" s="1"/>
  <c r="R57" i="18" s="1"/>
  <c r="S57" i="18" s="1"/>
  <c r="T57" i="18" s="1"/>
  <c r="U57" i="18" s="1"/>
  <c r="V57" i="18" s="1"/>
  <c r="P36" i="18"/>
  <c r="P48" i="18" s="1"/>
  <c r="O36" i="18"/>
  <c r="O48" i="18" s="1"/>
  <c r="Q36" i="18"/>
  <c r="Q48" i="18" s="1"/>
  <c r="B37" i="18"/>
  <c r="Z37" i="18"/>
  <c r="Z49" i="18" s="1"/>
  <c r="K38" i="18"/>
  <c r="K50" i="18" s="1"/>
  <c r="AI38" i="18"/>
  <c r="AI50" i="18" s="1"/>
  <c r="T39" i="18"/>
  <c r="T51" i="18" s="1"/>
  <c r="E40" i="18"/>
  <c r="E52" i="18" s="1"/>
  <c r="AC40" i="18"/>
  <c r="AC52" i="18" s="1"/>
  <c r="N41" i="18"/>
  <c r="N53" i="18" s="1"/>
  <c r="W42" i="18"/>
  <c r="W54" i="18" s="1"/>
  <c r="H43" i="18"/>
  <c r="H55" i="18" s="1"/>
  <c r="AF43" i="18"/>
  <c r="AF55" i="18" s="1"/>
  <c r="Q44" i="18"/>
  <c r="Q56" i="18" s="1"/>
  <c r="M41" i="18"/>
  <c r="M53" i="18" s="1"/>
  <c r="R36" i="18"/>
  <c r="R48" i="18" s="1"/>
  <c r="U39" i="18"/>
  <c r="U51" i="18" s="1"/>
  <c r="F40" i="18"/>
  <c r="F52" i="18" s="1"/>
  <c r="AD40" i="18"/>
  <c r="AD52" i="18" s="1"/>
  <c r="O41" i="18"/>
  <c r="O53" i="18" s="1"/>
  <c r="X42" i="18"/>
  <c r="X54" i="18" s="1"/>
  <c r="I43" i="18"/>
  <c r="I55" i="18" s="1"/>
  <c r="AG43" i="18"/>
  <c r="AG55" i="18" s="1"/>
  <c r="R44" i="18"/>
  <c r="R56" i="18" s="1"/>
  <c r="S36" i="18"/>
  <c r="S48" i="18" s="1"/>
  <c r="D37" i="18"/>
  <c r="D49" i="18" s="1"/>
  <c r="AB37" i="18"/>
  <c r="AB49" i="18" s="1"/>
  <c r="M38" i="18"/>
  <c r="M50" i="18" s="1"/>
  <c r="V39" i="18"/>
  <c r="V51" i="18" s="1"/>
  <c r="G40" i="18"/>
  <c r="G52" i="18" s="1"/>
  <c r="AE40" i="18"/>
  <c r="AE52" i="18" s="1"/>
  <c r="P41" i="18"/>
  <c r="P53" i="18" s="1"/>
  <c r="Y42" i="18"/>
  <c r="Y54" i="18" s="1"/>
  <c r="J43" i="18"/>
  <c r="J55" i="18" s="1"/>
  <c r="AH43" i="18"/>
  <c r="AH55" i="18" s="1"/>
  <c r="S44" i="18"/>
  <c r="S56" i="18" s="1"/>
  <c r="T36" i="18"/>
  <c r="T48" i="18" s="1"/>
  <c r="E37" i="18"/>
  <c r="E49" i="18" s="1"/>
  <c r="AC37" i="18"/>
  <c r="AC49" i="18" s="1"/>
  <c r="N38" i="18"/>
  <c r="N50" i="18" s="1"/>
  <c r="W39" i="18"/>
  <c r="W51" i="18" s="1"/>
  <c r="H40" i="18"/>
  <c r="H52" i="18" s="1"/>
  <c r="AF40" i="18"/>
  <c r="AF52" i="18" s="1"/>
  <c r="Q41" i="18"/>
  <c r="Q53" i="18" s="1"/>
  <c r="B42" i="18"/>
  <c r="Z42" i="18"/>
  <c r="Z54" i="18" s="1"/>
  <c r="K43" i="18"/>
  <c r="K55" i="18" s="1"/>
  <c r="AI43" i="18"/>
  <c r="AI55" i="18" s="1"/>
  <c r="T44" i="18"/>
  <c r="T56" i="18" s="1"/>
  <c r="U36" i="18"/>
  <c r="U48" i="18" s="1"/>
  <c r="O38" i="18"/>
  <c r="O50" i="18" s="1"/>
  <c r="X39" i="18"/>
  <c r="X51" i="18" s="1"/>
  <c r="I40" i="18"/>
  <c r="I52" i="18" s="1"/>
  <c r="AG40" i="18"/>
  <c r="AG52" i="18" s="1"/>
  <c r="R41" i="18"/>
  <c r="R53" i="18" s="1"/>
  <c r="C42" i="18"/>
  <c r="C54" i="18" s="1"/>
  <c r="AA42" i="18"/>
  <c r="AA54" i="18" s="1"/>
  <c r="L43" i="18"/>
  <c r="L55" i="18" s="1"/>
  <c r="U44" i="18"/>
  <c r="U56" i="18" s="1"/>
  <c r="V36" i="18"/>
  <c r="V48" i="18" s="1"/>
  <c r="G37" i="18"/>
  <c r="G49" i="18" s="1"/>
  <c r="AE37" i="18"/>
  <c r="AE49" i="18" s="1"/>
  <c r="P38" i="18"/>
  <c r="P50" i="18" s="1"/>
  <c r="Y39" i="18"/>
  <c r="Y51" i="18" s="1"/>
  <c r="J40" i="18"/>
  <c r="J52" i="18" s="1"/>
  <c r="AH40" i="18"/>
  <c r="AH52" i="18" s="1"/>
  <c r="S41" i="18"/>
  <c r="S53" i="18" s="1"/>
  <c r="D42" i="18"/>
  <c r="D54" i="18" s="1"/>
  <c r="AB42" i="18"/>
  <c r="AB54" i="18" s="1"/>
  <c r="V44" i="18"/>
  <c r="V56" i="18" s="1"/>
  <c r="W36" i="18"/>
  <c r="W48" i="18" s="1"/>
  <c r="H37" i="18"/>
  <c r="H49" i="18" s="1"/>
  <c r="AF37" i="18"/>
  <c r="AF49" i="18" s="1"/>
  <c r="Q38" i="18"/>
  <c r="Q50" i="18" s="1"/>
  <c r="B39" i="18"/>
  <c r="Z39" i="18"/>
  <c r="Z51" i="18" s="1"/>
  <c r="K40" i="18"/>
  <c r="K52" i="18" s="1"/>
  <c r="AI40" i="18"/>
  <c r="AI52" i="18" s="1"/>
  <c r="T41" i="18"/>
  <c r="T53" i="18" s="1"/>
  <c r="E42" i="18"/>
  <c r="E54" i="18" s="1"/>
  <c r="AC42" i="18"/>
  <c r="AC54" i="18" s="1"/>
  <c r="N43" i="18"/>
  <c r="N55" i="18" s="1"/>
  <c r="W44" i="18"/>
  <c r="W56" i="18" s="1"/>
  <c r="X36" i="18"/>
  <c r="X48" i="18" s="1"/>
  <c r="R38" i="18"/>
  <c r="R50" i="18" s="1"/>
  <c r="U41" i="18"/>
  <c r="U53" i="18" s="1"/>
  <c r="F42" i="18"/>
  <c r="F54" i="18" s="1"/>
  <c r="AD42" i="18"/>
  <c r="AD54" i="18" s="1"/>
  <c r="O43" i="18"/>
  <c r="O55" i="18" s="1"/>
  <c r="X44" i="18"/>
  <c r="X56" i="18" s="1"/>
  <c r="Y36" i="18"/>
  <c r="Y48" i="18" s="1"/>
  <c r="J37" i="18"/>
  <c r="J49" i="18" s="1"/>
  <c r="AH37" i="18"/>
  <c r="AH49" i="18" s="1"/>
  <c r="S38" i="18"/>
  <c r="S50" i="18" s="1"/>
  <c r="D39" i="18"/>
  <c r="D51" i="18" s="1"/>
  <c r="AB39" i="18"/>
  <c r="AB51" i="18" s="1"/>
  <c r="M40" i="18"/>
  <c r="M52" i="18" s="1"/>
  <c r="V41" i="18"/>
  <c r="V53" i="18" s="1"/>
  <c r="G42" i="18"/>
  <c r="G54" i="18" s="1"/>
  <c r="AE42" i="18"/>
  <c r="AE54" i="18" s="1"/>
  <c r="P43" i="18"/>
  <c r="P55" i="18" s="1"/>
  <c r="Y44" i="18"/>
  <c r="Y56" i="18" s="1"/>
  <c r="B36" i="18"/>
  <c r="Z36" i="18"/>
  <c r="Z48" i="18" s="1"/>
  <c r="K37" i="18"/>
  <c r="K49" i="18" s="1"/>
  <c r="AI37" i="18"/>
  <c r="AI49" i="18" s="1"/>
  <c r="T38" i="18"/>
  <c r="T50" i="18" s="1"/>
  <c r="E39" i="18"/>
  <c r="E51" i="18" s="1"/>
  <c r="AC39" i="18"/>
  <c r="AC51" i="18" s="1"/>
  <c r="N40" i="18"/>
  <c r="N52" i="18" s="1"/>
  <c r="W41" i="18"/>
  <c r="W53" i="18" s="1"/>
  <c r="H42" i="18"/>
  <c r="H54" i="18" s="1"/>
  <c r="AF42" i="18"/>
  <c r="AF54" i="18" s="1"/>
  <c r="Q43" i="18"/>
  <c r="Q55" i="18" s="1"/>
  <c r="B44" i="18"/>
  <c r="Z44" i="18"/>
  <c r="Z56" i="18" s="1"/>
  <c r="C36" i="18"/>
  <c r="C48" i="18" s="1"/>
  <c r="AA36" i="18"/>
  <c r="AA48" i="18" s="1"/>
  <c r="U38" i="18"/>
  <c r="U50" i="18" s="1"/>
  <c r="F39" i="18"/>
  <c r="F51" i="18" s="1"/>
  <c r="AD39" i="18"/>
  <c r="AD51" i="18" s="1"/>
  <c r="O40" i="18"/>
  <c r="O52" i="18" s="1"/>
  <c r="X41" i="18"/>
  <c r="X53" i="18" s="1"/>
  <c r="I42" i="18"/>
  <c r="I54" i="18" s="1"/>
  <c r="AG42" i="18"/>
  <c r="AG54" i="18" s="1"/>
  <c r="R43" i="18"/>
  <c r="R55" i="18" s="1"/>
  <c r="C44" i="18"/>
  <c r="C56" i="18" s="1"/>
  <c r="AA44" i="18"/>
  <c r="AA56" i="18" s="1"/>
  <c r="D36" i="18"/>
  <c r="D48" i="18" s="1"/>
  <c r="AB36" i="18"/>
  <c r="AB48" i="18" s="1"/>
  <c r="M37" i="18"/>
  <c r="M49" i="18" s="1"/>
  <c r="V38" i="18"/>
  <c r="V50" i="18" s="1"/>
  <c r="G39" i="18"/>
  <c r="G51" i="18" s="1"/>
  <c r="AE39" i="18"/>
  <c r="AE51" i="18" s="1"/>
  <c r="P40" i="18"/>
  <c r="P52" i="18" s="1"/>
  <c r="Y41" i="18"/>
  <c r="Y53" i="18" s="1"/>
  <c r="J42" i="18"/>
  <c r="J54" i="18" s="1"/>
  <c r="AH42" i="18"/>
  <c r="AH54" i="18" s="1"/>
  <c r="S43" i="18"/>
  <c r="S55" i="18" s="1"/>
  <c r="D44" i="18"/>
  <c r="D56" i="18" s="1"/>
  <c r="AB44" i="18"/>
  <c r="AB56" i="18" s="1"/>
  <c r="E36" i="18"/>
  <c r="E48" i="18" s="1"/>
  <c r="AC36" i="18"/>
  <c r="AC48" i="18" s="1"/>
  <c r="N37" i="18"/>
  <c r="N49" i="18" s="1"/>
  <c r="W38" i="18"/>
  <c r="W50" i="18" s="1"/>
  <c r="H39" i="18"/>
  <c r="H51" i="18" s="1"/>
  <c r="AF39" i="18"/>
  <c r="AF51" i="18" s="1"/>
  <c r="Q40" i="18"/>
  <c r="Q52" i="18" s="1"/>
  <c r="B41" i="18"/>
  <c r="Z41" i="18"/>
  <c r="Z53" i="18" s="1"/>
  <c r="K42" i="18"/>
  <c r="K54" i="18" s="1"/>
  <c r="AI42" i="18"/>
  <c r="AI54" i="18" s="1"/>
  <c r="T43" i="18"/>
  <c r="T55" i="18" s="1"/>
  <c r="E44" i="18"/>
  <c r="E56" i="18" s="1"/>
  <c r="AC44" i="18"/>
  <c r="AC56" i="18" s="1"/>
  <c r="F36" i="18"/>
  <c r="F48" i="18" s="1"/>
  <c r="AD36" i="18"/>
  <c r="AD48" i="18" s="1"/>
  <c r="X38" i="18"/>
  <c r="X50" i="18" s="1"/>
  <c r="I39" i="18"/>
  <c r="I51" i="18" s="1"/>
  <c r="AG39" i="18"/>
  <c r="AG51" i="18" s="1"/>
  <c r="R40" i="18"/>
  <c r="R52" i="18" s="1"/>
  <c r="C41" i="18"/>
  <c r="C53" i="18" s="1"/>
  <c r="AA41" i="18"/>
  <c r="AA53" i="18" s="1"/>
  <c r="U43" i="18"/>
  <c r="U55" i="18" s="1"/>
  <c r="F44" i="18"/>
  <c r="F56" i="18" s="1"/>
  <c r="AD44" i="18"/>
  <c r="AD56" i="18" s="1"/>
  <c r="G36" i="18"/>
  <c r="G48" i="18" s="1"/>
  <c r="AE36" i="18"/>
  <c r="AE48" i="18" s="1"/>
  <c r="P37" i="18"/>
  <c r="P49" i="18" s="1"/>
  <c r="Y38" i="18"/>
  <c r="Y50" i="18" s="1"/>
  <c r="J39" i="18"/>
  <c r="J51" i="18" s="1"/>
  <c r="AH39" i="18"/>
  <c r="AH51" i="18" s="1"/>
  <c r="S40" i="18"/>
  <c r="S52" i="18" s="1"/>
  <c r="D41" i="18"/>
  <c r="D53" i="18" s="1"/>
  <c r="AB41" i="18"/>
  <c r="AB53" i="18" s="1"/>
  <c r="V43" i="18"/>
  <c r="V55" i="18" s="1"/>
  <c r="G44" i="18"/>
  <c r="G56" i="18" s="1"/>
  <c r="AE44" i="18"/>
  <c r="AE56" i="18" s="1"/>
  <c r="H36" i="18"/>
  <c r="H48" i="18" s="1"/>
  <c r="AF36" i="18"/>
  <c r="AF48" i="18" s="1"/>
  <c r="Q37" i="18"/>
  <c r="Q49" i="18" s="1"/>
  <c r="B38" i="18"/>
  <c r="Z38" i="18"/>
  <c r="Z50" i="18" s="1"/>
  <c r="K39" i="18"/>
  <c r="K51" i="18" s="1"/>
  <c r="AI39" i="18"/>
  <c r="AI51" i="18" s="1"/>
  <c r="T40" i="18"/>
  <c r="T52" i="18" s="1"/>
  <c r="E41" i="18"/>
  <c r="E53" i="18" s="1"/>
  <c r="AC41" i="18"/>
  <c r="AC53" i="18" s="1"/>
  <c r="N42" i="18"/>
  <c r="N54" i="18" s="1"/>
  <c r="W43" i="18"/>
  <c r="W55" i="18" s="1"/>
  <c r="H44" i="18"/>
  <c r="H56" i="18" s="1"/>
  <c r="AF44" i="18"/>
  <c r="AF56" i="18" s="1"/>
  <c r="I36" i="18"/>
  <c r="I48" i="18" s="1"/>
  <c r="AG36" i="18"/>
  <c r="AG48" i="18" s="1"/>
  <c r="C38" i="18"/>
  <c r="C50" i="18" s="1"/>
  <c r="AA38" i="18"/>
  <c r="AA50" i="18" s="1"/>
  <c r="U40" i="18"/>
  <c r="U52" i="18" s="1"/>
  <c r="F41" i="18"/>
  <c r="F53" i="18" s="1"/>
  <c r="AD41" i="18"/>
  <c r="AD53" i="18" s="1"/>
  <c r="O42" i="18"/>
  <c r="O54" i="18" s="1"/>
  <c r="X43" i="18"/>
  <c r="X55" i="18" s="1"/>
  <c r="I44" i="18"/>
  <c r="I56" i="18" s="1"/>
  <c r="AG44" i="18"/>
  <c r="AG56" i="18" s="1"/>
  <c r="J36" i="18"/>
  <c r="J48" i="18" s="1"/>
  <c r="AH36" i="18"/>
  <c r="AH48" i="18" s="1"/>
  <c r="S37" i="18"/>
  <c r="S49" i="18" s="1"/>
  <c r="D38" i="18"/>
  <c r="D50" i="18" s="1"/>
  <c r="AB38" i="18"/>
  <c r="AB50" i="18" s="1"/>
  <c r="M39" i="18"/>
  <c r="M51" i="18" s="1"/>
  <c r="V40" i="18"/>
  <c r="V52" i="18" s="1"/>
  <c r="G41" i="18"/>
  <c r="G53" i="18" s="1"/>
  <c r="AE41" i="18"/>
  <c r="AE53" i="18" s="1"/>
  <c r="P42" i="18"/>
  <c r="P54" i="18" s="1"/>
  <c r="Y43" i="18"/>
  <c r="Y55" i="18" s="1"/>
  <c r="J44" i="18"/>
  <c r="J56" i="18" s="1"/>
  <c r="AH44" i="18"/>
  <c r="AH56" i="18" s="1"/>
  <c r="K36" i="18"/>
  <c r="K48" i="18" s="1"/>
  <c r="AI36" i="18"/>
  <c r="AI48" i="18" s="1"/>
  <c r="T37" i="18"/>
  <c r="T49" i="18" s="1"/>
  <c r="E38" i="18"/>
  <c r="E50" i="18" s="1"/>
  <c r="AC38" i="18"/>
  <c r="AC50" i="18" s="1"/>
  <c r="N39" i="18"/>
  <c r="N51" i="18" s="1"/>
  <c r="W40" i="18"/>
  <c r="W52" i="18" s="1"/>
  <c r="H41" i="18"/>
  <c r="H53" i="18" s="1"/>
  <c r="AF41" i="18"/>
  <c r="AF53" i="18" s="1"/>
  <c r="Q42" i="18"/>
  <c r="Q54" i="18" s="1"/>
  <c r="B43" i="18"/>
  <c r="Z43" i="18"/>
  <c r="Z55" i="18" s="1"/>
  <c r="K44" i="18"/>
  <c r="K56" i="18" s="1"/>
  <c r="AI44" i="18"/>
  <c r="AI56" i="18" s="1"/>
  <c r="F38" i="18"/>
  <c r="F50" i="18" s="1"/>
  <c r="AD38" i="18"/>
  <c r="AD50" i="18" s="1"/>
  <c r="X40" i="18"/>
  <c r="X52" i="18" s="1"/>
  <c r="I41" i="18"/>
  <c r="I53" i="18" s="1"/>
  <c r="AG41" i="18"/>
  <c r="AG53" i="18" s="1"/>
  <c r="R42" i="18"/>
  <c r="R54" i="18" s="1"/>
  <c r="C43" i="18"/>
  <c r="C55" i="18" s="1"/>
  <c r="M36" i="18"/>
  <c r="M48" i="18" s="1"/>
  <c r="V37" i="18"/>
  <c r="V49" i="18" s="1"/>
  <c r="G38" i="18"/>
  <c r="G50" i="18" s="1"/>
  <c r="AE38" i="18"/>
  <c r="AE50" i="18" s="1"/>
  <c r="P39" i="18"/>
  <c r="P51" i="18" s="1"/>
  <c r="Y40" i="18"/>
  <c r="Y52" i="18" s="1"/>
  <c r="J41" i="18"/>
  <c r="J53" i="18" s="1"/>
  <c r="AH41" i="18"/>
  <c r="AH53" i="18" s="1"/>
  <c r="S42" i="18"/>
  <c r="S54" i="18" s="1"/>
  <c r="D43" i="18"/>
  <c r="D55" i="18" s="1"/>
  <c r="AB43" i="18"/>
  <c r="AB55" i="18" s="1"/>
  <c r="M44" i="18"/>
  <c r="M56" i="18" s="1"/>
  <c r="N36" i="18"/>
  <c r="N48" i="18" s="1"/>
  <c r="H38" i="18"/>
  <c r="H50" i="18" s="1"/>
  <c r="AF38" i="18"/>
  <c r="AF50" i="18" s="1"/>
  <c r="Q39" i="18"/>
  <c r="Q51" i="18" s="1"/>
  <c r="B40" i="18"/>
  <c r="Z40" i="18"/>
  <c r="Z52" i="18" s="1"/>
  <c r="K41" i="18"/>
  <c r="K53" i="18" s="1"/>
  <c r="I38" i="18"/>
  <c r="I50" i="18" s="1"/>
  <c r="C40" i="18"/>
  <c r="C52" i="18" s="1"/>
  <c r="U42" i="18"/>
  <c r="U54" i="18" s="1"/>
  <c r="F43" i="18"/>
  <c r="F55" i="18" s="1"/>
  <c r="AD43" i="18"/>
  <c r="AD55" i="18" s="1"/>
  <c r="O44" i="18"/>
  <c r="O56" i="18" s="1"/>
  <c r="G43" i="18"/>
  <c r="G55" i="18" s="1"/>
  <c r="AF50" i="19"/>
  <c r="AF36" i="19"/>
  <c r="AF60" i="19"/>
  <c r="AF54" i="19"/>
  <c r="AF49" i="19"/>
  <c r="AF57" i="19"/>
  <c r="AF48" i="19"/>
  <c r="AF53" i="19"/>
  <c r="AF58" i="19"/>
  <c r="AF61" i="19"/>
  <c r="AF51" i="19"/>
  <c r="AF52" i="19"/>
  <c r="AF37" i="19"/>
  <c r="AF55" i="19"/>
  <c r="AF38" i="19"/>
  <c r="AF62" i="19"/>
  <c r="AF56" i="19"/>
  <c r="AF39" i="19"/>
  <c r="AF63" i="19"/>
  <c r="AF40" i="19"/>
  <c r="AF64" i="19"/>
  <c r="AF41" i="19"/>
  <c r="AF65" i="19"/>
  <c r="AF59" i="19"/>
  <c r="AF42" i="19"/>
  <c r="AF66" i="19"/>
  <c r="AF43" i="19"/>
  <c r="AF67" i="19"/>
  <c r="AF44" i="19"/>
  <c r="AF68" i="19"/>
  <c r="AF45" i="19"/>
  <c r="AF46" i="19"/>
  <c r="AF47" i="19"/>
  <c r="R6" i="16"/>
  <c r="AA58" i="16"/>
  <c r="R11" i="16"/>
  <c r="R7" i="16"/>
  <c r="R13" i="16"/>
  <c r="R9" i="16"/>
  <c r="R21" i="16"/>
  <c r="R25" i="16"/>
  <c r="AA41" i="16"/>
  <c r="AA45" i="16"/>
  <c r="R30" i="16"/>
  <c r="R34" i="16"/>
  <c r="AA66" i="16"/>
  <c r="R28" i="16"/>
  <c r="R20" i="16"/>
  <c r="AA52" i="16"/>
  <c r="R52" i="16"/>
  <c r="Y52" i="16" s="1"/>
  <c r="R58" i="16"/>
  <c r="Y58" i="16" s="1"/>
  <c r="R15" i="16"/>
  <c r="R19" i="16"/>
  <c r="R23" i="16"/>
  <c r="R27" i="16"/>
  <c r="R31" i="16"/>
  <c r="R35" i="16"/>
  <c r="R16" i="16"/>
  <c r="R24" i="16"/>
  <c r="R8" i="16"/>
  <c r="R41" i="16"/>
  <c r="Y41" i="16" s="1"/>
  <c r="R66" i="16"/>
  <c r="Y66" i="16" s="1"/>
  <c r="R12" i="16"/>
  <c r="R32" i="16"/>
  <c r="R17" i="16"/>
  <c r="R29" i="16"/>
  <c r="R33" i="16"/>
  <c r="R10" i="16"/>
  <c r="R26" i="16"/>
  <c r="R69" i="16"/>
  <c r="R14" i="16"/>
  <c r="R18" i="16"/>
  <c r="R22" i="16"/>
  <c r="BA13" i="34" l="1"/>
  <c r="Z57" i="27"/>
  <c r="AQ43" i="18"/>
  <c r="AR43" i="18" s="1"/>
  <c r="B55" i="18"/>
  <c r="AQ36" i="18"/>
  <c r="AR36" i="18" s="1"/>
  <c r="B48" i="18"/>
  <c r="AQ41" i="18"/>
  <c r="AR41" i="18" s="1"/>
  <c r="B53" i="18"/>
  <c r="AQ38" i="18"/>
  <c r="AR38" i="18" s="1"/>
  <c r="B50" i="18"/>
  <c r="AK50" i="18" s="1"/>
  <c r="AQ39" i="18"/>
  <c r="AR39" i="18" s="1"/>
  <c r="B51" i="18"/>
  <c r="B49" i="18"/>
  <c r="AK49" i="18" s="1"/>
  <c r="AQ37" i="18"/>
  <c r="AR37" i="18" s="1"/>
  <c r="AQ40" i="18"/>
  <c r="AR40" i="18" s="1"/>
  <c r="B52" i="18"/>
  <c r="AK52" i="18" s="1"/>
  <c r="AQ42" i="18"/>
  <c r="AR42" i="18" s="1"/>
  <c r="B54" i="18"/>
  <c r="AK54" i="18" s="1"/>
  <c r="AQ44" i="18"/>
  <c r="AR44" i="18" s="1"/>
  <c r="B56" i="18"/>
  <c r="AJ56" i="18" s="1"/>
  <c r="AY13" i="18"/>
  <c r="AY12" i="18"/>
  <c r="BA13" i="18"/>
  <c r="BA12" i="18"/>
  <c r="AZ13" i="18"/>
  <c r="AZ12" i="18"/>
  <c r="AK55" i="18"/>
  <c r="W57" i="18"/>
  <c r="X57" i="18" s="1"/>
  <c r="Y57" i="18" s="1"/>
  <c r="Z57" i="18" s="1"/>
  <c r="AA57" i="18" s="1"/>
  <c r="AB57" i="18" s="1"/>
  <c r="AC57" i="18" s="1"/>
  <c r="AD57" i="18" s="1"/>
  <c r="AE57" i="18" s="1"/>
  <c r="AF57" i="18" s="1"/>
  <c r="AG57" i="18" s="1"/>
  <c r="AH57" i="18" s="1"/>
  <c r="AI57" i="18" s="1"/>
  <c r="AK51" i="18"/>
  <c r="AK48" i="18"/>
  <c r="AK53" i="18"/>
  <c r="R45" i="16"/>
  <c r="Y45" i="16" s="1"/>
  <c r="AA60" i="16"/>
  <c r="R60" i="16"/>
  <c r="Y60" i="16" s="1"/>
  <c r="AA61" i="16"/>
  <c r="R61" i="16"/>
  <c r="Y61" i="16" s="1"/>
  <c r="AA63" i="16"/>
  <c r="R63" i="16"/>
  <c r="Y63" i="16" s="1"/>
  <c r="AA65" i="16"/>
  <c r="R65" i="16"/>
  <c r="Y65" i="16" s="1"/>
  <c r="R54" i="16"/>
  <c r="Y54" i="16" s="1"/>
  <c r="AA54" i="16"/>
  <c r="AA67" i="16"/>
  <c r="R67" i="16"/>
  <c r="Y67" i="16" s="1"/>
  <c r="R57" i="16"/>
  <c r="Y57" i="16" s="1"/>
  <c r="AA57" i="16"/>
  <c r="AA47" i="16"/>
  <c r="R47" i="16"/>
  <c r="Y47" i="16" s="1"/>
  <c r="AA48" i="16"/>
  <c r="R48" i="16"/>
  <c r="Y48" i="16" s="1"/>
  <c r="AA51" i="16"/>
  <c r="R51" i="16"/>
  <c r="Y51" i="16" s="1"/>
  <c r="AA50" i="16"/>
  <c r="R50" i="16"/>
  <c r="Y50" i="16" s="1"/>
  <c r="AA53" i="16"/>
  <c r="R53" i="16"/>
  <c r="Y53" i="16" s="1"/>
  <c r="AA49" i="16"/>
  <c r="R49" i="16"/>
  <c r="Y49" i="16" s="1"/>
  <c r="AA62" i="16"/>
  <c r="R62" i="16"/>
  <c r="Y62" i="16" s="1"/>
  <c r="AA46" i="16"/>
  <c r="R46" i="16"/>
  <c r="Y46" i="16" s="1"/>
  <c r="AA36" i="16"/>
  <c r="R36" i="16"/>
  <c r="Y36" i="16" s="1"/>
  <c r="AA59" i="16"/>
  <c r="R59" i="16"/>
  <c r="Y59" i="16" s="1"/>
  <c r="R55" i="16"/>
  <c r="Y55" i="16" s="1"/>
  <c r="AA55" i="16"/>
  <c r="AA43" i="16"/>
  <c r="R43" i="16"/>
  <c r="Y43" i="16" s="1"/>
  <c r="AA39" i="16"/>
  <c r="R39" i="16"/>
  <c r="Y39" i="16" s="1"/>
  <c r="AA68" i="16"/>
  <c r="R68" i="16"/>
  <c r="Y68" i="16" s="1"/>
  <c r="AA37" i="16"/>
  <c r="R37" i="16"/>
  <c r="Y37" i="16" s="1"/>
  <c r="R56" i="16"/>
  <c r="Y56" i="16" s="1"/>
  <c r="AA56" i="16"/>
  <c r="AA64" i="16"/>
  <c r="R64" i="16"/>
  <c r="Y64" i="16" s="1"/>
  <c r="AA44" i="16"/>
  <c r="R44" i="16"/>
  <c r="Y44" i="16" s="1"/>
  <c r="AA42" i="16"/>
  <c r="R42" i="16"/>
  <c r="Y42" i="16" s="1"/>
  <c r="AA38" i="16"/>
  <c r="R38" i="16"/>
  <c r="Y38" i="16" s="1"/>
  <c r="AA40" i="16"/>
  <c r="R40" i="16"/>
  <c r="Y40" i="16" s="1"/>
  <c r="AA57" i="27" l="1"/>
  <c r="AT42" i="18"/>
  <c r="AW42" i="18" s="1"/>
  <c r="AS42" i="18"/>
  <c r="AT40" i="18"/>
  <c r="AW40" i="18" s="1"/>
  <c r="AS40" i="18"/>
  <c r="AS37" i="18"/>
  <c r="AT37" i="18"/>
  <c r="AW37" i="18" s="1"/>
  <c r="AS39" i="18"/>
  <c r="AT39" i="18"/>
  <c r="AW39" i="18" s="1"/>
  <c r="AK56" i="18"/>
  <c r="AT38" i="18"/>
  <c r="AW38" i="18" s="1"/>
  <c r="AS38" i="18"/>
  <c r="AS44" i="18"/>
  <c r="AT44" i="18"/>
  <c r="AW44" i="18" s="1"/>
  <c r="AT41" i="18"/>
  <c r="AW41" i="18" s="1"/>
  <c r="AS41" i="18"/>
  <c r="AS36" i="18"/>
  <c r="AT36" i="18"/>
  <c r="AW36" i="18" s="1"/>
  <c r="AT43" i="18"/>
  <c r="AW43" i="18" s="1"/>
  <c r="AS43" i="18"/>
  <c r="AL51" i="18"/>
  <c r="AJ53" i="18"/>
  <c r="AL50" i="18"/>
  <c r="AL55" i="18"/>
  <c r="AL56" i="18"/>
  <c r="AL49" i="18"/>
  <c r="AJ52" i="18"/>
  <c r="AL52" i="18"/>
  <c r="AL53" i="18"/>
  <c r="AJ48" i="18"/>
  <c r="AL48" i="18"/>
  <c r="AL54" i="18"/>
  <c r="AJ55" i="18"/>
  <c r="AJ50" i="18"/>
  <c r="AJ54" i="18"/>
  <c r="AJ49" i="18"/>
  <c r="AJ51" i="18"/>
  <c r="BD90" i="17"/>
  <c r="BD89" i="17"/>
  <c r="BD88" i="17"/>
  <c r="BD87" i="17"/>
  <c r="BD86" i="17"/>
  <c r="BD85" i="17"/>
  <c r="BD84" i="17"/>
  <c r="BD83" i="17"/>
  <c r="BD82" i="17"/>
  <c r="BD81" i="17"/>
  <c r="BD80" i="17"/>
  <c r="BD79" i="17"/>
  <c r="BD78" i="17"/>
  <c r="BD77" i="17"/>
  <c r="BD76" i="17"/>
  <c r="BD75" i="17"/>
  <c r="BD74" i="17"/>
  <c r="BD73" i="17"/>
  <c r="BD72" i="17"/>
  <c r="BD71" i="17"/>
  <c r="BD70" i="17"/>
  <c r="BD69" i="17"/>
  <c r="BD68" i="17"/>
  <c r="BD67" i="17"/>
  <c r="BD66" i="17"/>
  <c r="BD65" i="17"/>
  <c r="BD64" i="17"/>
  <c r="BD63" i="17"/>
  <c r="BD62" i="17"/>
  <c r="BD61" i="17"/>
  <c r="BD60" i="17"/>
  <c r="BD59" i="17"/>
  <c r="BD58" i="17"/>
  <c r="BD57" i="17"/>
  <c r="BD56" i="17"/>
  <c r="BD55" i="17"/>
  <c r="BD54" i="17"/>
  <c r="BD53" i="17"/>
  <c r="BD52" i="17"/>
  <c r="BD51" i="17"/>
  <c r="BD50" i="17"/>
  <c r="BD49" i="17"/>
  <c r="BD48" i="17"/>
  <c r="BD47" i="17"/>
  <c r="BD46" i="17"/>
  <c r="BD45" i="17"/>
  <c r="BD44" i="17"/>
  <c r="BD43" i="17"/>
  <c r="BD42" i="17"/>
  <c r="BD41" i="17"/>
  <c r="BD40" i="17"/>
  <c r="BD39" i="17"/>
  <c r="BD38" i="17"/>
  <c r="BD37" i="17"/>
  <c r="BD36" i="17"/>
  <c r="BD35" i="17"/>
  <c r="BD34" i="17"/>
  <c r="BD33" i="17"/>
  <c r="BD32" i="17"/>
  <c r="BD31" i="17"/>
  <c r="BD30" i="17"/>
  <c r="BD29" i="17"/>
  <c r="BD28" i="17"/>
  <c r="BG90" i="17"/>
  <c r="BG89" i="17"/>
  <c r="BG88" i="17"/>
  <c r="BG87" i="17"/>
  <c r="BG86" i="17"/>
  <c r="BG85" i="17"/>
  <c r="BG84" i="17"/>
  <c r="BG83" i="17"/>
  <c r="BG82" i="17"/>
  <c r="BG81" i="17"/>
  <c r="BG80" i="17"/>
  <c r="BG79" i="17"/>
  <c r="BG78" i="17"/>
  <c r="BG77" i="17"/>
  <c r="BG76" i="17"/>
  <c r="BG75" i="17"/>
  <c r="BG74" i="17"/>
  <c r="BG73" i="17"/>
  <c r="BG72" i="17"/>
  <c r="BG71" i="17"/>
  <c r="BG70" i="17"/>
  <c r="BG69" i="17"/>
  <c r="BG68" i="17"/>
  <c r="BG67" i="17"/>
  <c r="BG66" i="17"/>
  <c r="BG65" i="17"/>
  <c r="BG64" i="17"/>
  <c r="BG63" i="17"/>
  <c r="BG62" i="17"/>
  <c r="BG61" i="17"/>
  <c r="BG60" i="17"/>
  <c r="BG59" i="17"/>
  <c r="BG58" i="17"/>
  <c r="BG57" i="17"/>
  <c r="BG56" i="17"/>
  <c r="BG55" i="17"/>
  <c r="BG54" i="17"/>
  <c r="BG53" i="17"/>
  <c r="BG52" i="17"/>
  <c r="BG51" i="17"/>
  <c r="BG50" i="17"/>
  <c r="BG49" i="17"/>
  <c r="BG48" i="17"/>
  <c r="BG47" i="17"/>
  <c r="BG46" i="17"/>
  <c r="BG45" i="17"/>
  <c r="BG44" i="17"/>
  <c r="BG43" i="17"/>
  <c r="BG42" i="17"/>
  <c r="BG41" i="17"/>
  <c r="BG40" i="17"/>
  <c r="BG39" i="17"/>
  <c r="BG38" i="17"/>
  <c r="BG37" i="17"/>
  <c r="BG36" i="17"/>
  <c r="BG35" i="17"/>
  <c r="BG34" i="17"/>
  <c r="BG33" i="17"/>
  <c r="BG32" i="17"/>
  <c r="BG31" i="17"/>
  <c r="BG30" i="17"/>
  <c r="BG29" i="17"/>
  <c r="BG28" i="17"/>
  <c r="BB90" i="17"/>
  <c r="BB89" i="17"/>
  <c r="BB88" i="17"/>
  <c r="BB87" i="17"/>
  <c r="BB86" i="17"/>
  <c r="BB85" i="17"/>
  <c r="BB84" i="17"/>
  <c r="BB83" i="17"/>
  <c r="BB82" i="17"/>
  <c r="BB81" i="17"/>
  <c r="BB80" i="17"/>
  <c r="BB79" i="17"/>
  <c r="BB78" i="17"/>
  <c r="BB77" i="17"/>
  <c r="BB76" i="17"/>
  <c r="BB75" i="17"/>
  <c r="BB74" i="17"/>
  <c r="BB73" i="17"/>
  <c r="BB72" i="17"/>
  <c r="BB71" i="17"/>
  <c r="BB70" i="17"/>
  <c r="BB69" i="17"/>
  <c r="BB68" i="17"/>
  <c r="BB67" i="17"/>
  <c r="BB66" i="17"/>
  <c r="BB65" i="17"/>
  <c r="BB64" i="17"/>
  <c r="BB63" i="17"/>
  <c r="BB62" i="17"/>
  <c r="BB61" i="17"/>
  <c r="BB60" i="17"/>
  <c r="BB59" i="17"/>
  <c r="BB58" i="17"/>
  <c r="BB57" i="17"/>
  <c r="BB56" i="17"/>
  <c r="BB55" i="17"/>
  <c r="BB54" i="17"/>
  <c r="BB53" i="17"/>
  <c r="BB52" i="17"/>
  <c r="BB51" i="17"/>
  <c r="BB50" i="17"/>
  <c r="BB49" i="17"/>
  <c r="BB48" i="17"/>
  <c r="BB47" i="17"/>
  <c r="BB46" i="17"/>
  <c r="BB45" i="17"/>
  <c r="BB44" i="17"/>
  <c r="BB43" i="17"/>
  <c r="BB42" i="17"/>
  <c r="BB41" i="17"/>
  <c r="BB40" i="17"/>
  <c r="BB39" i="17"/>
  <c r="BB38" i="17"/>
  <c r="BB37" i="17"/>
  <c r="BB36" i="17"/>
  <c r="BB35" i="17"/>
  <c r="BB34" i="17"/>
  <c r="BB33" i="17"/>
  <c r="BB32" i="17"/>
  <c r="BB31" i="17"/>
  <c r="BB30" i="17"/>
  <c r="BB29" i="17"/>
  <c r="BB28" i="17"/>
  <c r="BA90" i="17"/>
  <c r="BA89" i="17"/>
  <c r="BA88" i="17"/>
  <c r="BA87" i="17"/>
  <c r="BA86" i="17"/>
  <c r="BA85" i="17"/>
  <c r="BA84" i="17"/>
  <c r="BA83" i="17"/>
  <c r="BA82" i="17"/>
  <c r="BA81" i="17"/>
  <c r="BA80" i="17"/>
  <c r="BA79" i="17"/>
  <c r="BA78" i="17"/>
  <c r="BA77" i="17"/>
  <c r="BA76" i="17"/>
  <c r="BA75" i="17"/>
  <c r="BA74" i="17"/>
  <c r="BA73" i="17"/>
  <c r="BA72" i="17"/>
  <c r="BA71" i="17"/>
  <c r="BA70" i="17"/>
  <c r="BA69" i="17"/>
  <c r="BA68" i="17"/>
  <c r="BA67" i="17"/>
  <c r="BA66" i="17"/>
  <c r="BA65" i="17"/>
  <c r="BA64" i="17"/>
  <c r="BA63" i="17"/>
  <c r="BA62" i="17"/>
  <c r="BA61" i="17"/>
  <c r="BA60" i="17"/>
  <c r="BA59" i="17"/>
  <c r="BA58" i="17"/>
  <c r="BA57" i="17"/>
  <c r="BA56" i="17"/>
  <c r="BA55" i="17"/>
  <c r="BA54" i="17"/>
  <c r="BA53" i="17"/>
  <c r="BA52" i="17"/>
  <c r="BA51" i="17"/>
  <c r="BA50" i="17"/>
  <c r="BA49" i="17"/>
  <c r="BA48" i="17"/>
  <c r="BA47" i="17"/>
  <c r="BA46" i="17"/>
  <c r="BA45" i="17"/>
  <c r="BA44" i="17"/>
  <c r="BA43" i="17"/>
  <c r="BA42" i="17"/>
  <c r="BA41" i="17"/>
  <c r="BA40" i="17"/>
  <c r="BA39" i="17"/>
  <c r="BA38" i="17"/>
  <c r="BA37" i="17"/>
  <c r="BA36" i="17"/>
  <c r="BA35" i="17"/>
  <c r="BA34" i="17"/>
  <c r="BA33" i="17"/>
  <c r="BA32" i="17"/>
  <c r="BA31" i="17"/>
  <c r="BA30" i="17"/>
  <c r="BA29" i="17"/>
  <c r="BA28" i="17"/>
  <c r="AZ90" i="17"/>
  <c r="AZ89" i="17"/>
  <c r="AZ88" i="17"/>
  <c r="AZ87" i="17"/>
  <c r="AZ86" i="17"/>
  <c r="AZ85" i="17"/>
  <c r="AZ84" i="17"/>
  <c r="AZ83" i="17"/>
  <c r="AZ82" i="17"/>
  <c r="AZ81" i="17"/>
  <c r="AZ80" i="17"/>
  <c r="AZ79" i="17"/>
  <c r="AZ78" i="17"/>
  <c r="AZ77" i="17"/>
  <c r="AZ76" i="17"/>
  <c r="AZ75" i="17"/>
  <c r="AZ74" i="17"/>
  <c r="AZ73" i="17"/>
  <c r="AZ72" i="17"/>
  <c r="AZ71" i="17"/>
  <c r="AZ70" i="17"/>
  <c r="AZ69" i="17"/>
  <c r="AZ68" i="17"/>
  <c r="AZ67" i="17"/>
  <c r="AZ66" i="17"/>
  <c r="AZ65" i="17"/>
  <c r="AZ64" i="17"/>
  <c r="AZ63" i="17"/>
  <c r="AZ62" i="17"/>
  <c r="AZ61" i="17"/>
  <c r="AZ60" i="17"/>
  <c r="AZ59" i="17"/>
  <c r="AZ58" i="17"/>
  <c r="AZ57" i="17"/>
  <c r="AZ56" i="17"/>
  <c r="AZ55" i="17"/>
  <c r="AZ54" i="17"/>
  <c r="AZ53" i="17"/>
  <c r="AZ52" i="17"/>
  <c r="AZ51" i="17"/>
  <c r="AZ50" i="17"/>
  <c r="AZ49" i="17"/>
  <c r="AZ48" i="17"/>
  <c r="AZ47" i="17"/>
  <c r="AZ46" i="17"/>
  <c r="AZ45" i="17"/>
  <c r="AZ44" i="17"/>
  <c r="AZ43" i="17"/>
  <c r="AZ42" i="17"/>
  <c r="AZ41" i="17"/>
  <c r="AZ40" i="17"/>
  <c r="AZ39" i="17"/>
  <c r="AZ38" i="17"/>
  <c r="AZ37" i="17"/>
  <c r="AZ36" i="17"/>
  <c r="AZ35" i="17"/>
  <c r="AZ34" i="17"/>
  <c r="AZ33" i="17"/>
  <c r="AZ32" i="17"/>
  <c r="AZ31" i="17"/>
  <c r="AZ30" i="17"/>
  <c r="AZ29" i="17"/>
  <c r="AZ28" i="17"/>
  <c r="AY90" i="17"/>
  <c r="AY89" i="17"/>
  <c r="AY88" i="17"/>
  <c r="AY87" i="17"/>
  <c r="AY86" i="17"/>
  <c r="AY85" i="17"/>
  <c r="AY84" i="17"/>
  <c r="AY83" i="17"/>
  <c r="AY82" i="17"/>
  <c r="AY81" i="17"/>
  <c r="AY80" i="17"/>
  <c r="AY79" i="17"/>
  <c r="AY78" i="17"/>
  <c r="AY77" i="17"/>
  <c r="AY76" i="17"/>
  <c r="AY75" i="17"/>
  <c r="AY74" i="17"/>
  <c r="AY73" i="17"/>
  <c r="AY72" i="17"/>
  <c r="AY71" i="17"/>
  <c r="AY70" i="17"/>
  <c r="AY69" i="17"/>
  <c r="AY68" i="17"/>
  <c r="AY67" i="17"/>
  <c r="AY66" i="17"/>
  <c r="AY65" i="17"/>
  <c r="AY64" i="17"/>
  <c r="AY63" i="17"/>
  <c r="AY62" i="17"/>
  <c r="AY61" i="17"/>
  <c r="AY60" i="17"/>
  <c r="AY59" i="17"/>
  <c r="AY58" i="17"/>
  <c r="AY57" i="17"/>
  <c r="AY56" i="17"/>
  <c r="AY55" i="17"/>
  <c r="AY54" i="17"/>
  <c r="AY53" i="17"/>
  <c r="AY52" i="17"/>
  <c r="AY51" i="17"/>
  <c r="AY50" i="17"/>
  <c r="AY49" i="17"/>
  <c r="AY48" i="17"/>
  <c r="AY47" i="17"/>
  <c r="AY46" i="17"/>
  <c r="AY45" i="17"/>
  <c r="AY44" i="17"/>
  <c r="AY43" i="17"/>
  <c r="AY42" i="17"/>
  <c r="AY41" i="17"/>
  <c r="AY40" i="17"/>
  <c r="AY39" i="17"/>
  <c r="AY38" i="17"/>
  <c r="AY37" i="17"/>
  <c r="AY36" i="17"/>
  <c r="AY35" i="17"/>
  <c r="AY34" i="17"/>
  <c r="AY33" i="17"/>
  <c r="AY32" i="17"/>
  <c r="AY31" i="17"/>
  <c r="AY30" i="17"/>
  <c r="AY29" i="17"/>
  <c r="AY28" i="17"/>
  <c r="AX90" i="17"/>
  <c r="AX89" i="17"/>
  <c r="AX88" i="17"/>
  <c r="AX87" i="17"/>
  <c r="AX86" i="17"/>
  <c r="AX85" i="17"/>
  <c r="AX84" i="17"/>
  <c r="AX83" i="17"/>
  <c r="AX82" i="17"/>
  <c r="AX81" i="17"/>
  <c r="AX80" i="17"/>
  <c r="AX79" i="17"/>
  <c r="AX78" i="17"/>
  <c r="AX77" i="17"/>
  <c r="AX76" i="17"/>
  <c r="AX75" i="17"/>
  <c r="AX74" i="17"/>
  <c r="AX73" i="17"/>
  <c r="AX72" i="17"/>
  <c r="AX71" i="17"/>
  <c r="AX70" i="17"/>
  <c r="AX69" i="17"/>
  <c r="AX68" i="17"/>
  <c r="AX67" i="17"/>
  <c r="AX66" i="17"/>
  <c r="AX65" i="17"/>
  <c r="AX64" i="17"/>
  <c r="AX63" i="17"/>
  <c r="AX62" i="17"/>
  <c r="AX61" i="17"/>
  <c r="AX60" i="17"/>
  <c r="AX59" i="17"/>
  <c r="AX58" i="17"/>
  <c r="AX57" i="17"/>
  <c r="AX56" i="17"/>
  <c r="AX55" i="17"/>
  <c r="AX54" i="17"/>
  <c r="AX53" i="17"/>
  <c r="AX52" i="17"/>
  <c r="AX51" i="17"/>
  <c r="AX50" i="17"/>
  <c r="AX49" i="17"/>
  <c r="AX48" i="17"/>
  <c r="AX47" i="17"/>
  <c r="AX46" i="17"/>
  <c r="AX45" i="17"/>
  <c r="AX44" i="17"/>
  <c r="AX43" i="17"/>
  <c r="AX42" i="17"/>
  <c r="AX41" i="17"/>
  <c r="AX40" i="17"/>
  <c r="AX39" i="17"/>
  <c r="AX38" i="17"/>
  <c r="AX37" i="17"/>
  <c r="AX36" i="17"/>
  <c r="AX35" i="17"/>
  <c r="AX34" i="17"/>
  <c r="AX33" i="17"/>
  <c r="AX32" i="17"/>
  <c r="AX31" i="17"/>
  <c r="AX30" i="17"/>
  <c r="AX29" i="17"/>
  <c r="AX28" i="17"/>
  <c r="AW90" i="17"/>
  <c r="AW89" i="17"/>
  <c r="AW88" i="17"/>
  <c r="AW87" i="17"/>
  <c r="AW86" i="17"/>
  <c r="AW85" i="17"/>
  <c r="AW84" i="17"/>
  <c r="AW83" i="17"/>
  <c r="AW82" i="17"/>
  <c r="AW81" i="17"/>
  <c r="AW80" i="17"/>
  <c r="AW79" i="17"/>
  <c r="AW78" i="17"/>
  <c r="AW77" i="17"/>
  <c r="AW76" i="17"/>
  <c r="AW75" i="17"/>
  <c r="AW74" i="17"/>
  <c r="AW73" i="17"/>
  <c r="AW72" i="17"/>
  <c r="AW71" i="17"/>
  <c r="AW70" i="17"/>
  <c r="AW69" i="17"/>
  <c r="AW68" i="17"/>
  <c r="AW67" i="17"/>
  <c r="AW66" i="17"/>
  <c r="AW65" i="17"/>
  <c r="AW64" i="17"/>
  <c r="AW63" i="17"/>
  <c r="AW62" i="17"/>
  <c r="AW61" i="17"/>
  <c r="AW60" i="17"/>
  <c r="AW59" i="17"/>
  <c r="AW58" i="17"/>
  <c r="AW57" i="17"/>
  <c r="AW56" i="17"/>
  <c r="AW55" i="17"/>
  <c r="AW54" i="17"/>
  <c r="AW53" i="17"/>
  <c r="AW52" i="17"/>
  <c r="AW51" i="17"/>
  <c r="AW50" i="17"/>
  <c r="AW49" i="17"/>
  <c r="AW48" i="17"/>
  <c r="AW47" i="17"/>
  <c r="AW46" i="17"/>
  <c r="AW45" i="17"/>
  <c r="AW44" i="17"/>
  <c r="AW43" i="17"/>
  <c r="AW42" i="17"/>
  <c r="AW41" i="17"/>
  <c r="AW40" i="17"/>
  <c r="AW39" i="17"/>
  <c r="AW38" i="17"/>
  <c r="AW37" i="17"/>
  <c r="AW36" i="17"/>
  <c r="AW35" i="17"/>
  <c r="AW34" i="17"/>
  <c r="AW33" i="17"/>
  <c r="AW32" i="17"/>
  <c r="AW31" i="17"/>
  <c r="AW30" i="17"/>
  <c r="AW29" i="17"/>
  <c r="AW28" i="17"/>
  <c r="AT90" i="17"/>
  <c r="AT89" i="17"/>
  <c r="AT88" i="17"/>
  <c r="AT87" i="17"/>
  <c r="AT86" i="17"/>
  <c r="AT85" i="17"/>
  <c r="AT84" i="17"/>
  <c r="AT83" i="17"/>
  <c r="AT82" i="17"/>
  <c r="AT81" i="17"/>
  <c r="AT80" i="17"/>
  <c r="AT79" i="17"/>
  <c r="AT78" i="17"/>
  <c r="AT77" i="17"/>
  <c r="AT76" i="17"/>
  <c r="AT75" i="17"/>
  <c r="AT74" i="17"/>
  <c r="AT73" i="17"/>
  <c r="AT72" i="17"/>
  <c r="AT71" i="17"/>
  <c r="AT70" i="17"/>
  <c r="AT69" i="17"/>
  <c r="AT68" i="17"/>
  <c r="AT67" i="17"/>
  <c r="AT66" i="17"/>
  <c r="AT65" i="17"/>
  <c r="AT64" i="17"/>
  <c r="AT63" i="17"/>
  <c r="AT62" i="17"/>
  <c r="AT61" i="17"/>
  <c r="AT60" i="17"/>
  <c r="AT59" i="17"/>
  <c r="AT58" i="17"/>
  <c r="AT57" i="17"/>
  <c r="AT56" i="17"/>
  <c r="AT55" i="17"/>
  <c r="AT54" i="17"/>
  <c r="AT53" i="17"/>
  <c r="AT52" i="17"/>
  <c r="AT51" i="17"/>
  <c r="AT50" i="17"/>
  <c r="AT49" i="17"/>
  <c r="AT48" i="17"/>
  <c r="AT47" i="17"/>
  <c r="AT46" i="17"/>
  <c r="AT45" i="17"/>
  <c r="AT44" i="17"/>
  <c r="AT43" i="17"/>
  <c r="AT42" i="17"/>
  <c r="AT41" i="17"/>
  <c r="AT40" i="17"/>
  <c r="AT39" i="17"/>
  <c r="AT38" i="17"/>
  <c r="AT37" i="17"/>
  <c r="AT36" i="17"/>
  <c r="AT35" i="17"/>
  <c r="AT34" i="17"/>
  <c r="AT33" i="17"/>
  <c r="AT32" i="17"/>
  <c r="AT31" i="17"/>
  <c r="AT30" i="17"/>
  <c r="AT29" i="17"/>
  <c r="AT28" i="17"/>
  <c r="AR90" i="17"/>
  <c r="AR89" i="17"/>
  <c r="AR88" i="17"/>
  <c r="AR87" i="17"/>
  <c r="AR86" i="17"/>
  <c r="AR85" i="17"/>
  <c r="AR84" i="17"/>
  <c r="AR83" i="17"/>
  <c r="AR82" i="17"/>
  <c r="AR81" i="17"/>
  <c r="AR80" i="17"/>
  <c r="AR79" i="17"/>
  <c r="AR78" i="17"/>
  <c r="AR77" i="17"/>
  <c r="AR76" i="17"/>
  <c r="AR75" i="17"/>
  <c r="AR74" i="17"/>
  <c r="AR73" i="17"/>
  <c r="AR72" i="17"/>
  <c r="AR71" i="17"/>
  <c r="AR70" i="17"/>
  <c r="AR69" i="17"/>
  <c r="AR68" i="17"/>
  <c r="AR67" i="17"/>
  <c r="AR66" i="17"/>
  <c r="AR65" i="17"/>
  <c r="AR64" i="17"/>
  <c r="AR63" i="17"/>
  <c r="AR62" i="17"/>
  <c r="AR61" i="17"/>
  <c r="AR60" i="17"/>
  <c r="AR59" i="17"/>
  <c r="AR58" i="17"/>
  <c r="AR57" i="17"/>
  <c r="AR56" i="17"/>
  <c r="AR55" i="17"/>
  <c r="AR54" i="17"/>
  <c r="AR53" i="17"/>
  <c r="AR52" i="17"/>
  <c r="AR51" i="17"/>
  <c r="AR50" i="17"/>
  <c r="AR49" i="17"/>
  <c r="AR48" i="17"/>
  <c r="AR47" i="17"/>
  <c r="AR46" i="17"/>
  <c r="AR45" i="17"/>
  <c r="AR44" i="17"/>
  <c r="AR43" i="17"/>
  <c r="AR42" i="17"/>
  <c r="AR41" i="17"/>
  <c r="AR40" i="17"/>
  <c r="AR39" i="17"/>
  <c r="AR38" i="17"/>
  <c r="AR37" i="17"/>
  <c r="AR36" i="17"/>
  <c r="AR35" i="17"/>
  <c r="AR34" i="17"/>
  <c r="AR33" i="17"/>
  <c r="AR32" i="17"/>
  <c r="AR31" i="17"/>
  <c r="AR30" i="17"/>
  <c r="AR29" i="17"/>
  <c r="AR28" i="17"/>
  <c r="AD74" i="14"/>
  <c r="T66" i="14"/>
  <c r="W65" i="14"/>
  <c r="V65" i="14"/>
  <c r="U65" i="14"/>
  <c r="P65" i="14" a="1"/>
  <c r="P65" i="14" s="1"/>
  <c r="T65" i="14"/>
  <c r="B36" i="14"/>
  <c r="AM44" i="12"/>
  <c r="AN44" i="12" s="1"/>
  <c r="AL44" i="12"/>
  <c r="AK44" i="12"/>
  <c r="AJ44" i="12"/>
  <c r="AM43" i="12"/>
  <c r="AN43" i="12" s="1"/>
  <c r="AL43" i="12"/>
  <c r="AK43" i="12"/>
  <c r="AJ43" i="12"/>
  <c r="AM42" i="12"/>
  <c r="AN42" i="12" s="1"/>
  <c r="AL42" i="12"/>
  <c r="AK42" i="12"/>
  <c r="AJ42" i="12"/>
  <c r="AM41" i="12"/>
  <c r="AN41" i="12" s="1"/>
  <c r="AL41" i="12"/>
  <c r="AK41" i="12"/>
  <c r="AJ41" i="12"/>
  <c r="AM40" i="12"/>
  <c r="AN40" i="12" s="1"/>
  <c r="AL40" i="12"/>
  <c r="AK40" i="12"/>
  <c r="AJ40" i="12"/>
  <c r="AM39" i="12"/>
  <c r="AN39" i="12" s="1"/>
  <c r="AL39" i="12"/>
  <c r="AK39" i="12"/>
  <c r="AJ39" i="12"/>
  <c r="L39" i="12" s="1"/>
  <c r="L51" i="12" s="1"/>
  <c r="AM38" i="12"/>
  <c r="AN38" i="12" s="1"/>
  <c r="AL38" i="12"/>
  <c r="AK38" i="12"/>
  <c r="AJ38" i="12"/>
  <c r="AM37" i="12"/>
  <c r="AN37" i="12" s="1"/>
  <c r="AL37" i="12"/>
  <c r="AK37" i="12"/>
  <c r="AJ37" i="12"/>
  <c r="R37" i="12" s="1"/>
  <c r="R49" i="12" s="1"/>
  <c r="AM36" i="12"/>
  <c r="AN36" i="12" s="1"/>
  <c r="AL36" i="12"/>
  <c r="AK36" i="12"/>
  <c r="U36" i="12" s="1"/>
  <c r="U48" i="12" s="1"/>
  <c r="AJ36" i="12"/>
  <c r="AA36" i="12" s="1"/>
  <c r="AA48" i="12" s="1"/>
  <c r="B40" i="12"/>
  <c r="B52" i="12" s="1"/>
  <c r="S42" i="12"/>
  <c r="S54" i="12" s="1"/>
  <c r="N44" i="12"/>
  <c r="N56" i="12" s="1"/>
  <c r="AM44" i="11"/>
  <c r="AN44" i="11" s="1"/>
  <c r="AL44" i="11"/>
  <c r="AK44" i="11"/>
  <c r="AJ44" i="11"/>
  <c r="W44" i="11" s="1"/>
  <c r="W56" i="11" s="1"/>
  <c r="AM43" i="11"/>
  <c r="AN43" i="11" s="1"/>
  <c r="AL43" i="11"/>
  <c r="AK43" i="11"/>
  <c r="V43" i="11" s="1"/>
  <c r="V55" i="11" s="1"/>
  <c r="AJ43" i="11"/>
  <c r="W43" i="11" s="1"/>
  <c r="W55" i="11" s="1"/>
  <c r="AM42" i="11"/>
  <c r="AN42" i="11" s="1"/>
  <c r="AL42" i="11"/>
  <c r="AK42" i="11"/>
  <c r="AJ42" i="11"/>
  <c r="AG42" i="11" s="1"/>
  <c r="AG54" i="11" s="1"/>
  <c r="AM41" i="11"/>
  <c r="AN41" i="11" s="1"/>
  <c r="AL41" i="11"/>
  <c r="AK41" i="11"/>
  <c r="AD41" i="11" s="1"/>
  <c r="AD53" i="11" s="1"/>
  <c r="AJ41" i="11"/>
  <c r="AM40" i="11"/>
  <c r="AN40" i="11" s="1"/>
  <c r="AL40" i="11"/>
  <c r="AK40" i="11"/>
  <c r="AH40" i="11" s="1"/>
  <c r="AH52" i="11" s="1"/>
  <c r="AJ40" i="11"/>
  <c r="AM39" i="11"/>
  <c r="AN39" i="11" s="1"/>
  <c r="AL39" i="11"/>
  <c r="AK39" i="11"/>
  <c r="AJ39" i="11"/>
  <c r="AM38" i="11"/>
  <c r="AN38" i="11" s="1"/>
  <c r="AL38" i="11"/>
  <c r="AK38" i="11"/>
  <c r="AA38" i="11" s="1"/>
  <c r="AA50" i="11" s="1"/>
  <c r="AJ38" i="11"/>
  <c r="AM37" i="11"/>
  <c r="AN37" i="11" s="1"/>
  <c r="AL37" i="11"/>
  <c r="AK37" i="11"/>
  <c r="AJ37" i="11"/>
  <c r="M37" i="11" s="1"/>
  <c r="M49" i="11" s="1"/>
  <c r="AM36" i="11"/>
  <c r="AN36" i="11" s="1"/>
  <c r="AL36" i="11"/>
  <c r="AK36" i="11"/>
  <c r="AJ36" i="11"/>
  <c r="AH36" i="11" s="1"/>
  <c r="AH48" i="11" s="1"/>
  <c r="AB74" i="14"/>
  <c r="AD69" i="14"/>
  <c r="AA71" i="14"/>
  <c r="E57" i="12"/>
  <c r="F57" i="12" s="1"/>
  <c r="D57" i="12"/>
  <c r="C57" i="12"/>
  <c r="Z50" i="12"/>
  <c r="P42" i="12"/>
  <c r="P54" i="12" s="1"/>
  <c r="AI42" i="12"/>
  <c r="AI54" i="12" s="1"/>
  <c r="Y42" i="12"/>
  <c r="Y54" i="12" s="1"/>
  <c r="X42" i="12"/>
  <c r="X54" i="12" s="1"/>
  <c r="W42" i="12"/>
  <c r="W54" i="12" s="1"/>
  <c r="V42" i="12"/>
  <c r="V54" i="12" s="1"/>
  <c r="T42" i="12"/>
  <c r="T54" i="12" s="1"/>
  <c r="R42" i="12"/>
  <c r="R54" i="12" s="1"/>
  <c r="M41" i="12"/>
  <c r="M53" i="12" s="1"/>
  <c r="AC41" i="12"/>
  <c r="AC53" i="12" s="1"/>
  <c r="R40" i="12"/>
  <c r="R52" i="12" s="1"/>
  <c r="W40" i="12"/>
  <c r="W52" i="12" s="1"/>
  <c r="V40" i="12"/>
  <c r="V52" i="12" s="1"/>
  <c r="U40" i="12"/>
  <c r="U52" i="12" s="1"/>
  <c r="T40" i="12"/>
  <c r="T52" i="12" s="1"/>
  <c r="S40" i="12"/>
  <c r="S52" i="12" s="1"/>
  <c r="Q40" i="12"/>
  <c r="Q52" i="12" s="1"/>
  <c r="P40" i="12"/>
  <c r="P52" i="12" s="1"/>
  <c r="O40" i="12"/>
  <c r="O52" i="12" s="1"/>
  <c r="M40" i="12"/>
  <c r="M52" i="12" s="1"/>
  <c r="L40" i="12"/>
  <c r="L52" i="12" s="1"/>
  <c r="AI38" i="12"/>
  <c r="AI50" i="12" s="1"/>
  <c r="AC38" i="12"/>
  <c r="AC50" i="12" s="1"/>
  <c r="AB38" i="12"/>
  <c r="AB50" i="12" s="1"/>
  <c r="Z38" i="12"/>
  <c r="Y38" i="12"/>
  <c r="Y50" i="12" s="1"/>
  <c r="W38" i="12"/>
  <c r="W50" i="12" s="1"/>
  <c r="V38" i="12"/>
  <c r="V50" i="12" s="1"/>
  <c r="U38" i="12"/>
  <c r="U50" i="12" s="1"/>
  <c r="T38" i="12"/>
  <c r="T50" i="12" s="1"/>
  <c r="Q38" i="12"/>
  <c r="Q50" i="12" s="1"/>
  <c r="P38" i="12"/>
  <c r="P50" i="12" s="1"/>
  <c r="N38" i="12"/>
  <c r="N50" i="12" s="1"/>
  <c r="M38" i="12"/>
  <c r="M50" i="12" s="1"/>
  <c r="L38" i="12"/>
  <c r="L50" i="12" s="1"/>
  <c r="E38" i="12"/>
  <c r="E50" i="12" s="1"/>
  <c r="D38" i="12"/>
  <c r="D50" i="12" s="1"/>
  <c r="B38" i="12"/>
  <c r="B50" i="12" s="1"/>
  <c r="Q37" i="12"/>
  <c r="Q49" i="12" s="1"/>
  <c r="P37" i="12"/>
  <c r="P49" i="12" s="1"/>
  <c r="AC36" i="12"/>
  <c r="AC48" i="12" s="1"/>
  <c r="W36" i="12"/>
  <c r="W48" i="12" s="1"/>
  <c r="R81" i="14"/>
  <c r="P81" i="14"/>
  <c r="O81" i="14"/>
  <c r="R80" i="14"/>
  <c r="P80" i="14"/>
  <c r="Q80" i="14" s="1"/>
  <c r="O80" i="14"/>
  <c r="C57" i="11"/>
  <c r="AI44" i="11"/>
  <c r="AI56" i="11" s="1"/>
  <c r="AF44" i="11"/>
  <c r="AF56" i="11" s="1"/>
  <c r="AE44" i="11"/>
  <c r="AE56" i="11" s="1"/>
  <c r="AD44" i="11"/>
  <c r="AD56" i="11" s="1"/>
  <c r="AC44" i="11"/>
  <c r="AC56" i="11" s="1"/>
  <c r="AB44" i="11"/>
  <c r="AB56" i="11" s="1"/>
  <c r="AA44" i="11"/>
  <c r="AA56" i="11" s="1"/>
  <c r="Z44" i="11"/>
  <c r="Z56" i="11" s="1"/>
  <c r="Y44" i="11"/>
  <c r="Y56" i="11" s="1"/>
  <c r="X44" i="11"/>
  <c r="X56" i="11" s="1"/>
  <c r="U44" i="11"/>
  <c r="U56" i="11" s="1"/>
  <c r="T44" i="11"/>
  <c r="T56" i="11" s="1"/>
  <c r="S44" i="11"/>
  <c r="S56" i="11" s="1"/>
  <c r="R44" i="11"/>
  <c r="R56" i="11" s="1"/>
  <c r="O44" i="11"/>
  <c r="O56" i="11" s="1"/>
  <c r="J44" i="11"/>
  <c r="J56" i="11" s="1"/>
  <c r="H44" i="11"/>
  <c r="H56" i="11" s="1"/>
  <c r="G44" i="11"/>
  <c r="G56" i="11" s="1"/>
  <c r="F44" i="11"/>
  <c r="F56" i="11" s="1"/>
  <c r="D44" i="11"/>
  <c r="D56" i="11" s="1"/>
  <c r="C44" i="11"/>
  <c r="C56" i="11" s="1"/>
  <c r="AI43" i="11"/>
  <c r="AI55" i="11" s="1"/>
  <c r="AH43" i="11"/>
  <c r="AH55" i="11" s="1"/>
  <c r="AG43" i="11"/>
  <c r="AG55" i="11" s="1"/>
  <c r="AF43" i="11"/>
  <c r="AF55" i="11" s="1"/>
  <c r="AE43" i="11"/>
  <c r="AE55" i="11" s="1"/>
  <c r="AD43" i="11"/>
  <c r="AD55" i="11" s="1"/>
  <c r="AC43" i="11"/>
  <c r="AC55" i="11" s="1"/>
  <c r="AB43" i="11"/>
  <c r="AB55" i="11" s="1"/>
  <c r="AA43" i="11"/>
  <c r="AA55" i="11" s="1"/>
  <c r="Z43" i="11"/>
  <c r="Z55" i="11" s="1"/>
  <c r="Y43" i="11"/>
  <c r="Y55" i="11" s="1"/>
  <c r="X43" i="11"/>
  <c r="X55" i="11" s="1"/>
  <c r="S43" i="11"/>
  <c r="S55" i="11" s="1"/>
  <c r="Q43" i="11"/>
  <c r="Q55" i="11" s="1"/>
  <c r="P43" i="11"/>
  <c r="P55" i="11" s="1"/>
  <c r="O43" i="11"/>
  <c r="O55" i="11" s="1"/>
  <c r="N43" i="11"/>
  <c r="N55" i="11" s="1"/>
  <c r="M43" i="11"/>
  <c r="M55" i="11" s="1"/>
  <c r="L43" i="11"/>
  <c r="L55" i="11" s="1"/>
  <c r="K43" i="11"/>
  <c r="K55" i="11" s="1"/>
  <c r="J43" i="11"/>
  <c r="J55" i="11" s="1"/>
  <c r="I43" i="11"/>
  <c r="I55" i="11" s="1"/>
  <c r="H43" i="11"/>
  <c r="H55" i="11" s="1"/>
  <c r="G43" i="11"/>
  <c r="G55" i="11" s="1"/>
  <c r="F43" i="11"/>
  <c r="F55" i="11" s="1"/>
  <c r="E43" i="11"/>
  <c r="E55" i="11" s="1"/>
  <c r="D43" i="11"/>
  <c r="D55" i="11" s="1"/>
  <c r="C43" i="11"/>
  <c r="C55" i="11" s="1"/>
  <c r="AI42" i="11"/>
  <c r="AI54" i="11" s="1"/>
  <c r="AH42" i="11"/>
  <c r="AH54" i="11" s="1"/>
  <c r="AD42" i="11"/>
  <c r="AD54" i="11" s="1"/>
  <c r="AC42" i="11"/>
  <c r="AC54" i="11" s="1"/>
  <c r="AB42" i="11"/>
  <c r="AB54" i="11" s="1"/>
  <c r="AA42" i="11"/>
  <c r="AA54" i="11" s="1"/>
  <c r="Y42" i="11"/>
  <c r="Y54" i="11" s="1"/>
  <c r="X42" i="11"/>
  <c r="X54" i="11" s="1"/>
  <c r="W42" i="11"/>
  <c r="W54" i="11" s="1"/>
  <c r="V42" i="11"/>
  <c r="V54" i="11" s="1"/>
  <c r="U42" i="11"/>
  <c r="U54" i="11" s="1"/>
  <c r="T42" i="11"/>
  <c r="T54" i="11" s="1"/>
  <c r="S42" i="11"/>
  <c r="S54" i="11" s="1"/>
  <c r="R42" i="11"/>
  <c r="R54" i="11" s="1"/>
  <c r="Q42" i="11"/>
  <c r="Q54" i="11" s="1"/>
  <c r="P42" i="11"/>
  <c r="P54" i="11" s="1"/>
  <c r="O42" i="11"/>
  <c r="O54" i="11" s="1"/>
  <c r="N42" i="11"/>
  <c r="N54" i="11" s="1"/>
  <c r="M42" i="11"/>
  <c r="M54" i="11" s="1"/>
  <c r="L42" i="11"/>
  <c r="L54" i="11" s="1"/>
  <c r="K42" i="11"/>
  <c r="K54" i="11" s="1"/>
  <c r="J42" i="11"/>
  <c r="J54" i="11" s="1"/>
  <c r="H42" i="11"/>
  <c r="H54" i="11" s="1"/>
  <c r="F42" i="11"/>
  <c r="F54" i="11" s="1"/>
  <c r="E42" i="11"/>
  <c r="E54" i="11" s="1"/>
  <c r="D42" i="11"/>
  <c r="D54" i="11" s="1"/>
  <c r="C42" i="11"/>
  <c r="C54" i="11" s="1"/>
  <c r="AI41" i="11"/>
  <c r="AI53" i="11" s="1"/>
  <c r="AE41" i="11"/>
  <c r="AE53" i="11" s="1"/>
  <c r="AC41" i="11"/>
  <c r="AC53" i="11" s="1"/>
  <c r="AB41" i="11"/>
  <c r="AB53" i="11" s="1"/>
  <c r="AA41" i="11"/>
  <c r="AA53" i="11" s="1"/>
  <c r="Y41" i="11"/>
  <c r="Y53" i="11" s="1"/>
  <c r="W41" i="11"/>
  <c r="W53" i="11" s="1"/>
  <c r="V41" i="11"/>
  <c r="V53" i="11" s="1"/>
  <c r="U41" i="11"/>
  <c r="U53" i="11" s="1"/>
  <c r="T41" i="11"/>
  <c r="T53" i="11" s="1"/>
  <c r="S41" i="11"/>
  <c r="S53" i="11" s="1"/>
  <c r="R41" i="11"/>
  <c r="R53" i="11" s="1"/>
  <c r="Q41" i="11"/>
  <c r="Q53" i="11" s="1"/>
  <c r="P41" i="11"/>
  <c r="P53" i="11" s="1"/>
  <c r="O41" i="11"/>
  <c r="O53" i="11" s="1"/>
  <c r="N41" i="11"/>
  <c r="N53" i="11" s="1"/>
  <c r="L41" i="11"/>
  <c r="L53" i="11" s="1"/>
  <c r="J41" i="11"/>
  <c r="J53" i="11" s="1"/>
  <c r="I41" i="11"/>
  <c r="I53" i="11" s="1"/>
  <c r="H41" i="11"/>
  <c r="H53" i="11" s="1"/>
  <c r="G41" i="11"/>
  <c r="G53" i="11" s="1"/>
  <c r="F41" i="11"/>
  <c r="F53" i="11" s="1"/>
  <c r="E41" i="11"/>
  <c r="E53" i="11" s="1"/>
  <c r="D41" i="11"/>
  <c r="D53" i="11" s="1"/>
  <c r="C41" i="11"/>
  <c r="C53" i="11" s="1"/>
  <c r="AI40" i="11"/>
  <c r="AI52" i="11" s="1"/>
  <c r="AG40" i="11"/>
  <c r="AG52" i="11" s="1"/>
  <c r="AF40" i="11"/>
  <c r="AF52" i="11" s="1"/>
  <c r="AE40" i="11"/>
  <c r="AE52" i="11" s="1"/>
  <c r="AD40" i="11"/>
  <c r="AD52" i="11" s="1"/>
  <c r="AC40" i="11"/>
  <c r="AC52" i="11" s="1"/>
  <c r="AB40" i="11"/>
  <c r="AB52" i="11" s="1"/>
  <c r="AA40" i="11"/>
  <c r="AA52" i="11" s="1"/>
  <c r="Z40" i="11"/>
  <c r="Z52" i="11" s="1"/>
  <c r="Y40" i="11"/>
  <c r="Y52" i="11" s="1"/>
  <c r="X40" i="11"/>
  <c r="X52" i="11" s="1"/>
  <c r="W40" i="11"/>
  <c r="W52" i="11" s="1"/>
  <c r="V40" i="11"/>
  <c r="V52" i="11" s="1"/>
  <c r="U40" i="11"/>
  <c r="U52" i="11" s="1"/>
  <c r="T40" i="11"/>
  <c r="T52" i="11" s="1"/>
  <c r="S40" i="11"/>
  <c r="S52" i="11" s="1"/>
  <c r="R40" i="11"/>
  <c r="R52" i="11" s="1"/>
  <c r="Q40" i="11"/>
  <c r="Q52" i="11" s="1"/>
  <c r="P40" i="11"/>
  <c r="P52" i="11" s="1"/>
  <c r="O40" i="11"/>
  <c r="O52" i="11" s="1"/>
  <c r="N40" i="11"/>
  <c r="N52" i="11" s="1"/>
  <c r="M40" i="11"/>
  <c r="M52" i="11" s="1"/>
  <c r="L40" i="11"/>
  <c r="L52" i="11" s="1"/>
  <c r="K40" i="11"/>
  <c r="K52" i="11" s="1"/>
  <c r="J40" i="11"/>
  <c r="J52" i="11" s="1"/>
  <c r="I40" i="11"/>
  <c r="I52" i="11" s="1"/>
  <c r="H40" i="11"/>
  <c r="H52" i="11" s="1"/>
  <c r="G40" i="11"/>
  <c r="G52" i="11" s="1"/>
  <c r="F40" i="11"/>
  <c r="F52" i="11" s="1"/>
  <c r="E40" i="11"/>
  <c r="E52" i="11" s="1"/>
  <c r="D40" i="11"/>
  <c r="D52" i="11" s="1"/>
  <c r="C40" i="11"/>
  <c r="C52" i="11" s="1"/>
  <c r="AI39" i="11"/>
  <c r="AI51" i="11" s="1"/>
  <c r="AH39" i="11"/>
  <c r="AH51" i="11" s="1"/>
  <c r="AG39" i="11"/>
  <c r="AG51" i="11" s="1"/>
  <c r="AF39" i="11"/>
  <c r="AF51" i="11" s="1"/>
  <c r="AE39" i="11"/>
  <c r="AE51" i="11" s="1"/>
  <c r="AD39" i="11"/>
  <c r="AD51" i="11" s="1"/>
  <c r="AC39" i="11"/>
  <c r="AC51" i="11" s="1"/>
  <c r="AB39" i="11"/>
  <c r="AB51" i="11" s="1"/>
  <c r="AA39" i="11"/>
  <c r="AA51" i="11" s="1"/>
  <c r="Z39" i="11"/>
  <c r="Z51" i="11" s="1"/>
  <c r="Y39" i="11"/>
  <c r="Y51" i="11" s="1"/>
  <c r="X39" i="11"/>
  <c r="X51" i="11" s="1"/>
  <c r="W39" i="11"/>
  <c r="W51" i="11" s="1"/>
  <c r="V39" i="11"/>
  <c r="V51" i="11" s="1"/>
  <c r="U39" i="11"/>
  <c r="U51" i="11" s="1"/>
  <c r="T39" i="11"/>
  <c r="T51" i="11" s="1"/>
  <c r="S39" i="11"/>
  <c r="S51" i="11" s="1"/>
  <c r="R39" i="11"/>
  <c r="R51" i="11" s="1"/>
  <c r="Q39" i="11"/>
  <c r="Q51" i="11" s="1"/>
  <c r="P39" i="11"/>
  <c r="P51" i="11" s="1"/>
  <c r="O39" i="11"/>
  <c r="O51" i="11" s="1"/>
  <c r="N39" i="11"/>
  <c r="N51" i="11" s="1"/>
  <c r="M39" i="11"/>
  <c r="M51" i="11" s="1"/>
  <c r="L39" i="11"/>
  <c r="L51" i="11" s="1"/>
  <c r="K39" i="11"/>
  <c r="K51" i="11" s="1"/>
  <c r="J39" i="11"/>
  <c r="J51" i="11" s="1"/>
  <c r="I39" i="11"/>
  <c r="I51" i="11" s="1"/>
  <c r="H39" i="11"/>
  <c r="H51" i="11" s="1"/>
  <c r="G39" i="11"/>
  <c r="G51" i="11" s="1"/>
  <c r="F39" i="11"/>
  <c r="F51" i="11" s="1"/>
  <c r="E39" i="11"/>
  <c r="E51" i="11" s="1"/>
  <c r="D39" i="11"/>
  <c r="D51" i="11" s="1"/>
  <c r="C39" i="11"/>
  <c r="C51" i="11" s="1"/>
  <c r="AE38" i="11"/>
  <c r="AE50" i="11" s="1"/>
  <c r="AB38" i="11"/>
  <c r="AB50" i="11" s="1"/>
  <c r="Z38" i="11"/>
  <c r="Z50" i="11" s="1"/>
  <c r="AG37" i="11"/>
  <c r="AG49" i="11" s="1"/>
  <c r="AF37" i="11"/>
  <c r="AF49" i="11" s="1"/>
  <c r="AE37" i="11"/>
  <c r="AE49" i="11" s="1"/>
  <c r="AD37" i="11"/>
  <c r="AD49" i="11" s="1"/>
  <c r="AC37" i="11"/>
  <c r="AC49" i="11" s="1"/>
  <c r="Y37" i="11"/>
  <c r="Y49" i="11" s="1"/>
  <c r="W37" i="11"/>
  <c r="W49" i="11" s="1"/>
  <c r="U37" i="11"/>
  <c r="U49" i="11" s="1"/>
  <c r="T37" i="11"/>
  <c r="T49" i="11" s="1"/>
  <c r="S37" i="11"/>
  <c r="S49" i="11" s="1"/>
  <c r="R37" i="11"/>
  <c r="R49" i="11" s="1"/>
  <c r="Q37" i="11"/>
  <c r="Q49" i="11" s="1"/>
  <c r="G37" i="11"/>
  <c r="G49" i="11" s="1"/>
  <c r="AE36" i="11"/>
  <c r="AE48" i="11" s="1"/>
  <c r="AC36" i="11"/>
  <c r="AC48" i="11" s="1"/>
  <c r="V36" i="11"/>
  <c r="R36" i="11"/>
  <c r="R48" i="11" s="1"/>
  <c r="J36" i="11"/>
  <c r="J48" i="11" s="1"/>
  <c r="I36" i="11"/>
  <c r="I48" i="11" s="1"/>
  <c r="E36" i="11"/>
  <c r="E48" i="11" s="1"/>
  <c r="D36" i="11"/>
  <c r="D48" i="11" s="1"/>
  <c r="B44" i="11"/>
  <c r="B56" i="11" s="1"/>
  <c r="B43" i="11"/>
  <c r="B42" i="11"/>
  <c r="B54" i="11" s="1"/>
  <c r="B41" i="11"/>
  <c r="B40" i="11"/>
  <c r="B39" i="11"/>
  <c r="B51" i="11" s="1"/>
  <c r="AQ11" i="11"/>
  <c r="AQ10" i="11"/>
  <c r="AQ9" i="11"/>
  <c r="AQ8" i="11"/>
  <c r="AQ7" i="11"/>
  <c r="AQ6" i="11"/>
  <c r="AQ5" i="11"/>
  <c r="AQ4" i="11"/>
  <c r="AQ3" i="11"/>
  <c r="B4" i="14"/>
  <c r="B5" i="14" s="1"/>
  <c r="B6" i="14" s="1"/>
  <c r="B7" i="14" s="1"/>
  <c r="B8" i="14" s="1"/>
  <c r="B9" i="14" s="1"/>
  <c r="B10" i="14" s="1"/>
  <c r="B11" i="14" s="1"/>
  <c r="B12" i="14" s="1"/>
  <c r="B13" i="14" s="1"/>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AL11" i="13"/>
  <c r="AJ11" i="13"/>
  <c r="AL10" i="13"/>
  <c r="AJ10" i="13"/>
  <c r="AL9" i="13"/>
  <c r="AJ9" i="13"/>
  <c r="AL8" i="13"/>
  <c r="AJ8" i="13"/>
  <c r="AL7" i="13"/>
  <c r="AJ7" i="13"/>
  <c r="AL6" i="13"/>
  <c r="AJ6" i="13"/>
  <c r="AK6" i="13" s="1"/>
  <c r="AL5" i="13"/>
  <c r="AJ5" i="13"/>
  <c r="AL4" i="13"/>
  <c r="AJ4" i="13"/>
  <c r="AL3" i="13"/>
  <c r="AJ3" i="13"/>
  <c r="AK3" i="13" s="1"/>
  <c r="AL11" i="12"/>
  <c r="AK11" i="12"/>
  <c r="AJ11" i="12"/>
  <c r="AM11" i="12" s="1"/>
  <c r="AL10" i="12"/>
  <c r="AJ10" i="12"/>
  <c r="AM10" i="12" s="1"/>
  <c r="AL9" i="12"/>
  <c r="AM9" i="12" s="1"/>
  <c r="AJ9" i="12"/>
  <c r="AK9" i="12" s="1"/>
  <c r="AL8" i="12"/>
  <c r="AJ8" i="12"/>
  <c r="AM8" i="12" s="1"/>
  <c r="AL7" i="12"/>
  <c r="AJ7" i="12"/>
  <c r="AM7" i="12" s="1"/>
  <c r="AM6" i="12"/>
  <c r="AL6" i="12"/>
  <c r="AK6" i="12"/>
  <c r="AJ6" i="12"/>
  <c r="AL5" i="12"/>
  <c r="AK5" i="12"/>
  <c r="AJ5" i="12"/>
  <c r="AM5" i="12" s="1"/>
  <c r="AL4" i="12"/>
  <c r="AJ4" i="12"/>
  <c r="AM4" i="12" s="1"/>
  <c r="AL3" i="12"/>
  <c r="AM3" i="12" s="1"/>
  <c r="AJ3" i="12"/>
  <c r="AK3" i="12" s="1"/>
  <c r="AO11" i="11"/>
  <c r="AM11" i="11"/>
  <c r="AN11" i="11" s="1"/>
  <c r="AO10" i="11"/>
  <c r="AM10" i="11"/>
  <c r="AN10" i="11" s="1"/>
  <c r="AO9" i="11"/>
  <c r="AM9" i="11"/>
  <c r="AO8" i="11"/>
  <c r="AM8" i="11"/>
  <c r="AO7" i="11"/>
  <c r="AM7" i="11"/>
  <c r="AO6" i="11"/>
  <c r="AM6" i="11"/>
  <c r="AN6" i="11" s="1"/>
  <c r="AO5" i="11"/>
  <c r="AM5" i="11"/>
  <c r="AO4" i="11"/>
  <c r="AM4" i="11"/>
  <c r="AP4" i="11" s="1"/>
  <c r="AO3" i="11"/>
  <c r="AM3" i="11"/>
  <c r="AN26" i="6"/>
  <c r="AN88" i="6"/>
  <c r="AN87" i="6"/>
  <c r="AN86" i="6"/>
  <c r="AN85" i="6"/>
  <c r="AN84" i="6"/>
  <c r="AN83" i="6"/>
  <c r="AN82" i="6"/>
  <c r="AN81" i="6"/>
  <c r="AN80" i="6"/>
  <c r="AN79" i="6"/>
  <c r="AN78" i="6"/>
  <c r="AN77" i="6"/>
  <c r="AN76" i="6"/>
  <c r="AN75" i="6"/>
  <c r="AN74" i="6"/>
  <c r="AN73" i="6"/>
  <c r="AN72" i="6"/>
  <c r="AN71" i="6"/>
  <c r="AN70" i="6"/>
  <c r="AN69" i="6"/>
  <c r="AN68" i="6"/>
  <c r="AN67" i="6"/>
  <c r="AN66" i="6"/>
  <c r="AN65" i="6"/>
  <c r="AN64" i="6"/>
  <c r="AN63" i="6"/>
  <c r="AN62" i="6"/>
  <c r="AN61" i="6"/>
  <c r="AN60" i="6"/>
  <c r="AN59" i="6"/>
  <c r="AN58" i="6"/>
  <c r="AN57" i="6"/>
  <c r="AN56" i="6"/>
  <c r="AN55" i="6"/>
  <c r="AN54" i="6"/>
  <c r="AN53" i="6"/>
  <c r="AN52" i="6"/>
  <c r="AN51" i="6"/>
  <c r="AN50" i="6"/>
  <c r="AN49" i="6"/>
  <c r="AN48" i="6"/>
  <c r="AN47" i="6"/>
  <c r="AN46" i="6"/>
  <c r="AN45" i="6"/>
  <c r="AN44" i="6"/>
  <c r="AN43" i="6"/>
  <c r="AN42" i="6"/>
  <c r="AN41" i="6"/>
  <c r="AN40" i="6"/>
  <c r="AN39" i="6"/>
  <c r="AN38" i="6"/>
  <c r="AN37" i="6"/>
  <c r="AN36" i="6"/>
  <c r="AN35" i="6"/>
  <c r="AN34" i="6"/>
  <c r="AN33" i="6"/>
  <c r="AN32" i="6"/>
  <c r="AN31" i="6"/>
  <c r="AN30" i="6"/>
  <c r="AN29" i="6"/>
  <c r="AN28" i="6"/>
  <c r="AN27" i="6"/>
  <c r="AG48" i="10"/>
  <c r="AF48" i="10"/>
  <c r="AE48" i="10"/>
  <c r="AD48" i="10"/>
  <c r="AC48" i="10"/>
  <c r="AB48" i="10"/>
  <c r="AA48" i="10"/>
  <c r="Z48" i="10"/>
  <c r="Y48" i="10"/>
  <c r="X48" i="10"/>
  <c r="W48" i="10"/>
  <c r="V48" i="10"/>
  <c r="U48" i="10"/>
  <c r="T48" i="10"/>
  <c r="S48" i="10"/>
  <c r="R48" i="10"/>
  <c r="Q48" i="10"/>
  <c r="P48" i="10"/>
  <c r="O48" i="10"/>
  <c r="N48" i="10"/>
  <c r="M48" i="10"/>
  <c r="L48" i="10"/>
  <c r="K48" i="10"/>
  <c r="J48" i="10"/>
  <c r="I48" i="10"/>
  <c r="H48" i="10"/>
  <c r="G48" i="10"/>
  <c r="F48" i="10"/>
  <c r="E48" i="10"/>
  <c r="D48" i="10"/>
  <c r="C48" i="10"/>
  <c r="B48" i="10"/>
  <c r="AG47" i="10"/>
  <c r="AF47" i="10"/>
  <c r="AE47" i="10"/>
  <c r="AD47" i="10"/>
  <c r="AC47" i="10"/>
  <c r="AB47" i="10"/>
  <c r="AA47" i="10"/>
  <c r="Z47" i="10"/>
  <c r="Y47" i="10"/>
  <c r="X47" i="10"/>
  <c r="W47" i="10"/>
  <c r="V47" i="10"/>
  <c r="U47" i="10"/>
  <c r="T47" i="10"/>
  <c r="S47" i="10"/>
  <c r="R47" i="10"/>
  <c r="Q47" i="10"/>
  <c r="P47" i="10"/>
  <c r="O47" i="10"/>
  <c r="N47" i="10"/>
  <c r="M47" i="10"/>
  <c r="L47" i="10"/>
  <c r="K47" i="10"/>
  <c r="J47" i="10"/>
  <c r="I47" i="10"/>
  <c r="H47" i="10"/>
  <c r="G47" i="10"/>
  <c r="F47" i="10"/>
  <c r="E47" i="10"/>
  <c r="D47" i="10"/>
  <c r="C47" i="10"/>
  <c r="B47" i="10"/>
  <c r="AG46" i="10"/>
  <c r="AF46" i="10"/>
  <c r="AE46" i="10"/>
  <c r="AD46" i="10"/>
  <c r="AC46" i="10"/>
  <c r="AB46" i="10"/>
  <c r="AA46" i="10"/>
  <c r="Z46" i="10"/>
  <c r="Y46" i="10"/>
  <c r="X46" i="10"/>
  <c r="W46" i="10"/>
  <c r="V46" i="10"/>
  <c r="U46" i="10"/>
  <c r="T46" i="10"/>
  <c r="S46" i="10"/>
  <c r="R46" i="10"/>
  <c r="Q46" i="10"/>
  <c r="P46" i="10"/>
  <c r="O46" i="10"/>
  <c r="N46" i="10"/>
  <c r="M46" i="10"/>
  <c r="L46" i="10"/>
  <c r="K46" i="10"/>
  <c r="J46" i="10"/>
  <c r="I46" i="10"/>
  <c r="H46" i="10"/>
  <c r="G46" i="10"/>
  <c r="F46" i="10"/>
  <c r="E46" i="10"/>
  <c r="D46" i="10"/>
  <c r="C46" i="10"/>
  <c r="B46" i="10"/>
  <c r="AG45" i="10"/>
  <c r="AF45" i="10"/>
  <c r="AE45" i="10"/>
  <c r="AD45" i="10"/>
  <c r="AC45" i="10"/>
  <c r="AB45" i="10"/>
  <c r="AA45" i="10"/>
  <c r="Z45" i="10"/>
  <c r="Y45" i="10"/>
  <c r="X45" i="10"/>
  <c r="W45" i="10"/>
  <c r="V45" i="10"/>
  <c r="U45" i="10"/>
  <c r="T45" i="10"/>
  <c r="S45" i="10"/>
  <c r="R45" i="10"/>
  <c r="Q45" i="10"/>
  <c r="P45" i="10"/>
  <c r="O45" i="10"/>
  <c r="N45" i="10"/>
  <c r="M45" i="10"/>
  <c r="L45" i="10"/>
  <c r="K45" i="10"/>
  <c r="J45" i="10"/>
  <c r="I45" i="10"/>
  <c r="H45" i="10"/>
  <c r="G45" i="10"/>
  <c r="F45" i="10"/>
  <c r="E45" i="10"/>
  <c r="D45" i="10"/>
  <c r="C45" i="10"/>
  <c r="B45" i="10"/>
  <c r="AG44" i="10"/>
  <c r="AF44" i="10"/>
  <c r="AE44" i="10"/>
  <c r="AD44" i="10"/>
  <c r="AC44" i="10"/>
  <c r="AB44" i="10"/>
  <c r="AA44" i="10"/>
  <c r="Z44" i="10"/>
  <c r="Y44" i="10"/>
  <c r="X44" i="10"/>
  <c r="W44" i="10"/>
  <c r="V44" i="10"/>
  <c r="U44" i="10"/>
  <c r="T44" i="10"/>
  <c r="S44" i="10"/>
  <c r="R44" i="10"/>
  <c r="Q44" i="10"/>
  <c r="P44" i="10"/>
  <c r="O44" i="10"/>
  <c r="N44" i="10"/>
  <c r="M44" i="10"/>
  <c r="L44" i="10"/>
  <c r="K44" i="10"/>
  <c r="J44" i="10"/>
  <c r="I44" i="10"/>
  <c r="H44" i="10"/>
  <c r="G44" i="10"/>
  <c r="F44" i="10"/>
  <c r="E44" i="10"/>
  <c r="D44" i="10"/>
  <c r="C44" i="10"/>
  <c r="B44" i="10"/>
  <c r="AG43" i="10"/>
  <c r="AF43" i="10"/>
  <c r="AE43" i="10"/>
  <c r="AD43" i="10"/>
  <c r="AC43" i="10"/>
  <c r="AB43" i="10"/>
  <c r="AA43" i="10"/>
  <c r="Z43" i="10"/>
  <c r="Y43" i="10"/>
  <c r="X43" i="10"/>
  <c r="W43" i="10"/>
  <c r="V43" i="10"/>
  <c r="U43" i="10"/>
  <c r="T43" i="10"/>
  <c r="S43" i="10"/>
  <c r="R43" i="10"/>
  <c r="Q43" i="10"/>
  <c r="P43" i="10"/>
  <c r="O43" i="10"/>
  <c r="N43" i="10"/>
  <c r="M43" i="10"/>
  <c r="L43" i="10"/>
  <c r="K43" i="10"/>
  <c r="J43" i="10"/>
  <c r="I43" i="10"/>
  <c r="H43" i="10"/>
  <c r="G43" i="10"/>
  <c r="F43" i="10"/>
  <c r="E43" i="10"/>
  <c r="D43" i="10"/>
  <c r="C43" i="10"/>
  <c r="B43" i="10"/>
  <c r="AG42" i="10"/>
  <c r="AF42" i="10"/>
  <c r="AE42" i="10"/>
  <c r="AD42" i="10"/>
  <c r="AC42" i="10"/>
  <c r="AB42" i="10"/>
  <c r="AA42" i="10"/>
  <c r="Z42" i="10"/>
  <c r="Y42" i="10"/>
  <c r="X42" i="10"/>
  <c r="W42" i="10"/>
  <c r="V42" i="10"/>
  <c r="U42" i="10"/>
  <c r="T42" i="10"/>
  <c r="S42" i="10"/>
  <c r="R42" i="10"/>
  <c r="Q42" i="10"/>
  <c r="P42" i="10"/>
  <c r="O42" i="10"/>
  <c r="N42" i="10"/>
  <c r="M42" i="10"/>
  <c r="L42" i="10"/>
  <c r="K42" i="10"/>
  <c r="J42" i="10"/>
  <c r="I42" i="10"/>
  <c r="H42" i="10"/>
  <c r="G42" i="10"/>
  <c r="F42" i="10"/>
  <c r="E42" i="10"/>
  <c r="D42" i="10"/>
  <c r="C42" i="10"/>
  <c r="B42" i="10"/>
  <c r="AG39" i="10"/>
  <c r="AF39" i="10"/>
  <c r="AE39" i="10"/>
  <c r="AD39" i="10"/>
  <c r="AC39" i="10"/>
  <c r="AB39" i="10"/>
  <c r="AA39" i="10"/>
  <c r="Z39" i="10"/>
  <c r="Y39" i="10"/>
  <c r="X39" i="10"/>
  <c r="W39" i="10"/>
  <c r="V39" i="10"/>
  <c r="U39" i="10"/>
  <c r="T39" i="10"/>
  <c r="S39" i="10"/>
  <c r="R39" i="10"/>
  <c r="Q39" i="10"/>
  <c r="P39" i="10"/>
  <c r="O39" i="10"/>
  <c r="N39" i="10"/>
  <c r="M39" i="10"/>
  <c r="L39" i="10"/>
  <c r="K39" i="10"/>
  <c r="J39" i="10"/>
  <c r="I39" i="10"/>
  <c r="H39" i="10"/>
  <c r="G39" i="10"/>
  <c r="F39" i="10"/>
  <c r="E39" i="10"/>
  <c r="D39" i="10"/>
  <c r="C39" i="10"/>
  <c r="B39" i="10"/>
  <c r="AG38" i="10"/>
  <c r="AF38" i="10"/>
  <c r="AE38" i="10"/>
  <c r="AD38" i="10"/>
  <c r="AC38" i="10"/>
  <c r="AB38" i="10"/>
  <c r="AA38" i="10"/>
  <c r="Z38" i="10"/>
  <c r="Y38" i="10"/>
  <c r="X38" i="10"/>
  <c r="W38" i="10"/>
  <c r="V38" i="10"/>
  <c r="U38" i="10"/>
  <c r="T38" i="10"/>
  <c r="S38" i="10"/>
  <c r="R38" i="10"/>
  <c r="Q38" i="10"/>
  <c r="P38" i="10"/>
  <c r="O38" i="10"/>
  <c r="N38" i="10"/>
  <c r="M38" i="10"/>
  <c r="L38" i="10"/>
  <c r="K38" i="10"/>
  <c r="J38" i="10"/>
  <c r="I38" i="10"/>
  <c r="H38" i="10"/>
  <c r="G38" i="10"/>
  <c r="F38" i="10"/>
  <c r="E38" i="10"/>
  <c r="D38" i="10"/>
  <c r="C38" i="10"/>
  <c r="B38" i="10"/>
  <c r="AG37" i="10"/>
  <c r="AF37" i="10"/>
  <c r="AE37" i="10"/>
  <c r="AD37" i="10"/>
  <c r="AC37" i="10"/>
  <c r="AB37" i="10"/>
  <c r="AA37" i="10"/>
  <c r="Z37" i="10"/>
  <c r="Y37" i="10"/>
  <c r="X37" i="10"/>
  <c r="W37" i="10"/>
  <c r="V37" i="10"/>
  <c r="U37" i="10"/>
  <c r="T37" i="10"/>
  <c r="S37" i="10"/>
  <c r="R37" i="10"/>
  <c r="Q37" i="10"/>
  <c r="P37" i="10"/>
  <c r="O37" i="10"/>
  <c r="N37" i="10"/>
  <c r="M37" i="10"/>
  <c r="L37" i="10"/>
  <c r="K37" i="10"/>
  <c r="J37" i="10"/>
  <c r="I37" i="10"/>
  <c r="H37" i="10"/>
  <c r="G37" i="10"/>
  <c r="F37" i="10"/>
  <c r="E37" i="10"/>
  <c r="D37" i="10"/>
  <c r="C37" i="10"/>
  <c r="B37" i="10"/>
  <c r="AG36" i="10"/>
  <c r="AF36" i="10"/>
  <c r="AE36" i="10"/>
  <c r="AD36" i="10"/>
  <c r="AC36" i="10"/>
  <c r="AB36" i="10"/>
  <c r="AA36" i="10"/>
  <c r="Z36" i="10"/>
  <c r="Y36" i="10"/>
  <c r="X36" i="10"/>
  <c r="W36" i="10"/>
  <c r="V36" i="10"/>
  <c r="U36" i="10"/>
  <c r="T36" i="10"/>
  <c r="S36" i="10"/>
  <c r="R36" i="10"/>
  <c r="Q36" i="10"/>
  <c r="P36" i="10"/>
  <c r="O36" i="10"/>
  <c r="N36" i="10"/>
  <c r="M36" i="10"/>
  <c r="L36" i="10"/>
  <c r="K36" i="10"/>
  <c r="J36" i="10"/>
  <c r="I36" i="10"/>
  <c r="H36" i="10"/>
  <c r="G36" i="10"/>
  <c r="F36" i="10"/>
  <c r="E36" i="10"/>
  <c r="D36" i="10"/>
  <c r="C36" i="10"/>
  <c r="B36" i="10"/>
  <c r="AG35" i="10"/>
  <c r="AF35" i="10"/>
  <c r="AE35" i="10"/>
  <c r="AD35" i="10"/>
  <c r="AC35" i="10"/>
  <c r="AB35" i="10"/>
  <c r="AA35" i="10"/>
  <c r="Z35" i="10"/>
  <c r="Y35" i="10"/>
  <c r="X35" i="10"/>
  <c r="W35" i="10"/>
  <c r="V35" i="10"/>
  <c r="U35" i="10"/>
  <c r="T35" i="10"/>
  <c r="S35" i="10"/>
  <c r="R35" i="10"/>
  <c r="Q35" i="10"/>
  <c r="P35" i="10"/>
  <c r="O35" i="10"/>
  <c r="N35" i="10"/>
  <c r="M35" i="10"/>
  <c r="L35" i="10"/>
  <c r="K35" i="10"/>
  <c r="J35" i="10"/>
  <c r="I35" i="10"/>
  <c r="H35" i="10"/>
  <c r="G35" i="10"/>
  <c r="F35" i="10"/>
  <c r="E35" i="10"/>
  <c r="D35" i="10"/>
  <c r="C35" i="10"/>
  <c r="B35" i="10"/>
  <c r="AG34" i="10"/>
  <c r="AF34" i="10"/>
  <c r="AE34" i="10"/>
  <c r="AD34" i="10"/>
  <c r="AC34" i="10"/>
  <c r="AB34" i="10"/>
  <c r="AA34" i="10"/>
  <c r="Z34" i="10"/>
  <c r="Y34" i="10"/>
  <c r="X34" i="10"/>
  <c r="W34" i="10"/>
  <c r="V34" i="10"/>
  <c r="U34" i="10"/>
  <c r="T34" i="10"/>
  <c r="S34" i="10"/>
  <c r="R34" i="10"/>
  <c r="Q34" i="10"/>
  <c r="P34" i="10"/>
  <c r="O34" i="10"/>
  <c r="N34" i="10"/>
  <c r="M34" i="10"/>
  <c r="L34" i="10"/>
  <c r="K34" i="10"/>
  <c r="J34" i="10"/>
  <c r="I34" i="10"/>
  <c r="H34" i="10"/>
  <c r="G34" i="10"/>
  <c r="F34" i="10"/>
  <c r="E34" i="10"/>
  <c r="D34" i="10"/>
  <c r="C34" i="10"/>
  <c r="B34" i="10"/>
  <c r="AG33" i="10"/>
  <c r="AF33" i="10"/>
  <c r="AE33" i="10"/>
  <c r="AD33" i="10"/>
  <c r="AC33" i="10"/>
  <c r="AB33" i="10"/>
  <c r="AA33" i="10"/>
  <c r="Z33" i="10"/>
  <c r="Y33" i="10"/>
  <c r="X33" i="10"/>
  <c r="W33" i="10"/>
  <c r="V33" i="10"/>
  <c r="U33" i="10"/>
  <c r="T33" i="10"/>
  <c r="S33" i="10"/>
  <c r="R33" i="10"/>
  <c r="Q33" i="10"/>
  <c r="P33" i="10"/>
  <c r="O33" i="10"/>
  <c r="N33" i="10"/>
  <c r="M33" i="10"/>
  <c r="L33" i="10"/>
  <c r="K33" i="10"/>
  <c r="J33" i="10"/>
  <c r="I33" i="10"/>
  <c r="H33" i="10"/>
  <c r="G33" i="10"/>
  <c r="F33" i="10"/>
  <c r="E33" i="10"/>
  <c r="D33" i="10"/>
  <c r="C33" i="10"/>
  <c r="B33" i="10"/>
  <c r="F20" i="10"/>
  <c r="E20" i="10"/>
  <c r="D20" i="10"/>
  <c r="C20" i="10"/>
  <c r="B20" i="10"/>
  <c r="AG14" i="10"/>
  <c r="AF14" i="10"/>
  <c r="AE14" i="10"/>
  <c r="AD14" i="10"/>
  <c r="AC14" i="10"/>
  <c r="AB14" i="10"/>
  <c r="AA14" i="10"/>
  <c r="Z14" i="10"/>
  <c r="Y14" i="10"/>
  <c r="X14" i="10"/>
  <c r="W14" i="10"/>
  <c r="V14" i="10"/>
  <c r="U14" i="10"/>
  <c r="T14" i="10"/>
  <c r="S14" i="10"/>
  <c r="R14" i="10"/>
  <c r="Q14" i="10"/>
  <c r="P14" i="10"/>
  <c r="O14" i="10"/>
  <c r="N14" i="10"/>
  <c r="M14" i="10"/>
  <c r="L14" i="10"/>
  <c r="K14" i="10"/>
  <c r="J14" i="10"/>
  <c r="I14" i="10"/>
  <c r="H14" i="10"/>
  <c r="G14" i="10"/>
  <c r="F14" i="10"/>
  <c r="E14" i="10"/>
  <c r="D14" i="10"/>
  <c r="C14" i="10"/>
  <c r="B14" i="10"/>
  <c r="R54" i="7"/>
  <c r="R53" i="7"/>
  <c r="R52" i="7"/>
  <c r="R51" i="7"/>
  <c r="R50" i="7"/>
  <c r="R49" i="7"/>
  <c r="R48" i="7"/>
  <c r="R47" i="7"/>
  <c r="R46" i="7"/>
  <c r="R45" i="7"/>
  <c r="R44" i="7"/>
  <c r="R43" i="7"/>
  <c r="R42" i="7"/>
  <c r="R41" i="7"/>
  <c r="R40" i="7"/>
  <c r="R39" i="7"/>
  <c r="R38" i="7"/>
  <c r="R37" i="7"/>
  <c r="R36" i="7"/>
  <c r="R35" i="7"/>
  <c r="R34" i="7"/>
  <c r="R33" i="7"/>
  <c r="R32" i="7"/>
  <c r="R64" i="7"/>
  <c r="R63" i="7"/>
  <c r="R62" i="7"/>
  <c r="R61" i="7"/>
  <c r="R60" i="7"/>
  <c r="R59" i="7"/>
  <c r="R58" i="7"/>
  <c r="R57" i="7"/>
  <c r="R56" i="7"/>
  <c r="R55" i="7"/>
  <c r="U38" i="11" l="1"/>
  <c r="U50" i="11" s="1"/>
  <c r="AD36" i="11"/>
  <c r="AD48" i="11" s="1"/>
  <c r="AI37" i="11"/>
  <c r="AI49" i="11" s="1"/>
  <c r="C38" i="11"/>
  <c r="C50" i="11" s="1"/>
  <c r="AG36" i="11"/>
  <c r="AG48" i="11" s="1"/>
  <c r="D38" i="11"/>
  <c r="D50" i="11" s="1"/>
  <c r="E44" i="11"/>
  <c r="E56" i="11" s="1"/>
  <c r="AG44" i="11"/>
  <c r="AG56" i="11" s="1"/>
  <c r="G38" i="11"/>
  <c r="G50" i="11" s="1"/>
  <c r="C37" i="11"/>
  <c r="C49" i="11" s="1"/>
  <c r="M38" i="11"/>
  <c r="M50" i="11" s="1"/>
  <c r="E37" i="11"/>
  <c r="E49" i="11" s="1"/>
  <c r="Q38" i="11"/>
  <c r="Q50" i="11" s="1"/>
  <c r="F37" i="11"/>
  <c r="F49" i="11" s="1"/>
  <c r="S38" i="11"/>
  <c r="S50" i="11" s="1"/>
  <c r="R43" i="11"/>
  <c r="R55" i="11" s="1"/>
  <c r="I44" i="11"/>
  <c r="I56" i="11" s="1"/>
  <c r="T38" i="11"/>
  <c r="T50" i="11" s="1"/>
  <c r="H37" i="11"/>
  <c r="H49" i="11" s="1"/>
  <c r="V38" i="11"/>
  <c r="V50" i="11" s="1"/>
  <c r="Z42" i="11"/>
  <c r="Z54" i="11" s="1"/>
  <c r="T43" i="11"/>
  <c r="T55" i="11" s="1"/>
  <c r="K44" i="11"/>
  <c r="K56" i="11" s="1"/>
  <c r="B37" i="11"/>
  <c r="B49" i="11" s="1"/>
  <c r="I37" i="11"/>
  <c r="I49" i="11" s="1"/>
  <c r="W38" i="11"/>
  <c r="W50" i="11" s="1"/>
  <c r="U43" i="11"/>
  <c r="U55" i="11" s="1"/>
  <c r="L44" i="11"/>
  <c r="L56" i="11" s="1"/>
  <c r="B38" i="11"/>
  <c r="B50" i="11" s="1"/>
  <c r="K37" i="11"/>
  <c r="K49" i="11" s="1"/>
  <c r="X38" i="11"/>
  <c r="X50" i="11" s="1"/>
  <c r="M44" i="11"/>
  <c r="M56" i="11" s="1"/>
  <c r="Y38" i="11"/>
  <c r="Y50" i="11" s="1"/>
  <c r="N44" i="11"/>
  <c r="N56" i="11" s="1"/>
  <c r="AP5" i="11"/>
  <c r="V48" i="11"/>
  <c r="E38" i="11"/>
  <c r="E50" i="11" s="1"/>
  <c r="AC38" i="11"/>
  <c r="AC50" i="11" s="1"/>
  <c r="D57" i="11"/>
  <c r="E57" i="11" s="1"/>
  <c r="F57" i="11" s="1"/>
  <c r="G57" i="11" s="1"/>
  <c r="H57" i="11" s="1"/>
  <c r="I57" i="11" s="1"/>
  <c r="J57" i="11" s="1"/>
  <c r="K57" i="11" s="1"/>
  <c r="L57" i="11" s="1"/>
  <c r="M57" i="11" s="1"/>
  <c r="N57" i="11" s="1"/>
  <c r="O57" i="11" s="1"/>
  <c r="P57" i="11" s="1"/>
  <c r="Q57" i="11" s="1"/>
  <c r="R57" i="11" s="1"/>
  <c r="S57" i="11" s="1"/>
  <c r="T57" i="11" s="1"/>
  <c r="U57" i="11" s="1"/>
  <c r="V57" i="11" s="1"/>
  <c r="F38" i="11"/>
  <c r="F50" i="11" s="1"/>
  <c r="AD38" i="11"/>
  <c r="AD50" i="11" s="1"/>
  <c r="AK67" i="11"/>
  <c r="AK60" i="11"/>
  <c r="AK61" i="11"/>
  <c r="AK62" i="11"/>
  <c r="AK63" i="11"/>
  <c r="AK64" i="11"/>
  <c r="H38" i="11"/>
  <c r="H50" i="11" s="1"/>
  <c r="AF38" i="11"/>
  <c r="AF50" i="11" s="1"/>
  <c r="I38" i="11"/>
  <c r="I50" i="11" s="1"/>
  <c r="AG38" i="11"/>
  <c r="AG50" i="11" s="1"/>
  <c r="P44" i="11"/>
  <c r="P56" i="11" s="1"/>
  <c r="J38" i="11"/>
  <c r="J50" i="11" s="1"/>
  <c r="AH38" i="11"/>
  <c r="AH50" i="11" s="1"/>
  <c r="Q44" i="11"/>
  <c r="Q56" i="11" s="1"/>
  <c r="K38" i="11"/>
  <c r="K50" i="11" s="1"/>
  <c r="AI38" i="11"/>
  <c r="AI50" i="11" s="1"/>
  <c r="L38" i="11"/>
  <c r="L50" i="11" s="1"/>
  <c r="M41" i="11"/>
  <c r="M53" i="11" s="1"/>
  <c r="N38" i="11"/>
  <c r="N50" i="11" s="1"/>
  <c r="O38" i="11"/>
  <c r="O50" i="11" s="1"/>
  <c r="V44" i="11"/>
  <c r="V56" i="11" s="1"/>
  <c r="P38" i="11"/>
  <c r="P50" i="11" s="1"/>
  <c r="F36" i="11"/>
  <c r="F48" i="11" s="1"/>
  <c r="AI36" i="11"/>
  <c r="R38" i="11"/>
  <c r="R50" i="11" s="1"/>
  <c r="AK7" i="11"/>
  <c r="AB57" i="27"/>
  <c r="N37" i="11"/>
  <c r="N49" i="11" s="1"/>
  <c r="C40" i="12"/>
  <c r="C52" i="12" s="1"/>
  <c r="K41" i="11"/>
  <c r="K53" i="11" s="1"/>
  <c r="G42" i="11"/>
  <c r="G54" i="11" s="1"/>
  <c r="AE42" i="11"/>
  <c r="AE54" i="11" s="1"/>
  <c r="AF42" i="11"/>
  <c r="AF54" i="11" s="1"/>
  <c r="I42" i="11"/>
  <c r="I54" i="11" s="1"/>
  <c r="AH41" i="11"/>
  <c r="AH53" i="11" s="1"/>
  <c r="AA43" i="12"/>
  <c r="AA55" i="12" s="1"/>
  <c r="C38" i="12"/>
  <c r="C50" i="12" s="1"/>
  <c r="AF36" i="11"/>
  <c r="AF48" i="11" s="1"/>
  <c r="T71" i="14"/>
  <c r="T72" i="14" s="1"/>
  <c r="Z70" i="14"/>
  <c r="AB70" i="14" s="1"/>
  <c r="Z69" i="14"/>
  <c r="T70" i="14"/>
  <c r="R69" i="14"/>
  <c r="T69" i="14"/>
  <c r="O38" i="12"/>
  <c r="O50" i="12" s="1"/>
  <c r="F36" i="12"/>
  <c r="F48" i="12" s="1"/>
  <c r="R38" i="12"/>
  <c r="R50" i="12" s="1"/>
  <c r="X40" i="12"/>
  <c r="X52" i="12" s="1"/>
  <c r="O37" i="12"/>
  <c r="O49" i="12" s="1"/>
  <c r="N36" i="12"/>
  <c r="N48" i="12" s="1"/>
  <c r="S38" i="12"/>
  <c r="S50" i="12" s="1"/>
  <c r="AA40" i="12"/>
  <c r="AA52" i="12" s="1"/>
  <c r="P36" i="12"/>
  <c r="P48" i="12" s="1"/>
  <c r="Q36" i="12"/>
  <c r="Q48" i="12" s="1"/>
  <c r="R36" i="12"/>
  <c r="R48" i="12" s="1"/>
  <c r="S36" i="12"/>
  <c r="S48" i="12" s="1"/>
  <c r="T36" i="12"/>
  <c r="T48" i="12" s="1"/>
  <c r="X38" i="12"/>
  <c r="X50" i="12" s="1"/>
  <c r="G36" i="12"/>
  <c r="G48" i="12" s="1"/>
  <c r="AA38" i="12"/>
  <c r="AA50" i="12" s="1"/>
  <c r="L36" i="12"/>
  <c r="L48" i="12" s="1"/>
  <c r="M36" i="12"/>
  <c r="M48" i="12" s="1"/>
  <c r="U42" i="12"/>
  <c r="U54" i="12" s="1"/>
  <c r="AI43" i="12"/>
  <c r="AI55" i="12" s="1"/>
  <c r="O36" i="12"/>
  <c r="O48" i="12" s="1"/>
  <c r="K43" i="12"/>
  <c r="K55" i="12" s="1"/>
  <c r="V36" i="12"/>
  <c r="V48" i="12" s="1"/>
  <c r="L44" i="12"/>
  <c r="L56" i="12" s="1"/>
  <c r="X36" i="12"/>
  <c r="X48" i="12" s="1"/>
  <c r="Y40" i="12"/>
  <c r="Y52" i="12" s="1"/>
  <c r="M44" i="12"/>
  <c r="M56" i="12" s="1"/>
  <c r="Y36" i="12"/>
  <c r="Y48" i="12" s="1"/>
  <c r="Z40" i="12"/>
  <c r="Z52" i="12" s="1"/>
  <c r="O44" i="12"/>
  <c r="O56" i="12" s="1"/>
  <c r="Z36" i="12"/>
  <c r="Z48" i="12" s="1"/>
  <c r="P44" i="12"/>
  <c r="P56" i="12" s="1"/>
  <c r="Q44" i="12"/>
  <c r="Q56" i="12" s="1"/>
  <c r="AB36" i="12"/>
  <c r="AB48" i="12" s="1"/>
  <c r="R44" i="12"/>
  <c r="R56" i="12" s="1"/>
  <c r="S44" i="12"/>
  <c r="S56" i="12" s="1"/>
  <c r="B36" i="12"/>
  <c r="B48" i="12" s="1"/>
  <c r="AD36" i="12"/>
  <c r="AD48" i="12" s="1"/>
  <c r="M42" i="12"/>
  <c r="M54" i="12" s="1"/>
  <c r="T44" i="12"/>
  <c r="T56" i="12" s="1"/>
  <c r="C36" i="12"/>
  <c r="C48" i="12" s="1"/>
  <c r="AE36" i="12"/>
  <c r="AE48" i="12" s="1"/>
  <c r="N42" i="12"/>
  <c r="N54" i="12" s="1"/>
  <c r="U44" i="12"/>
  <c r="U56" i="12" s="1"/>
  <c r="D36" i="12"/>
  <c r="D48" i="12" s="1"/>
  <c r="AI36" i="12"/>
  <c r="AI48" i="12" s="1"/>
  <c r="O42" i="12"/>
  <c r="O54" i="12" s="1"/>
  <c r="V44" i="12"/>
  <c r="V56" i="12" s="1"/>
  <c r="E36" i="12"/>
  <c r="E48" i="12" s="1"/>
  <c r="Q42" i="12"/>
  <c r="Q54" i="12" s="1"/>
  <c r="W44" i="12"/>
  <c r="W56" i="12" s="1"/>
  <c r="AG37" i="12"/>
  <c r="AG49" i="12" s="1"/>
  <c r="M39" i="12"/>
  <c r="M51" i="12" s="1"/>
  <c r="N39" i="12"/>
  <c r="N51" i="12" s="1"/>
  <c r="O39" i="12"/>
  <c r="O51" i="12" s="1"/>
  <c r="AE39" i="12"/>
  <c r="AE51" i="12" s="1"/>
  <c r="L37" i="12"/>
  <c r="L49" i="12" s="1"/>
  <c r="M37" i="12"/>
  <c r="M49" i="12" s="1"/>
  <c r="N37" i="12"/>
  <c r="N49" i="12" s="1"/>
  <c r="O37" i="11"/>
  <c r="O49" i="11" s="1"/>
  <c r="P37" i="11"/>
  <c r="P49" i="11" s="1"/>
  <c r="V37" i="11"/>
  <c r="V49" i="11" s="1"/>
  <c r="X37" i="11"/>
  <c r="X49" i="11" s="1"/>
  <c r="Z37" i="11"/>
  <c r="Z49" i="11" s="1"/>
  <c r="AA37" i="11"/>
  <c r="AA49" i="11" s="1"/>
  <c r="D37" i="11"/>
  <c r="D49" i="11" s="1"/>
  <c r="AB37" i="11"/>
  <c r="AB49" i="11" s="1"/>
  <c r="J37" i="11"/>
  <c r="J49" i="11" s="1"/>
  <c r="AH37" i="11"/>
  <c r="AH49" i="11" s="1"/>
  <c r="L37" i="11"/>
  <c r="L49" i="11" s="1"/>
  <c r="X41" i="11"/>
  <c r="X53" i="11" s="1"/>
  <c r="Z41" i="11"/>
  <c r="Z53" i="11" s="1"/>
  <c r="AH44" i="11"/>
  <c r="AH56" i="11" s="1"/>
  <c r="AF41" i="11"/>
  <c r="AF53" i="11" s="1"/>
  <c r="AG41" i="11"/>
  <c r="AG53" i="11" s="1"/>
  <c r="G36" i="11"/>
  <c r="G48" i="11" s="1"/>
  <c r="H36" i="11"/>
  <c r="H48" i="11" s="1"/>
  <c r="L36" i="11"/>
  <c r="L48" i="11" s="1"/>
  <c r="M36" i="11"/>
  <c r="M48" i="11" s="1"/>
  <c r="N36" i="11"/>
  <c r="N48" i="11" s="1"/>
  <c r="O36" i="11"/>
  <c r="O48" i="11" s="1"/>
  <c r="S36" i="11"/>
  <c r="S48" i="11" s="1"/>
  <c r="U36" i="11"/>
  <c r="U48" i="11" s="1"/>
  <c r="Z36" i="11"/>
  <c r="Z48" i="11" s="1"/>
  <c r="B36" i="11"/>
  <c r="B48" i="11" s="1"/>
  <c r="AB36" i="11"/>
  <c r="AB48" i="11" s="1"/>
  <c r="B52" i="11"/>
  <c r="B55" i="11"/>
  <c r="B53" i="11"/>
  <c r="W36" i="11"/>
  <c r="W48" i="11" s="1"/>
  <c r="X36" i="11"/>
  <c r="X48" i="11" s="1"/>
  <c r="Y36" i="11"/>
  <c r="Y48" i="11" s="1"/>
  <c r="C36" i="11"/>
  <c r="C48" i="11" s="1"/>
  <c r="AA36" i="11"/>
  <c r="AA48" i="11" s="1"/>
  <c r="K36" i="11"/>
  <c r="K48" i="11" s="1"/>
  <c r="AI48" i="11"/>
  <c r="P36" i="11"/>
  <c r="P48" i="11" s="1"/>
  <c r="Q36" i="11"/>
  <c r="Q48" i="11" s="1"/>
  <c r="T36" i="11"/>
  <c r="T48" i="11" s="1"/>
  <c r="G57" i="12"/>
  <c r="H57" i="12" s="1"/>
  <c r="I57" i="12" s="1"/>
  <c r="J57" i="12" s="1"/>
  <c r="K57" i="12" s="1"/>
  <c r="L57" i="12" s="1"/>
  <c r="M57" i="12" s="1"/>
  <c r="N57" i="12" s="1"/>
  <c r="O57" i="12" s="1"/>
  <c r="P57" i="12" s="1"/>
  <c r="Q57" i="12" s="1"/>
  <c r="R57" i="12" s="1"/>
  <c r="S57" i="12" s="1"/>
  <c r="T57" i="12" s="1"/>
  <c r="U57" i="12" s="1"/>
  <c r="V57" i="12" s="1"/>
  <c r="J37" i="12"/>
  <c r="J49" i="12" s="1"/>
  <c r="AH37" i="12"/>
  <c r="AH49" i="12" s="1"/>
  <c r="H39" i="12"/>
  <c r="H51" i="12" s="1"/>
  <c r="AF39" i="12"/>
  <c r="AF51" i="12" s="1"/>
  <c r="F41" i="12"/>
  <c r="F53" i="12" s="1"/>
  <c r="AD41" i="12"/>
  <c r="AD53" i="12" s="1"/>
  <c r="D43" i="12"/>
  <c r="D55" i="12" s="1"/>
  <c r="AB43" i="12"/>
  <c r="AB55" i="12" s="1"/>
  <c r="K37" i="12"/>
  <c r="K49" i="12" s="1"/>
  <c r="AI37" i="12"/>
  <c r="AI49" i="12" s="1"/>
  <c r="I39" i="12"/>
  <c r="I51" i="12" s="1"/>
  <c r="AG39" i="12"/>
  <c r="AG51" i="12" s="1"/>
  <c r="G41" i="12"/>
  <c r="G53" i="12" s="1"/>
  <c r="AE41" i="12"/>
  <c r="AE53" i="12" s="1"/>
  <c r="E43" i="12"/>
  <c r="E55" i="12" s="1"/>
  <c r="AC43" i="12"/>
  <c r="AC55" i="12" s="1"/>
  <c r="J39" i="12"/>
  <c r="J51" i="12" s="1"/>
  <c r="AH39" i="12"/>
  <c r="AH51" i="12" s="1"/>
  <c r="H41" i="12"/>
  <c r="H53" i="12" s="1"/>
  <c r="AF41" i="12"/>
  <c r="AF53" i="12" s="1"/>
  <c r="F43" i="12"/>
  <c r="F55" i="12" s="1"/>
  <c r="AD43" i="12"/>
  <c r="AD55" i="12" s="1"/>
  <c r="K39" i="12"/>
  <c r="K51" i="12" s="1"/>
  <c r="AI39" i="12"/>
  <c r="AI51" i="12" s="1"/>
  <c r="I41" i="12"/>
  <c r="I53" i="12" s="1"/>
  <c r="AG41" i="12"/>
  <c r="AG53" i="12" s="1"/>
  <c r="G43" i="12"/>
  <c r="G55" i="12" s="1"/>
  <c r="AE43" i="12"/>
  <c r="AE55" i="12" s="1"/>
  <c r="J41" i="12"/>
  <c r="J53" i="12" s="1"/>
  <c r="AH41" i="12"/>
  <c r="AH53" i="12" s="1"/>
  <c r="H43" i="12"/>
  <c r="H55" i="12" s="1"/>
  <c r="AF43" i="12"/>
  <c r="AF55" i="12" s="1"/>
  <c r="K41" i="12"/>
  <c r="K53" i="12" s="1"/>
  <c r="AI41" i="12"/>
  <c r="AI53" i="12" s="1"/>
  <c r="I43" i="12"/>
  <c r="I55" i="12" s="1"/>
  <c r="AG43" i="12"/>
  <c r="AG55" i="12" s="1"/>
  <c r="L41" i="12"/>
  <c r="L53" i="12" s="1"/>
  <c r="J43" i="12"/>
  <c r="J55" i="12" s="1"/>
  <c r="AH43" i="12"/>
  <c r="AH55" i="12" s="1"/>
  <c r="P39" i="12"/>
  <c r="P51" i="12" s="1"/>
  <c r="L43" i="12"/>
  <c r="L55" i="12" s="1"/>
  <c r="H36" i="12"/>
  <c r="H48" i="12" s="1"/>
  <c r="AF36" i="12"/>
  <c r="AF48" i="12" s="1"/>
  <c r="S37" i="12"/>
  <c r="S49" i="12" s="1"/>
  <c r="F38" i="12"/>
  <c r="F50" i="12" s="1"/>
  <c r="AD38" i="12"/>
  <c r="AD50" i="12" s="1"/>
  <c r="Q39" i="12"/>
  <c r="Q51" i="12" s="1"/>
  <c r="D40" i="12"/>
  <c r="D52" i="12" s="1"/>
  <c r="AB40" i="12"/>
  <c r="AB52" i="12" s="1"/>
  <c r="O41" i="12"/>
  <c r="O53" i="12" s="1"/>
  <c r="B42" i="12"/>
  <c r="B54" i="12" s="1"/>
  <c r="Z42" i="12"/>
  <c r="Z54" i="12" s="1"/>
  <c r="M43" i="12"/>
  <c r="M55" i="12" s="1"/>
  <c r="X44" i="12"/>
  <c r="X56" i="12" s="1"/>
  <c r="I36" i="12"/>
  <c r="I48" i="12" s="1"/>
  <c r="AG36" i="12"/>
  <c r="AG48" i="12" s="1"/>
  <c r="T37" i="12"/>
  <c r="T49" i="12" s="1"/>
  <c r="G38" i="12"/>
  <c r="G50" i="12" s="1"/>
  <c r="AE38" i="12"/>
  <c r="AE50" i="12" s="1"/>
  <c r="R39" i="12"/>
  <c r="R51" i="12" s="1"/>
  <c r="E40" i="12"/>
  <c r="E52" i="12" s="1"/>
  <c r="AC40" i="12"/>
  <c r="AC52" i="12" s="1"/>
  <c r="P41" i="12"/>
  <c r="P53" i="12" s="1"/>
  <c r="C42" i="12"/>
  <c r="C54" i="12" s="1"/>
  <c r="AA42" i="12"/>
  <c r="AA54" i="12" s="1"/>
  <c r="N43" i="12"/>
  <c r="N55" i="12" s="1"/>
  <c r="Y44" i="12"/>
  <c r="Y56" i="12" s="1"/>
  <c r="J36" i="12"/>
  <c r="J48" i="12" s="1"/>
  <c r="AH36" i="12"/>
  <c r="AH48" i="12" s="1"/>
  <c r="U37" i="12"/>
  <c r="U49" i="12" s="1"/>
  <c r="H38" i="12"/>
  <c r="H50" i="12" s="1"/>
  <c r="AF38" i="12"/>
  <c r="AF50" i="12" s="1"/>
  <c r="S39" i="12"/>
  <c r="S51" i="12" s="1"/>
  <c r="F40" i="12"/>
  <c r="F52" i="12" s="1"/>
  <c r="AD40" i="12"/>
  <c r="AD52" i="12" s="1"/>
  <c r="Q41" i="12"/>
  <c r="Q53" i="12" s="1"/>
  <c r="D42" i="12"/>
  <c r="D54" i="12" s="1"/>
  <c r="AB42" i="12"/>
  <c r="AB54" i="12" s="1"/>
  <c r="O43" i="12"/>
  <c r="O55" i="12" s="1"/>
  <c r="B44" i="12"/>
  <c r="B56" i="12" s="1"/>
  <c r="Z44" i="12"/>
  <c r="Z56" i="12" s="1"/>
  <c r="K36" i="12"/>
  <c r="K48" i="12" s="1"/>
  <c r="V37" i="12"/>
  <c r="V49" i="12" s="1"/>
  <c r="I38" i="12"/>
  <c r="I50" i="12" s="1"/>
  <c r="AG38" i="12"/>
  <c r="AG50" i="12" s="1"/>
  <c r="T39" i="12"/>
  <c r="T51" i="12" s="1"/>
  <c r="G40" i="12"/>
  <c r="G52" i="12" s="1"/>
  <c r="AE40" i="12"/>
  <c r="AE52" i="12" s="1"/>
  <c r="R41" i="12"/>
  <c r="R53" i="12" s="1"/>
  <c r="E42" i="12"/>
  <c r="E54" i="12" s="1"/>
  <c r="AC42" i="12"/>
  <c r="AC54" i="12" s="1"/>
  <c r="P43" i="12"/>
  <c r="P55" i="12" s="1"/>
  <c r="C44" i="12"/>
  <c r="C56" i="12" s="1"/>
  <c r="AA44" i="12"/>
  <c r="AA56" i="12" s="1"/>
  <c r="W37" i="12"/>
  <c r="W49" i="12" s="1"/>
  <c r="J38" i="12"/>
  <c r="J50" i="12" s="1"/>
  <c r="AH38" i="12"/>
  <c r="AH50" i="12" s="1"/>
  <c r="U39" i="12"/>
  <c r="U51" i="12" s="1"/>
  <c r="H40" i="12"/>
  <c r="H52" i="12" s="1"/>
  <c r="AF40" i="12"/>
  <c r="AF52" i="12" s="1"/>
  <c r="S41" i="12"/>
  <c r="S53" i="12" s="1"/>
  <c r="F42" i="12"/>
  <c r="F54" i="12" s="1"/>
  <c r="AD42" i="12"/>
  <c r="AD54" i="12" s="1"/>
  <c r="Q43" i="12"/>
  <c r="Q55" i="12" s="1"/>
  <c r="D44" i="12"/>
  <c r="D56" i="12" s="1"/>
  <c r="AB44" i="12"/>
  <c r="AB56" i="12" s="1"/>
  <c r="N41" i="12"/>
  <c r="N53" i="12" s="1"/>
  <c r="X37" i="12"/>
  <c r="X49" i="12" s="1"/>
  <c r="K38" i="12"/>
  <c r="K50" i="12" s="1"/>
  <c r="V39" i="12"/>
  <c r="V51" i="12" s="1"/>
  <c r="I40" i="12"/>
  <c r="I52" i="12" s="1"/>
  <c r="AG40" i="12"/>
  <c r="AG52" i="12" s="1"/>
  <c r="T41" i="12"/>
  <c r="T53" i="12" s="1"/>
  <c r="G42" i="12"/>
  <c r="G54" i="12" s="1"/>
  <c r="AE42" i="12"/>
  <c r="AE54" i="12" s="1"/>
  <c r="R43" i="12"/>
  <c r="R55" i="12" s="1"/>
  <c r="E44" i="12"/>
  <c r="E56" i="12" s="1"/>
  <c r="AC44" i="12"/>
  <c r="AC56" i="12" s="1"/>
  <c r="Y37" i="12"/>
  <c r="Y49" i="12" s="1"/>
  <c r="W39" i="12"/>
  <c r="W51" i="12" s="1"/>
  <c r="J40" i="12"/>
  <c r="J52" i="12" s="1"/>
  <c r="AH40" i="12"/>
  <c r="AH52" i="12" s="1"/>
  <c r="U41" i="12"/>
  <c r="U53" i="12" s="1"/>
  <c r="H42" i="12"/>
  <c r="H54" i="12" s="1"/>
  <c r="AF42" i="12"/>
  <c r="AF54" i="12" s="1"/>
  <c r="S43" i="12"/>
  <c r="S55" i="12" s="1"/>
  <c r="F44" i="12"/>
  <c r="F56" i="12" s="1"/>
  <c r="AD44" i="12"/>
  <c r="AD56" i="12" s="1"/>
  <c r="B37" i="12"/>
  <c r="B49" i="12" s="1"/>
  <c r="Z37" i="12"/>
  <c r="Z49" i="12" s="1"/>
  <c r="X39" i="12"/>
  <c r="X51" i="12" s="1"/>
  <c r="K40" i="12"/>
  <c r="K52" i="12" s="1"/>
  <c r="AI40" i="12"/>
  <c r="AI52" i="12" s="1"/>
  <c r="V41" i="12"/>
  <c r="V53" i="12" s="1"/>
  <c r="I42" i="12"/>
  <c r="I54" i="12" s="1"/>
  <c r="AG42" i="12"/>
  <c r="AG54" i="12" s="1"/>
  <c r="T43" i="12"/>
  <c r="T55" i="12" s="1"/>
  <c r="G44" i="12"/>
  <c r="G56" i="12" s="1"/>
  <c r="AE44" i="12"/>
  <c r="AE56" i="12" s="1"/>
  <c r="C37" i="12"/>
  <c r="C49" i="12" s="1"/>
  <c r="AA37" i="12"/>
  <c r="AA49" i="12" s="1"/>
  <c r="Y39" i="12"/>
  <c r="Y51" i="12" s="1"/>
  <c r="W41" i="12"/>
  <c r="W53" i="12" s="1"/>
  <c r="J42" i="12"/>
  <c r="J54" i="12" s="1"/>
  <c r="AH42" i="12"/>
  <c r="AH54" i="12" s="1"/>
  <c r="U43" i="12"/>
  <c r="U55" i="12" s="1"/>
  <c r="H44" i="12"/>
  <c r="H56" i="12" s="1"/>
  <c r="AF44" i="12"/>
  <c r="AF56" i="12" s="1"/>
  <c r="D37" i="12"/>
  <c r="D49" i="12" s="1"/>
  <c r="AB37" i="12"/>
  <c r="AB49" i="12" s="1"/>
  <c r="B39" i="12"/>
  <c r="B51" i="12" s="1"/>
  <c r="Z39" i="12"/>
  <c r="Z51" i="12" s="1"/>
  <c r="X41" i="12"/>
  <c r="X53" i="12" s="1"/>
  <c r="K42" i="12"/>
  <c r="K54" i="12" s="1"/>
  <c r="V43" i="12"/>
  <c r="V55" i="12" s="1"/>
  <c r="I44" i="12"/>
  <c r="I56" i="12" s="1"/>
  <c r="AG44" i="12"/>
  <c r="AG56" i="12" s="1"/>
  <c r="E37" i="12"/>
  <c r="E49" i="12" s="1"/>
  <c r="AC37" i="12"/>
  <c r="AC49" i="12" s="1"/>
  <c r="C39" i="12"/>
  <c r="C51" i="12" s="1"/>
  <c r="AA39" i="12"/>
  <c r="AA51" i="12" s="1"/>
  <c r="N40" i="12"/>
  <c r="N52" i="12" s="1"/>
  <c r="Y41" i="12"/>
  <c r="Y53" i="12" s="1"/>
  <c r="L42" i="12"/>
  <c r="L54" i="12" s="1"/>
  <c r="W43" i="12"/>
  <c r="W55" i="12" s="1"/>
  <c r="J44" i="12"/>
  <c r="J56" i="12" s="1"/>
  <c r="AH44" i="12"/>
  <c r="AH56" i="12" s="1"/>
  <c r="F37" i="12"/>
  <c r="F49" i="12" s="1"/>
  <c r="AD37" i="12"/>
  <c r="AD49" i="12" s="1"/>
  <c r="D39" i="12"/>
  <c r="D51" i="12" s="1"/>
  <c r="AB39" i="12"/>
  <c r="AB51" i="12" s="1"/>
  <c r="B41" i="12"/>
  <c r="B53" i="12" s="1"/>
  <c r="Z41" i="12"/>
  <c r="Z53" i="12" s="1"/>
  <c r="X43" i="12"/>
  <c r="X55" i="12" s="1"/>
  <c r="K44" i="12"/>
  <c r="K56" i="12" s="1"/>
  <c r="AI44" i="12"/>
  <c r="AI56" i="12" s="1"/>
  <c r="G37" i="12"/>
  <c r="G49" i="12" s="1"/>
  <c r="AE37" i="12"/>
  <c r="AE49" i="12" s="1"/>
  <c r="E39" i="12"/>
  <c r="E51" i="12" s="1"/>
  <c r="AC39" i="12"/>
  <c r="AC51" i="12" s="1"/>
  <c r="C41" i="12"/>
  <c r="C53" i="12" s="1"/>
  <c r="AA41" i="12"/>
  <c r="AA53" i="12" s="1"/>
  <c r="Y43" i="12"/>
  <c r="Y55" i="12" s="1"/>
  <c r="H37" i="12"/>
  <c r="H49" i="12" s="1"/>
  <c r="AF37" i="12"/>
  <c r="AF49" i="12" s="1"/>
  <c r="F39" i="12"/>
  <c r="F51" i="12" s="1"/>
  <c r="AD39" i="12"/>
  <c r="AD51" i="12" s="1"/>
  <c r="D41" i="12"/>
  <c r="D53" i="12" s="1"/>
  <c r="AB41" i="12"/>
  <c r="AB53" i="12" s="1"/>
  <c r="B43" i="12"/>
  <c r="B55" i="12" s="1"/>
  <c r="Z43" i="12"/>
  <c r="Z55" i="12" s="1"/>
  <c r="I37" i="12"/>
  <c r="I49" i="12" s="1"/>
  <c r="G39" i="12"/>
  <c r="G51" i="12" s="1"/>
  <c r="E41" i="12"/>
  <c r="E53" i="12" s="1"/>
  <c r="C43" i="12"/>
  <c r="C55" i="12" s="1"/>
  <c r="AM7" i="13"/>
  <c r="AM5" i="13"/>
  <c r="AM8" i="13"/>
  <c r="AM3" i="13"/>
  <c r="AM9" i="13"/>
  <c r="AM11" i="13"/>
  <c r="AM4" i="13"/>
  <c r="AM6" i="13"/>
  <c r="AK4" i="13"/>
  <c r="AK9" i="13"/>
  <c r="AM10" i="13"/>
  <c r="AK10" i="13"/>
  <c r="AP3" i="11"/>
  <c r="AP8" i="11"/>
  <c r="AP9" i="11"/>
  <c r="AK7" i="13"/>
  <c r="AK8" i="13"/>
  <c r="AK5" i="13"/>
  <c r="AK11" i="13"/>
  <c r="AP6" i="11"/>
  <c r="AP7" i="11"/>
  <c r="AN5" i="11"/>
  <c r="AN4" i="11"/>
  <c r="AP10" i="11"/>
  <c r="AP11" i="11"/>
  <c r="AK7" i="12"/>
  <c r="AK8" i="12"/>
  <c r="AK4" i="12"/>
  <c r="AK10" i="12"/>
  <c r="AN7" i="11"/>
  <c r="AN8" i="11"/>
  <c r="AN3" i="11"/>
  <c r="AN9" i="11"/>
  <c r="Y67" i="4"/>
  <c r="Y68" i="4"/>
  <c r="Y69" i="4"/>
  <c r="Y70" i="4"/>
  <c r="Y71" i="4"/>
  <c r="Y72" i="4"/>
  <c r="Y73" i="4"/>
  <c r="Y74" i="4"/>
  <c r="Y75" i="4"/>
  <c r="Y76" i="4"/>
  <c r="Y66" i="4"/>
  <c r="Y65" i="4"/>
  <c r="AB76" i="4"/>
  <c r="AA76" i="4"/>
  <c r="Z76" i="4"/>
  <c r="AB75" i="4"/>
  <c r="AA75" i="4"/>
  <c r="Z75" i="4"/>
  <c r="AB74" i="4"/>
  <c r="AA74" i="4"/>
  <c r="Z74" i="4"/>
  <c r="AB73" i="4"/>
  <c r="AA73" i="4"/>
  <c r="Z73" i="4"/>
  <c r="AB72" i="4"/>
  <c r="AA72" i="4"/>
  <c r="Z72" i="4"/>
  <c r="AB71" i="4"/>
  <c r="AA71" i="4"/>
  <c r="Z71" i="4"/>
  <c r="AB70" i="4"/>
  <c r="AA70" i="4"/>
  <c r="Z70" i="4"/>
  <c r="AB69" i="4"/>
  <c r="AA69" i="4"/>
  <c r="Z69" i="4"/>
  <c r="AB68" i="4"/>
  <c r="AA68" i="4"/>
  <c r="Z68" i="4"/>
  <c r="AB67" i="4"/>
  <c r="AA67" i="4"/>
  <c r="Z67" i="4"/>
  <c r="AB66" i="4"/>
  <c r="AA66" i="4"/>
  <c r="Z66" i="4"/>
  <c r="AB65" i="4"/>
  <c r="AA65" i="4"/>
  <c r="Z65" i="4"/>
  <c r="N65" i="7"/>
  <c r="O64" i="8"/>
  <c r="O63" i="8"/>
  <c r="O62" i="8"/>
  <c r="O61" i="8"/>
  <c r="O60" i="8"/>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P64" i="8"/>
  <c r="P63" i="8"/>
  <c r="P62" i="8"/>
  <c r="P61" i="8"/>
  <c r="P60" i="8"/>
  <c r="P59" i="8"/>
  <c r="P58" i="8"/>
  <c r="P57" i="8"/>
  <c r="P56" i="8"/>
  <c r="P55" i="8"/>
  <c r="P54" i="8"/>
  <c r="M54" i="8"/>
  <c r="P53" i="8"/>
  <c r="P52" i="8"/>
  <c r="P51" i="8"/>
  <c r="P50" i="8"/>
  <c r="P49" i="8"/>
  <c r="N49" i="8"/>
  <c r="P48" i="8"/>
  <c r="N48" i="8"/>
  <c r="P47" i="8"/>
  <c r="N47" i="8"/>
  <c r="M47" i="8"/>
  <c r="P46" i="8"/>
  <c r="N46" i="8"/>
  <c r="M46" i="8"/>
  <c r="P45" i="8"/>
  <c r="N45" i="8"/>
  <c r="M45" i="8"/>
  <c r="P44" i="8"/>
  <c r="N44" i="8"/>
  <c r="P43" i="8"/>
  <c r="N43" i="8"/>
  <c r="M43" i="8"/>
  <c r="P42" i="8"/>
  <c r="N42" i="8"/>
  <c r="P41" i="8"/>
  <c r="N41" i="8"/>
  <c r="P40" i="8"/>
  <c r="N40" i="8"/>
  <c r="P39" i="8"/>
  <c r="N39" i="8"/>
  <c r="P38" i="8"/>
  <c r="N38" i="8"/>
  <c r="P37" i="8"/>
  <c r="N37" i="8"/>
  <c r="M37" i="8"/>
  <c r="P36" i="8"/>
  <c r="N36" i="8"/>
  <c r="P35" i="8"/>
  <c r="N35" i="8"/>
  <c r="P34" i="8"/>
  <c r="N34" i="8"/>
  <c r="P33" i="8"/>
  <c r="N33" i="8"/>
  <c r="P32" i="8"/>
  <c r="N32" i="8"/>
  <c r="G65" i="8"/>
  <c r="G64" i="8"/>
  <c r="T64" i="7" s="1"/>
  <c r="G63" i="8"/>
  <c r="T63" i="7" s="1"/>
  <c r="G62" i="8"/>
  <c r="T62" i="7" s="1"/>
  <c r="G61" i="8"/>
  <c r="T61" i="7" s="1"/>
  <c r="G60" i="8"/>
  <c r="T60" i="7" s="1"/>
  <c r="G59" i="8"/>
  <c r="T59" i="7" s="1"/>
  <c r="G58" i="8"/>
  <c r="T58" i="7" s="1"/>
  <c r="G57" i="8"/>
  <c r="T57" i="7" s="1"/>
  <c r="G56" i="8"/>
  <c r="T56" i="7" s="1"/>
  <c r="G55" i="8"/>
  <c r="T55" i="7" s="1"/>
  <c r="G54" i="8"/>
  <c r="T54" i="7" s="1"/>
  <c r="G53" i="8"/>
  <c r="T53" i="7" s="1"/>
  <c r="G52" i="8"/>
  <c r="T52" i="7" s="1"/>
  <c r="G51" i="8"/>
  <c r="T51" i="7" s="1"/>
  <c r="G50" i="8"/>
  <c r="T50" i="7" s="1"/>
  <c r="G49" i="8"/>
  <c r="T49" i="7" s="1"/>
  <c r="G48" i="8"/>
  <c r="T48" i="7" s="1"/>
  <c r="G47" i="8"/>
  <c r="T47" i="7" s="1"/>
  <c r="G46" i="8"/>
  <c r="T46" i="7" s="1"/>
  <c r="G45" i="8"/>
  <c r="T45" i="7" s="1"/>
  <c r="G44" i="8"/>
  <c r="T44" i="7" s="1"/>
  <c r="G43" i="8"/>
  <c r="T43" i="7" s="1"/>
  <c r="G42" i="8"/>
  <c r="T42" i="7" s="1"/>
  <c r="G41" i="8"/>
  <c r="T41" i="7" s="1"/>
  <c r="G40" i="8"/>
  <c r="T40" i="7" s="1"/>
  <c r="G39" i="8"/>
  <c r="T39" i="7" s="1"/>
  <c r="G38" i="8"/>
  <c r="T38" i="7" s="1"/>
  <c r="G37" i="8"/>
  <c r="T37" i="7" s="1"/>
  <c r="G36" i="8"/>
  <c r="T36" i="7" s="1"/>
  <c r="G35" i="8"/>
  <c r="T35" i="7" s="1"/>
  <c r="G34" i="8"/>
  <c r="T34" i="7" s="1"/>
  <c r="G33" i="8"/>
  <c r="T33" i="7" s="1"/>
  <c r="G32" i="8"/>
  <c r="T32" i="7" s="1"/>
  <c r="G31" i="8"/>
  <c r="G30" i="8"/>
  <c r="G29" i="8"/>
  <c r="G28" i="8"/>
  <c r="G27" i="8"/>
  <c r="G26" i="8"/>
  <c r="G25" i="8"/>
  <c r="G24" i="8"/>
  <c r="G23" i="8"/>
  <c r="G22" i="8"/>
  <c r="G21" i="8"/>
  <c r="G20" i="8"/>
  <c r="G19" i="8"/>
  <c r="G18" i="8"/>
  <c r="G17" i="8"/>
  <c r="G16" i="8"/>
  <c r="G15" i="8"/>
  <c r="G14" i="8"/>
  <c r="G13" i="8"/>
  <c r="G12" i="8"/>
  <c r="G11" i="8"/>
  <c r="G10" i="8"/>
  <c r="G9" i="8"/>
  <c r="G8" i="8"/>
  <c r="G7" i="8"/>
  <c r="G6" i="8"/>
  <c r="G5" i="8"/>
  <c r="G4" i="8"/>
  <c r="G3" i="8"/>
  <c r="G2" i="8"/>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P64" i="7"/>
  <c r="P63" i="7"/>
  <c r="P62" i="7"/>
  <c r="P61" i="7"/>
  <c r="P60" i="7"/>
  <c r="P59" i="7"/>
  <c r="P58" i="7"/>
  <c r="P57" i="7"/>
  <c r="P56" i="7"/>
  <c r="P55" i="7"/>
  <c r="P54" i="7"/>
  <c r="P53" i="7"/>
  <c r="P52" i="7"/>
  <c r="P51" i="7"/>
  <c r="P50" i="7"/>
  <c r="P49" i="7"/>
  <c r="P48" i="7"/>
  <c r="P47" i="7"/>
  <c r="P46" i="7"/>
  <c r="P45" i="7"/>
  <c r="P44" i="7"/>
  <c r="P43" i="7"/>
  <c r="P42" i="7"/>
  <c r="P41" i="7"/>
  <c r="P40" i="7"/>
  <c r="P39" i="7"/>
  <c r="P38" i="7"/>
  <c r="P37" i="7"/>
  <c r="P36" i="7"/>
  <c r="P35" i="7"/>
  <c r="P34" i="7"/>
  <c r="P33" i="7"/>
  <c r="P32" i="7"/>
  <c r="O49" i="7"/>
  <c r="O48" i="7"/>
  <c r="O47" i="7"/>
  <c r="O46" i="7"/>
  <c r="O45" i="7"/>
  <c r="O44" i="7"/>
  <c r="O43" i="7"/>
  <c r="O42" i="7"/>
  <c r="O41" i="7"/>
  <c r="O40" i="7"/>
  <c r="O39" i="7"/>
  <c r="O38" i="7"/>
  <c r="O37" i="7"/>
  <c r="O36" i="7"/>
  <c r="O35" i="7"/>
  <c r="O34" i="7"/>
  <c r="O33" i="7"/>
  <c r="O32" i="7"/>
  <c r="H65" i="7"/>
  <c r="AK4" i="11" l="1"/>
  <c r="AK14" i="11" s="1"/>
  <c r="AK56" i="11"/>
  <c r="AK50" i="11"/>
  <c r="AK54" i="11"/>
  <c r="AK11" i="11"/>
  <c r="AK3" i="11"/>
  <c r="AK10" i="11"/>
  <c r="W57" i="11"/>
  <c r="AK6" i="11"/>
  <c r="AK68" i="11"/>
  <c r="AK9" i="11"/>
  <c r="AP36" i="11"/>
  <c r="AK5" i="11"/>
  <c r="AK66" i="11"/>
  <c r="AK51" i="11"/>
  <c r="AK65" i="11"/>
  <c r="AK8" i="11"/>
  <c r="AC57" i="27"/>
  <c r="AK49" i="11"/>
  <c r="AK48" i="11"/>
  <c r="R54" i="8"/>
  <c r="Q54" i="8"/>
  <c r="M55" i="8"/>
  <c r="M38" i="8"/>
  <c r="R46" i="8"/>
  <c r="Q46" i="8"/>
  <c r="M56" i="8"/>
  <c r="M57" i="8"/>
  <c r="M39" i="8"/>
  <c r="R47" i="8"/>
  <c r="Q47" i="8"/>
  <c r="M58" i="8"/>
  <c r="M32" i="8"/>
  <c r="M40" i="8"/>
  <c r="M48" i="8"/>
  <c r="M59" i="8"/>
  <c r="M60" i="8"/>
  <c r="R37" i="8"/>
  <c r="Q37" i="8"/>
  <c r="M33" i="8"/>
  <c r="M41" i="8"/>
  <c r="M49" i="8"/>
  <c r="M61" i="8"/>
  <c r="M34" i="8"/>
  <c r="M42" i="8"/>
  <c r="M50" i="8"/>
  <c r="M62" i="8"/>
  <c r="R45" i="8"/>
  <c r="Q45" i="8"/>
  <c r="M51" i="8"/>
  <c r="M63" i="8"/>
  <c r="M35" i="8"/>
  <c r="R43" i="8"/>
  <c r="Q43" i="8"/>
  <c r="M52" i="8"/>
  <c r="M64" i="8"/>
  <c r="M36" i="8"/>
  <c r="M44" i="8"/>
  <c r="M53" i="8"/>
  <c r="AD68" i="14"/>
  <c r="AD70" i="14" s="1"/>
  <c r="T73" i="14"/>
  <c r="AB69" i="14"/>
  <c r="AB72" i="14" s="1"/>
  <c r="Z71" i="14"/>
  <c r="AL52" i="12"/>
  <c r="AK55" i="11"/>
  <c r="AK52" i="11"/>
  <c r="AK53" i="11"/>
  <c r="AK55" i="12"/>
  <c r="W57" i="12"/>
  <c r="AK52" i="12"/>
  <c r="AK50" i="12"/>
  <c r="AK54" i="12"/>
  <c r="AK49" i="12"/>
  <c r="AK56" i="12"/>
  <c r="AK51" i="12"/>
  <c r="AK48" i="12"/>
  <c r="AK53" i="12"/>
  <c r="H64" i="7"/>
  <c r="N64" i="7" s="1"/>
  <c r="H63" i="7"/>
  <c r="N63" i="7" s="1"/>
  <c r="H62" i="7"/>
  <c r="N62" i="7" s="1"/>
  <c r="H61" i="7"/>
  <c r="N61" i="7" s="1"/>
  <c r="H60" i="7"/>
  <c r="N60" i="7" s="1"/>
  <c r="H59" i="7"/>
  <c r="N59" i="7" s="1"/>
  <c r="H58" i="7"/>
  <c r="N58" i="7" s="1"/>
  <c r="H57" i="7"/>
  <c r="N57" i="7" s="1"/>
  <c r="H56" i="7"/>
  <c r="N56" i="7" s="1"/>
  <c r="H55" i="7"/>
  <c r="N55" i="7" s="1"/>
  <c r="H54" i="7"/>
  <c r="N54" i="7" s="1"/>
  <c r="H53" i="7"/>
  <c r="N53" i="7" s="1"/>
  <c r="H52" i="7"/>
  <c r="N52" i="7" s="1"/>
  <c r="H51" i="7"/>
  <c r="N51" i="7" s="1"/>
  <c r="H50" i="7"/>
  <c r="N50" i="7" s="1"/>
  <c r="H49" i="7"/>
  <c r="N49" i="7" s="1"/>
  <c r="H48" i="7"/>
  <c r="N48" i="7" s="1"/>
  <c r="H47" i="7"/>
  <c r="N47" i="7" s="1"/>
  <c r="H46" i="7"/>
  <c r="N46" i="7" s="1"/>
  <c r="H45" i="7"/>
  <c r="N45" i="7" s="1"/>
  <c r="H44" i="7"/>
  <c r="N44" i="7" s="1"/>
  <c r="H43" i="7"/>
  <c r="N43" i="7" s="1"/>
  <c r="H42" i="7"/>
  <c r="N42" i="7" s="1"/>
  <c r="H41" i="7"/>
  <c r="N41" i="7" s="1"/>
  <c r="H40" i="7"/>
  <c r="N40" i="7" s="1"/>
  <c r="H39" i="7"/>
  <c r="N39" i="7" s="1"/>
  <c r="H38" i="7"/>
  <c r="N38" i="7" s="1"/>
  <c r="H37" i="7"/>
  <c r="N37" i="7" s="1"/>
  <c r="H36" i="7"/>
  <c r="N36" i="7" s="1"/>
  <c r="H35" i="7"/>
  <c r="N35" i="7" s="1"/>
  <c r="H34" i="7"/>
  <c r="N34" i="7" s="1"/>
  <c r="H33" i="7"/>
  <c r="N33" i="7" s="1"/>
  <c r="H32" i="7"/>
  <c r="N32" i="7" s="1"/>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 i="7"/>
  <c r="H2" i="7"/>
  <c r="AM88" i="6"/>
  <c r="AM87" i="6"/>
  <c r="AM86" i="6"/>
  <c r="AM85" i="6"/>
  <c r="AM84" i="6"/>
  <c r="AM83" i="6"/>
  <c r="AM82" i="6"/>
  <c r="AM81" i="6"/>
  <c r="AM80" i="6"/>
  <c r="AM79" i="6"/>
  <c r="AM78" i="6"/>
  <c r="AM77" i="6"/>
  <c r="AM76" i="6"/>
  <c r="AM75" i="6"/>
  <c r="AM74" i="6"/>
  <c r="AM73" i="6"/>
  <c r="AM72" i="6"/>
  <c r="AM71" i="6"/>
  <c r="AM70" i="6"/>
  <c r="AM69" i="6"/>
  <c r="AM68" i="6"/>
  <c r="AM67" i="6"/>
  <c r="AM66" i="6"/>
  <c r="AM65" i="6"/>
  <c r="AM64" i="6"/>
  <c r="AM63" i="6"/>
  <c r="AM62" i="6"/>
  <c r="AM61" i="6"/>
  <c r="AM60" i="6"/>
  <c r="AM59" i="6"/>
  <c r="AM58" i="6"/>
  <c r="AM57" i="6"/>
  <c r="AM56" i="6"/>
  <c r="AM55" i="6"/>
  <c r="AM54" i="6"/>
  <c r="AM53" i="6"/>
  <c r="AM52" i="6"/>
  <c r="AM51" i="6"/>
  <c r="AM50" i="6"/>
  <c r="AM49" i="6"/>
  <c r="AM48" i="6"/>
  <c r="AM47" i="6"/>
  <c r="AM46" i="6"/>
  <c r="AM45" i="6"/>
  <c r="AM44" i="6"/>
  <c r="AM43" i="6"/>
  <c r="AM42" i="6"/>
  <c r="AM41" i="6"/>
  <c r="AM40" i="6"/>
  <c r="AM39" i="6"/>
  <c r="AM38" i="6"/>
  <c r="AM37" i="6"/>
  <c r="AM36" i="6"/>
  <c r="AM35" i="6"/>
  <c r="AM34" i="6"/>
  <c r="AM33" i="6"/>
  <c r="AM32" i="6"/>
  <c r="AM31" i="6"/>
  <c r="AM30" i="6"/>
  <c r="AM29" i="6"/>
  <c r="AM28" i="6"/>
  <c r="AM27" i="6"/>
  <c r="AM26" i="6"/>
  <c r="AL88" i="6"/>
  <c r="AL87" i="6"/>
  <c r="AL86" i="6"/>
  <c r="AL85" i="6"/>
  <c r="AL84" i="6"/>
  <c r="AL83" i="6"/>
  <c r="AL82" i="6"/>
  <c r="AL81" i="6"/>
  <c r="AL80" i="6"/>
  <c r="AL79" i="6"/>
  <c r="AL78" i="6"/>
  <c r="AL77" i="6"/>
  <c r="AL76" i="6"/>
  <c r="AL75" i="6"/>
  <c r="AL74" i="6"/>
  <c r="AL73" i="6"/>
  <c r="AL72" i="6"/>
  <c r="AL71" i="6"/>
  <c r="AL70" i="6"/>
  <c r="AL69" i="6"/>
  <c r="AL68" i="6"/>
  <c r="AL67" i="6"/>
  <c r="AL66" i="6"/>
  <c r="AL65" i="6"/>
  <c r="AL64" i="6"/>
  <c r="AL63" i="6"/>
  <c r="AL62" i="6"/>
  <c r="AL61" i="6"/>
  <c r="AL60" i="6"/>
  <c r="AL59" i="6"/>
  <c r="AL58" i="6"/>
  <c r="AL57" i="6"/>
  <c r="AL56" i="6"/>
  <c r="AL55" i="6"/>
  <c r="AL54" i="6"/>
  <c r="AL53" i="6"/>
  <c r="AL52" i="6"/>
  <c r="AL51" i="6"/>
  <c r="AL50" i="6"/>
  <c r="AL49" i="6"/>
  <c r="AL48" i="6"/>
  <c r="AL47" i="6"/>
  <c r="AL46" i="6"/>
  <c r="AL45" i="6"/>
  <c r="AL44" i="6"/>
  <c r="AL43" i="6"/>
  <c r="AL42" i="6"/>
  <c r="AL41" i="6"/>
  <c r="AL40" i="6"/>
  <c r="AL39" i="6"/>
  <c r="AL38" i="6"/>
  <c r="AL37" i="6"/>
  <c r="AL36" i="6"/>
  <c r="AL35" i="6"/>
  <c r="AL34" i="6"/>
  <c r="AL33" i="6"/>
  <c r="AL32" i="6"/>
  <c r="AL31" i="6"/>
  <c r="AL30" i="6"/>
  <c r="AL29" i="6"/>
  <c r="AL28" i="6"/>
  <c r="AL27" i="6"/>
  <c r="AL26" i="6"/>
  <c r="AK88" i="6"/>
  <c r="AK87" i="6"/>
  <c r="AK86" i="6"/>
  <c r="AK85" i="6"/>
  <c r="AK84" i="6"/>
  <c r="AK83" i="6"/>
  <c r="AK82" i="6"/>
  <c r="AK81" i="6"/>
  <c r="AK80" i="6"/>
  <c r="AK79" i="6"/>
  <c r="AK78" i="6"/>
  <c r="AK77" i="6"/>
  <c r="AK76" i="6"/>
  <c r="AK75" i="6"/>
  <c r="AK74" i="6"/>
  <c r="AK73" i="6"/>
  <c r="AK72" i="6"/>
  <c r="AK71" i="6"/>
  <c r="AK70" i="6"/>
  <c r="AK69" i="6"/>
  <c r="AK68" i="6"/>
  <c r="AK67" i="6"/>
  <c r="AK66" i="6"/>
  <c r="AK65" i="6"/>
  <c r="AK64" i="6"/>
  <c r="AK63" i="6"/>
  <c r="AK62" i="6"/>
  <c r="AK61" i="6"/>
  <c r="AK60" i="6"/>
  <c r="AK59" i="6"/>
  <c r="AK58" i="6"/>
  <c r="AK57" i="6"/>
  <c r="AK56" i="6"/>
  <c r="AK55" i="6"/>
  <c r="AK54" i="6"/>
  <c r="AK53" i="6"/>
  <c r="AK52" i="6"/>
  <c r="AK51" i="6"/>
  <c r="AK50" i="6"/>
  <c r="AK49" i="6"/>
  <c r="AK48" i="6"/>
  <c r="AK47" i="6"/>
  <c r="AK46" i="6"/>
  <c r="AK45" i="6"/>
  <c r="AK44" i="6"/>
  <c r="AK43" i="6"/>
  <c r="AK42" i="6"/>
  <c r="AK41" i="6"/>
  <c r="AK40" i="6"/>
  <c r="AK39" i="6"/>
  <c r="AK38" i="6"/>
  <c r="AK37" i="6"/>
  <c r="AK36" i="6"/>
  <c r="AK35" i="6"/>
  <c r="AK34" i="6"/>
  <c r="AK33" i="6"/>
  <c r="AK32" i="6"/>
  <c r="AK31" i="6"/>
  <c r="AK30" i="6"/>
  <c r="AK29" i="6"/>
  <c r="AK28" i="6"/>
  <c r="AK27" i="6"/>
  <c r="AK26" i="6"/>
  <c r="AJ26" i="6"/>
  <c r="AJ88" i="6"/>
  <c r="AJ87" i="6"/>
  <c r="AJ86" i="6"/>
  <c r="AJ85" i="6"/>
  <c r="AJ84" i="6"/>
  <c r="AJ83" i="6"/>
  <c r="AJ82" i="6"/>
  <c r="AJ81" i="6"/>
  <c r="AJ80" i="6"/>
  <c r="AJ79" i="6"/>
  <c r="AJ78" i="6"/>
  <c r="AJ77" i="6"/>
  <c r="AJ76" i="6"/>
  <c r="AJ75" i="6"/>
  <c r="AJ74" i="6"/>
  <c r="AJ73" i="6"/>
  <c r="AJ72" i="6"/>
  <c r="AJ71" i="6"/>
  <c r="AJ70" i="6"/>
  <c r="AJ69" i="6"/>
  <c r="AJ68" i="6"/>
  <c r="AJ67" i="6"/>
  <c r="AJ66" i="6"/>
  <c r="AJ65" i="6"/>
  <c r="AJ64" i="6"/>
  <c r="AJ63" i="6"/>
  <c r="AJ62" i="6"/>
  <c r="AJ61" i="6"/>
  <c r="AJ60" i="6"/>
  <c r="AJ59" i="6"/>
  <c r="AJ58" i="6"/>
  <c r="AJ57" i="6"/>
  <c r="AJ56" i="6"/>
  <c r="AJ55" i="6"/>
  <c r="AJ54" i="6"/>
  <c r="AJ53" i="6"/>
  <c r="AJ52" i="6"/>
  <c r="AJ51" i="6"/>
  <c r="AJ50" i="6"/>
  <c r="AJ49" i="6"/>
  <c r="AJ48" i="6"/>
  <c r="AJ47" i="6"/>
  <c r="AJ46" i="6"/>
  <c r="AJ45" i="6"/>
  <c r="AJ44" i="6"/>
  <c r="AJ43" i="6"/>
  <c r="AJ42" i="6"/>
  <c r="AJ41" i="6"/>
  <c r="AJ40" i="6"/>
  <c r="AJ39" i="6"/>
  <c r="AJ38" i="6"/>
  <c r="AJ37" i="6"/>
  <c r="AJ36" i="6"/>
  <c r="AJ35" i="6"/>
  <c r="AJ34" i="6"/>
  <c r="AJ33" i="6"/>
  <c r="AJ32" i="6"/>
  <c r="AJ31" i="6"/>
  <c r="AJ30" i="6"/>
  <c r="AJ29" i="6"/>
  <c r="AJ28" i="6"/>
  <c r="AJ27" i="6"/>
  <c r="AI88" i="6"/>
  <c r="AI87" i="6"/>
  <c r="AI86" i="6"/>
  <c r="AI85" i="6"/>
  <c r="AI84" i="6"/>
  <c r="AI83" i="6"/>
  <c r="AI82" i="6"/>
  <c r="AI81" i="6"/>
  <c r="AI80" i="6"/>
  <c r="AI79" i="6"/>
  <c r="AI78" i="6"/>
  <c r="AI77" i="6"/>
  <c r="AI76" i="6"/>
  <c r="AI75" i="6"/>
  <c r="AI74" i="6"/>
  <c r="AI73" i="6"/>
  <c r="AI72" i="6"/>
  <c r="AI71" i="6"/>
  <c r="AI70" i="6"/>
  <c r="AI69" i="6"/>
  <c r="AI68" i="6"/>
  <c r="AI67" i="6"/>
  <c r="AI66" i="6"/>
  <c r="AI65" i="6"/>
  <c r="AI64" i="6"/>
  <c r="AI63" i="6"/>
  <c r="AI62" i="6"/>
  <c r="AI61" i="6"/>
  <c r="AI60" i="6"/>
  <c r="AI59" i="6"/>
  <c r="AI58" i="6"/>
  <c r="AI57" i="6"/>
  <c r="AI56" i="6"/>
  <c r="AI55" i="6"/>
  <c r="AI54" i="6"/>
  <c r="AI53" i="6"/>
  <c r="AI52" i="6"/>
  <c r="AI51" i="6"/>
  <c r="AI50" i="6"/>
  <c r="AI49" i="6"/>
  <c r="AI48" i="6"/>
  <c r="AI47" i="6"/>
  <c r="AI46" i="6"/>
  <c r="AI45" i="6"/>
  <c r="AI44" i="6"/>
  <c r="AI43" i="6"/>
  <c r="AI42" i="6"/>
  <c r="AI41" i="6"/>
  <c r="AI40" i="6"/>
  <c r="AI39" i="6"/>
  <c r="AI38" i="6"/>
  <c r="AI37" i="6"/>
  <c r="AI36" i="6"/>
  <c r="AI35" i="6"/>
  <c r="AI34" i="6"/>
  <c r="AI33" i="6"/>
  <c r="AI32" i="6"/>
  <c r="AI31" i="6"/>
  <c r="AI30" i="6"/>
  <c r="AI29" i="6"/>
  <c r="AI28" i="6"/>
  <c r="AI27" i="6"/>
  <c r="AI26" i="6"/>
  <c r="AH88" i="6"/>
  <c r="AH87" i="6"/>
  <c r="AH86" i="6"/>
  <c r="AH85" i="6"/>
  <c r="AH84" i="6"/>
  <c r="AH83" i="6"/>
  <c r="AH82" i="6"/>
  <c r="AH81" i="6"/>
  <c r="AH80" i="6"/>
  <c r="AH79" i="6"/>
  <c r="AH78" i="6"/>
  <c r="AH77" i="6"/>
  <c r="AH76" i="6"/>
  <c r="AH75" i="6"/>
  <c r="AH74" i="6"/>
  <c r="AH73" i="6"/>
  <c r="AH72" i="6"/>
  <c r="AH71" i="6"/>
  <c r="AH70" i="6"/>
  <c r="AH69" i="6"/>
  <c r="AH68" i="6"/>
  <c r="AH67" i="6"/>
  <c r="AH66" i="6"/>
  <c r="AH65" i="6"/>
  <c r="AH64" i="6"/>
  <c r="AH63" i="6"/>
  <c r="AH62" i="6"/>
  <c r="AH61" i="6"/>
  <c r="AH60" i="6"/>
  <c r="AH59" i="6"/>
  <c r="AH58" i="6"/>
  <c r="AH57" i="6"/>
  <c r="AH56" i="6"/>
  <c r="AH55" i="6"/>
  <c r="AH54" i="6"/>
  <c r="AH53" i="6"/>
  <c r="AH52" i="6"/>
  <c r="AH51" i="6"/>
  <c r="AH50" i="6"/>
  <c r="AH49" i="6"/>
  <c r="AH48" i="6"/>
  <c r="AH47" i="6"/>
  <c r="AH46" i="6"/>
  <c r="AH45" i="6"/>
  <c r="AH44" i="6"/>
  <c r="AH43" i="6"/>
  <c r="AH42" i="6"/>
  <c r="AH41" i="6"/>
  <c r="AH40" i="6"/>
  <c r="AH39" i="6"/>
  <c r="AH38" i="6"/>
  <c r="AH37" i="6"/>
  <c r="AH36" i="6"/>
  <c r="AH35" i="6"/>
  <c r="AH34" i="6"/>
  <c r="AH33" i="6"/>
  <c r="AH32" i="6"/>
  <c r="AH31" i="6"/>
  <c r="AH30" i="6"/>
  <c r="AH29" i="6"/>
  <c r="AH28" i="6"/>
  <c r="AH27" i="6"/>
  <c r="AH26" i="6"/>
  <c r="AG87" i="6"/>
  <c r="AG86" i="6"/>
  <c r="AG85" i="6"/>
  <c r="AG84" i="6"/>
  <c r="AG83" i="6"/>
  <c r="AG82" i="6"/>
  <c r="AG81" i="6"/>
  <c r="AG80" i="6"/>
  <c r="AG79" i="6"/>
  <c r="AG51" i="6"/>
  <c r="AG88" i="6"/>
  <c r="AG78" i="6"/>
  <c r="AG77" i="6"/>
  <c r="AG76" i="6"/>
  <c r="AG75" i="6"/>
  <c r="AG74" i="6"/>
  <c r="AG73" i="6"/>
  <c r="AG72" i="6"/>
  <c r="AG71" i="6"/>
  <c r="AG70" i="6"/>
  <c r="AG69" i="6"/>
  <c r="AG68" i="6"/>
  <c r="AG67" i="6"/>
  <c r="AG66" i="6"/>
  <c r="AG65" i="6"/>
  <c r="AG64" i="6"/>
  <c r="AG63" i="6"/>
  <c r="AG62" i="6"/>
  <c r="AG61" i="6"/>
  <c r="AG60" i="6"/>
  <c r="AG59" i="6"/>
  <c r="AG58" i="6"/>
  <c r="AG57" i="6"/>
  <c r="AG56" i="6"/>
  <c r="AG55" i="6"/>
  <c r="AG54" i="6"/>
  <c r="AG53" i="6"/>
  <c r="AG52" i="6"/>
  <c r="AG50" i="6"/>
  <c r="AG49" i="6"/>
  <c r="AG48" i="6"/>
  <c r="AG47" i="6"/>
  <c r="AG46" i="6"/>
  <c r="AG45" i="6"/>
  <c r="AG44" i="6"/>
  <c r="AG43" i="6"/>
  <c r="AG42" i="6"/>
  <c r="AG41" i="6"/>
  <c r="AG40" i="6"/>
  <c r="AG39" i="6"/>
  <c r="AG38" i="6"/>
  <c r="AG37" i="6"/>
  <c r="AG36" i="6"/>
  <c r="AG35" i="6"/>
  <c r="AG34" i="6"/>
  <c r="AG33" i="6"/>
  <c r="AG32" i="6"/>
  <c r="AG31" i="6"/>
  <c r="AG30" i="6"/>
  <c r="AG29" i="6"/>
  <c r="AG28" i="6"/>
  <c r="AG27" i="6"/>
  <c r="AG26" i="6"/>
  <c r="AF36" i="6"/>
  <c r="AF88" i="6"/>
  <c r="AF87" i="6"/>
  <c r="AF86" i="6"/>
  <c r="AF85" i="6"/>
  <c r="AF84" i="6"/>
  <c r="AF83" i="6"/>
  <c r="AF82" i="6"/>
  <c r="AF81" i="6"/>
  <c r="AF80" i="6"/>
  <c r="AF79" i="6"/>
  <c r="AF78" i="6"/>
  <c r="AF77" i="6"/>
  <c r="AF76" i="6"/>
  <c r="AF75" i="6"/>
  <c r="AF74" i="6"/>
  <c r="AF73" i="6"/>
  <c r="AF72" i="6"/>
  <c r="AF71" i="6"/>
  <c r="AF70" i="6"/>
  <c r="AF69" i="6"/>
  <c r="AF68" i="6"/>
  <c r="AF67" i="6"/>
  <c r="AF66" i="6"/>
  <c r="AF65" i="6"/>
  <c r="AF64" i="6"/>
  <c r="AF63" i="6"/>
  <c r="AF62" i="6"/>
  <c r="AF61" i="6"/>
  <c r="AF60" i="6"/>
  <c r="AF59" i="6"/>
  <c r="AF58" i="6"/>
  <c r="AF57" i="6"/>
  <c r="AF56" i="6"/>
  <c r="AF55" i="6"/>
  <c r="AF54" i="6"/>
  <c r="AF53" i="6"/>
  <c r="AF52" i="6"/>
  <c r="AF51" i="6"/>
  <c r="AF50" i="6"/>
  <c r="AF49" i="6"/>
  <c r="AF48" i="6"/>
  <c r="AF47" i="6"/>
  <c r="AF46" i="6"/>
  <c r="AF45" i="6"/>
  <c r="AF44" i="6"/>
  <c r="AF43" i="6"/>
  <c r="AF42" i="6"/>
  <c r="AF41" i="6"/>
  <c r="AF40" i="6"/>
  <c r="AF39" i="6"/>
  <c r="AF38" i="6"/>
  <c r="AF37" i="6"/>
  <c r="AF35" i="6"/>
  <c r="AF34" i="6"/>
  <c r="AF33" i="6"/>
  <c r="AF32" i="6"/>
  <c r="AF31" i="6"/>
  <c r="AF30" i="6"/>
  <c r="AF29" i="6"/>
  <c r="AF28" i="6"/>
  <c r="AF27" i="6"/>
  <c r="AF26" i="6"/>
  <c r="AE88" i="6"/>
  <c r="AE87" i="6"/>
  <c r="AE86" i="6"/>
  <c r="AE85" i="6"/>
  <c r="AE84" i="6"/>
  <c r="AE83" i="6"/>
  <c r="AE82" i="6"/>
  <c r="AE81" i="6"/>
  <c r="AE80" i="6"/>
  <c r="AE79" i="6"/>
  <c r="AE78" i="6"/>
  <c r="AE77" i="6"/>
  <c r="AE76" i="6"/>
  <c r="AE75" i="6"/>
  <c r="AE74" i="6"/>
  <c r="AE73" i="6"/>
  <c r="AE72" i="6"/>
  <c r="AE71" i="6"/>
  <c r="AE70" i="6"/>
  <c r="AE69" i="6"/>
  <c r="AE68" i="6"/>
  <c r="AE67" i="6"/>
  <c r="AE66" i="6"/>
  <c r="AE65" i="6"/>
  <c r="AE64" i="6"/>
  <c r="AE63" i="6"/>
  <c r="AE62" i="6"/>
  <c r="AE61" i="6"/>
  <c r="AE60" i="6"/>
  <c r="AE59" i="6"/>
  <c r="AE58" i="6"/>
  <c r="AE57" i="6"/>
  <c r="AE56" i="6"/>
  <c r="AE55" i="6"/>
  <c r="AD88" i="6"/>
  <c r="AD87" i="6"/>
  <c r="AD86" i="6"/>
  <c r="AD85" i="6"/>
  <c r="AD84" i="6"/>
  <c r="AD83" i="6"/>
  <c r="AD82" i="6"/>
  <c r="AD81" i="6"/>
  <c r="AD80" i="6"/>
  <c r="AD79" i="6"/>
  <c r="AD78" i="6"/>
  <c r="AD77" i="6"/>
  <c r="AD76" i="6"/>
  <c r="AD75" i="6"/>
  <c r="AD74" i="6"/>
  <c r="AD73" i="6"/>
  <c r="AD72" i="6"/>
  <c r="AD71" i="6"/>
  <c r="AD70" i="6"/>
  <c r="AD69" i="6"/>
  <c r="AD68" i="6"/>
  <c r="AD67" i="6"/>
  <c r="AD66" i="6"/>
  <c r="AD65" i="6"/>
  <c r="AD64" i="6"/>
  <c r="AD63" i="6"/>
  <c r="AD62" i="6"/>
  <c r="AD61" i="6"/>
  <c r="AD60" i="6"/>
  <c r="AD59" i="6"/>
  <c r="AD58" i="6"/>
  <c r="AD57" i="6"/>
  <c r="AD56" i="6"/>
  <c r="AD55" i="6"/>
  <c r="AC88" i="6"/>
  <c r="AC87" i="6"/>
  <c r="AC86" i="6"/>
  <c r="AC85" i="6"/>
  <c r="AC84" i="6"/>
  <c r="AC83" i="6"/>
  <c r="AC82" i="6"/>
  <c r="AC81" i="6"/>
  <c r="AC80" i="6"/>
  <c r="AC79" i="6"/>
  <c r="AC78" i="6"/>
  <c r="AC77" i="6"/>
  <c r="AC76" i="6"/>
  <c r="AC75" i="6"/>
  <c r="AC74" i="6"/>
  <c r="AC73" i="6"/>
  <c r="AC72" i="6"/>
  <c r="AC71" i="6"/>
  <c r="AC70" i="6"/>
  <c r="AC69" i="6"/>
  <c r="AC68" i="6"/>
  <c r="AC67" i="6"/>
  <c r="AC66" i="6"/>
  <c r="AC65" i="6"/>
  <c r="AC64" i="6"/>
  <c r="AC63" i="6"/>
  <c r="AC62" i="6"/>
  <c r="AC61" i="6"/>
  <c r="AC60" i="6"/>
  <c r="AC59" i="6"/>
  <c r="AC58" i="6"/>
  <c r="AC57" i="6"/>
  <c r="AC56" i="6"/>
  <c r="AC55" i="6"/>
  <c r="AC54" i="6"/>
  <c r="AC53" i="6"/>
  <c r="AC52" i="6"/>
  <c r="AC51" i="6"/>
  <c r="AC50" i="6"/>
  <c r="AC49" i="6"/>
  <c r="AC48" i="6"/>
  <c r="AC47" i="6"/>
  <c r="AC46" i="6"/>
  <c r="AC45" i="6"/>
  <c r="AC44" i="6"/>
  <c r="AC43" i="6"/>
  <c r="AC42" i="6"/>
  <c r="AC41" i="6"/>
  <c r="AC40" i="6"/>
  <c r="AC39" i="6"/>
  <c r="AC38" i="6"/>
  <c r="AC37" i="6"/>
  <c r="AC36" i="6"/>
  <c r="AC35" i="6"/>
  <c r="AC34" i="6"/>
  <c r="AC33" i="6"/>
  <c r="AC32" i="6"/>
  <c r="AC31" i="6"/>
  <c r="AC30" i="6"/>
  <c r="AC29" i="6"/>
  <c r="AC28" i="6"/>
  <c r="AC27" i="6"/>
  <c r="AC26" i="6"/>
  <c r="AB88" i="6"/>
  <c r="AB86" i="6"/>
  <c r="AB85" i="6"/>
  <c r="AB84" i="6"/>
  <c r="AB83" i="6"/>
  <c r="AB82" i="6"/>
  <c r="AB81" i="6"/>
  <c r="AB80" i="6"/>
  <c r="AB79" i="6"/>
  <c r="AB87" i="6"/>
  <c r="AB78" i="6"/>
  <c r="AB77" i="6"/>
  <c r="AB76" i="6"/>
  <c r="AB75" i="6"/>
  <c r="AB74" i="6"/>
  <c r="AB73" i="6"/>
  <c r="AB72" i="6"/>
  <c r="AB71" i="6"/>
  <c r="AB70" i="6"/>
  <c r="AB69" i="6"/>
  <c r="AB68" i="6"/>
  <c r="AB67" i="6"/>
  <c r="AB66" i="6"/>
  <c r="AB65" i="6"/>
  <c r="AB64" i="6"/>
  <c r="AB63" i="6"/>
  <c r="AB62" i="6"/>
  <c r="AB61" i="6"/>
  <c r="AB60" i="6"/>
  <c r="AB59" i="6"/>
  <c r="AB58" i="6"/>
  <c r="AB57" i="6"/>
  <c r="AB56" i="6"/>
  <c r="AB55" i="6"/>
  <c r="AB54" i="6"/>
  <c r="AB53" i="6"/>
  <c r="AB52" i="6"/>
  <c r="AB51" i="6"/>
  <c r="AB50" i="6"/>
  <c r="AB49" i="6"/>
  <c r="AB48" i="6"/>
  <c r="AB47" i="6"/>
  <c r="AB46" i="6"/>
  <c r="AB45" i="6"/>
  <c r="AB44" i="6"/>
  <c r="AB43" i="6"/>
  <c r="AB42" i="6"/>
  <c r="AB41" i="6"/>
  <c r="AB40" i="6"/>
  <c r="AB39" i="6"/>
  <c r="AB38" i="6"/>
  <c r="AB37" i="6"/>
  <c r="AB36" i="6"/>
  <c r="AB35" i="6"/>
  <c r="AB34" i="6"/>
  <c r="AB33" i="6"/>
  <c r="AB32" i="6"/>
  <c r="AB31" i="6"/>
  <c r="AB30" i="6"/>
  <c r="AB29" i="6"/>
  <c r="AB28" i="6"/>
  <c r="AB27" i="6"/>
  <c r="AB26"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30" i="6"/>
  <c r="AA29" i="6"/>
  <c r="AA28" i="6"/>
  <c r="AA27" i="6"/>
  <c r="AA26" i="6"/>
  <c r="Y88" i="6"/>
  <c r="Y86" i="6"/>
  <c r="Y85" i="6"/>
  <c r="Y84" i="6"/>
  <c r="Y83" i="6"/>
  <c r="Y82" i="6"/>
  <c r="Y81" i="6"/>
  <c r="Y80" i="6"/>
  <c r="Y79" i="6"/>
  <c r="Z88" i="6"/>
  <c r="X88" i="6"/>
  <c r="W88" i="6"/>
  <c r="Z87" i="6"/>
  <c r="Y87" i="6"/>
  <c r="X87" i="6"/>
  <c r="W87" i="6"/>
  <c r="Z86" i="6"/>
  <c r="X86" i="6"/>
  <c r="W86" i="6"/>
  <c r="Z85" i="6"/>
  <c r="X85" i="6"/>
  <c r="W85" i="6"/>
  <c r="Z84" i="6"/>
  <c r="X84" i="6"/>
  <c r="W84" i="6"/>
  <c r="Z83" i="6"/>
  <c r="X83" i="6"/>
  <c r="W83" i="6"/>
  <c r="Z82" i="6"/>
  <c r="X82" i="6"/>
  <c r="W82" i="6"/>
  <c r="Z81" i="6"/>
  <c r="X81" i="6"/>
  <c r="W81" i="6"/>
  <c r="Z80" i="6"/>
  <c r="X80" i="6"/>
  <c r="W80" i="6"/>
  <c r="Z79" i="6"/>
  <c r="X79" i="6"/>
  <c r="W79" i="6"/>
  <c r="Z78" i="6"/>
  <c r="Y78" i="6"/>
  <c r="X78" i="6"/>
  <c r="W78" i="6"/>
  <c r="Z77" i="6"/>
  <c r="Y77" i="6"/>
  <c r="X77" i="6"/>
  <c r="W77" i="6"/>
  <c r="Z76" i="6"/>
  <c r="Y76" i="6"/>
  <c r="X76" i="6"/>
  <c r="W76" i="6"/>
  <c r="Z75" i="6"/>
  <c r="Y75" i="6"/>
  <c r="X75" i="6"/>
  <c r="W75" i="6"/>
  <c r="Z74" i="6"/>
  <c r="Y74" i="6"/>
  <c r="X74" i="6"/>
  <c r="W74" i="6"/>
  <c r="Z73" i="6"/>
  <c r="Y73" i="6"/>
  <c r="X73" i="6"/>
  <c r="W73" i="6"/>
  <c r="Z72" i="6"/>
  <c r="Y72" i="6"/>
  <c r="X72" i="6"/>
  <c r="W72" i="6"/>
  <c r="Z71" i="6"/>
  <c r="Y71" i="6"/>
  <c r="X71" i="6"/>
  <c r="W71" i="6"/>
  <c r="Z70" i="6"/>
  <c r="Y70" i="6"/>
  <c r="X70" i="6"/>
  <c r="W70" i="6"/>
  <c r="Z69" i="6"/>
  <c r="Y69" i="6"/>
  <c r="X69" i="6"/>
  <c r="W69" i="6"/>
  <c r="Z68" i="6"/>
  <c r="Y68" i="6"/>
  <c r="X68" i="6"/>
  <c r="W68" i="6"/>
  <c r="Z67" i="6"/>
  <c r="Y67" i="6"/>
  <c r="X67" i="6"/>
  <c r="W67" i="6"/>
  <c r="Z66" i="6"/>
  <c r="Y66" i="6"/>
  <c r="X66" i="6"/>
  <c r="W66" i="6"/>
  <c r="Z65" i="6"/>
  <c r="Y65" i="6"/>
  <c r="X65" i="6"/>
  <c r="W65" i="6"/>
  <c r="Z64" i="6"/>
  <c r="Y64" i="6"/>
  <c r="X64" i="6"/>
  <c r="W64" i="6"/>
  <c r="Z63" i="6"/>
  <c r="Y63" i="6"/>
  <c r="X63" i="6"/>
  <c r="W63" i="6"/>
  <c r="Z62" i="6"/>
  <c r="Y62" i="6"/>
  <c r="X62" i="6"/>
  <c r="W62" i="6"/>
  <c r="Z61" i="6"/>
  <c r="Y61" i="6"/>
  <c r="X61" i="6"/>
  <c r="W61" i="6"/>
  <c r="Z60" i="6"/>
  <c r="Y60" i="6"/>
  <c r="X60" i="6"/>
  <c r="W60" i="6"/>
  <c r="Z59" i="6"/>
  <c r="Y59" i="6"/>
  <c r="X59" i="6"/>
  <c r="W59" i="6"/>
  <c r="Z58" i="6"/>
  <c r="Y58" i="6"/>
  <c r="X58" i="6"/>
  <c r="W58" i="6"/>
  <c r="Z57" i="6"/>
  <c r="Y57" i="6"/>
  <c r="X57" i="6"/>
  <c r="W57" i="6"/>
  <c r="Z56" i="6"/>
  <c r="Y56" i="6"/>
  <c r="X56" i="6"/>
  <c r="W56" i="6"/>
  <c r="Z55" i="6"/>
  <c r="Y55" i="6"/>
  <c r="X55" i="6"/>
  <c r="W55" i="6"/>
  <c r="Z54" i="6"/>
  <c r="Y54" i="6"/>
  <c r="X54" i="6"/>
  <c r="W54" i="6"/>
  <c r="Z53" i="6"/>
  <c r="Y53" i="6"/>
  <c r="X53" i="6"/>
  <c r="W53" i="6"/>
  <c r="Z52" i="6"/>
  <c r="Y52" i="6"/>
  <c r="X52" i="6"/>
  <c r="W52" i="6"/>
  <c r="Z51" i="6"/>
  <c r="Y51" i="6"/>
  <c r="X51" i="6"/>
  <c r="W51" i="6"/>
  <c r="Z50" i="6"/>
  <c r="Y50" i="6"/>
  <c r="X50" i="6"/>
  <c r="W50" i="6"/>
  <c r="Z49" i="6"/>
  <c r="Y49" i="6"/>
  <c r="X49" i="6"/>
  <c r="W49" i="6"/>
  <c r="Z48" i="6"/>
  <c r="Y48" i="6"/>
  <c r="X48" i="6"/>
  <c r="W48" i="6"/>
  <c r="Z47" i="6"/>
  <c r="Y47" i="6"/>
  <c r="X47" i="6"/>
  <c r="W47" i="6"/>
  <c r="Z46" i="6"/>
  <c r="Y46" i="6"/>
  <c r="X46" i="6"/>
  <c r="W46" i="6"/>
  <c r="Z45" i="6"/>
  <c r="Y45" i="6"/>
  <c r="X45" i="6"/>
  <c r="W45" i="6"/>
  <c r="Z44" i="6"/>
  <c r="Y44" i="6"/>
  <c r="X44" i="6"/>
  <c r="W44" i="6"/>
  <c r="Z43" i="6"/>
  <c r="Y43" i="6"/>
  <c r="X43" i="6"/>
  <c r="W43" i="6"/>
  <c r="Z42" i="6"/>
  <c r="Y42" i="6"/>
  <c r="X42" i="6"/>
  <c r="W42" i="6"/>
  <c r="Z41" i="6"/>
  <c r="Y41" i="6"/>
  <c r="X41" i="6"/>
  <c r="W41" i="6"/>
  <c r="Z40" i="6"/>
  <c r="Y40" i="6"/>
  <c r="X40" i="6"/>
  <c r="W40" i="6"/>
  <c r="Z39" i="6"/>
  <c r="Y39" i="6"/>
  <c r="X39" i="6"/>
  <c r="W39" i="6"/>
  <c r="Z38" i="6"/>
  <c r="Y38" i="6"/>
  <c r="X38" i="6"/>
  <c r="W38" i="6"/>
  <c r="Z37" i="6"/>
  <c r="Y37" i="6"/>
  <c r="X37" i="6"/>
  <c r="W37" i="6"/>
  <c r="Z36" i="6"/>
  <c r="Y36" i="6"/>
  <c r="X36" i="6"/>
  <c r="W36" i="6"/>
  <c r="Z35" i="6"/>
  <c r="Y35" i="6"/>
  <c r="X35" i="6"/>
  <c r="W35" i="6"/>
  <c r="Z34" i="6"/>
  <c r="Y34" i="6"/>
  <c r="X34" i="6"/>
  <c r="W34" i="6"/>
  <c r="Z33" i="6"/>
  <c r="Y33" i="6"/>
  <c r="X33" i="6"/>
  <c r="W33" i="6"/>
  <c r="Z32" i="6"/>
  <c r="Y32" i="6"/>
  <c r="X32" i="6"/>
  <c r="W32" i="6"/>
  <c r="Z31" i="6"/>
  <c r="Y31" i="6"/>
  <c r="X31" i="6"/>
  <c r="W31" i="6"/>
  <c r="Z30" i="6"/>
  <c r="Y30" i="6"/>
  <c r="X30" i="6"/>
  <c r="W30" i="6"/>
  <c r="Z29" i="6"/>
  <c r="Y29" i="6"/>
  <c r="X29" i="6"/>
  <c r="W29" i="6"/>
  <c r="Z28" i="6"/>
  <c r="Y28" i="6"/>
  <c r="X28" i="6"/>
  <c r="W28" i="6"/>
  <c r="Z27" i="6"/>
  <c r="Y27" i="6"/>
  <c r="X27" i="6"/>
  <c r="W27" i="6"/>
  <c r="Z26" i="6"/>
  <c r="X26" i="6"/>
  <c r="Y26" i="6"/>
  <c r="W26" i="6"/>
  <c r="T65" i="5"/>
  <c r="S65" i="5"/>
  <c r="T64" i="5"/>
  <c r="S64" i="5"/>
  <c r="T63" i="5"/>
  <c r="S63" i="5"/>
  <c r="T62" i="5"/>
  <c r="S62" i="5"/>
  <c r="T61" i="5"/>
  <c r="S61" i="5"/>
  <c r="T60" i="5"/>
  <c r="S60" i="5"/>
  <c r="T59" i="5"/>
  <c r="S59" i="5"/>
  <c r="T58" i="5"/>
  <c r="S58" i="5"/>
  <c r="T57" i="5"/>
  <c r="S57" i="5"/>
  <c r="T56" i="5"/>
  <c r="S56" i="5"/>
  <c r="T55" i="5"/>
  <c r="S55" i="5"/>
  <c r="T54" i="5"/>
  <c r="S54" i="5"/>
  <c r="T53" i="5"/>
  <c r="S53" i="5"/>
  <c r="T52" i="5"/>
  <c r="S52" i="5"/>
  <c r="T51" i="5"/>
  <c r="S51" i="5"/>
  <c r="T50" i="5"/>
  <c r="S50" i="5"/>
  <c r="T49" i="5"/>
  <c r="S49" i="5"/>
  <c r="T48" i="5"/>
  <c r="S48" i="5"/>
  <c r="T47" i="5"/>
  <c r="S47" i="5"/>
  <c r="T46" i="5"/>
  <c r="S46" i="5"/>
  <c r="T45" i="5"/>
  <c r="S45" i="5"/>
  <c r="T44" i="5"/>
  <c r="S44" i="5"/>
  <c r="T43" i="5"/>
  <c r="S43" i="5"/>
  <c r="T42" i="5"/>
  <c r="S42" i="5"/>
  <c r="T41" i="5"/>
  <c r="S41" i="5"/>
  <c r="T40" i="5"/>
  <c r="S40" i="5"/>
  <c r="T39" i="5"/>
  <c r="S39" i="5"/>
  <c r="T38" i="5"/>
  <c r="S38" i="5"/>
  <c r="T37" i="5"/>
  <c r="S37" i="5"/>
  <c r="T36" i="5"/>
  <c r="S36" i="5"/>
  <c r="T35" i="5"/>
  <c r="S35" i="5"/>
  <c r="T34" i="5"/>
  <c r="S34" i="5"/>
  <c r="T33" i="5"/>
  <c r="S33" i="5"/>
  <c r="T32" i="5"/>
  <c r="S32" i="5"/>
  <c r="T31" i="5"/>
  <c r="S31" i="5"/>
  <c r="T30" i="5"/>
  <c r="S30" i="5"/>
  <c r="T29" i="5"/>
  <c r="S29" i="5"/>
  <c r="T28" i="5"/>
  <c r="S28" i="5"/>
  <c r="T27" i="5"/>
  <c r="S27" i="5"/>
  <c r="T26" i="5"/>
  <c r="S26" i="5"/>
  <c r="T25" i="5"/>
  <c r="S25" i="5"/>
  <c r="T24" i="5"/>
  <c r="S24" i="5"/>
  <c r="T23" i="5"/>
  <c r="S23" i="5"/>
  <c r="T22" i="5"/>
  <c r="S22" i="5"/>
  <c r="T21" i="5"/>
  <c r="S21" i="5"/>
  <c r="T20" i="5"/>
  <c r="S20" i="5"/>
  <c r="T19" i="5"/>
  <c r="S19" i="5"/>
  <c r="T18" i="5"/>
  <c r="S18" i="5"/>
  <c r="T17" i="5"/>
  <c r="S17" i="5"/>
  <c r="T16" i="5"/>
  <c r="S16" i="5"/>
  <c r="T15" i="5"/>
  <c r="S15" i="5"/>
  <c r="T14" i="5"/>
  <c r="S14" i="5"/>
  <c r="T13" i="5"/>
  <c r="S13" i="5"/>
  <c r="T12" i="5"/>
  <c r="S12" i="5"/>
  <c r="T11" i="5"/>
  <c r="S11" i="5"/>
  <c r="T10" i="5"/>
  <c r="S10" i="5"/>
  <c r="T9" i="5"/>
  <c r="S9" i="5"/>
  <c r="T8" i="5"/>
  <c r="S8" i="5"/>
  <c r="T7" i="5"/>
  <c r="S7" i="5"/>
  <c r="T6" i="5"/>
  <c r="S6" i="5"/>
  <c r="T5" i="5"/>
  <c r="S5" i="5"/>
  <c r="T4" i="5"/>
  <c r="S4" i="5"/>
  <c r="S3" i="5"/>
  <c r="T3" i="5"/>
  <c r="R65" i="5"/>
  <c r="R64" i="5"/>
  <c r="R63" i="5"/>
  <c r="R62" i="5"/>
  <c r="R61" i="5"/>
  <c r="R60" i="5"/>
  <c r="R59" i="5"/>
  <c r="R58" i="5"/>
  <c r="R57" i="5"/>
  <c r="R56" i="5"/>
  <c r="R55" i="5"/>
  <c r="R54" i="5"/>
  <c r="R53" i="5"/>
  <c r="R52" i="5"/>
  <c r="R51" i="5"/>
  <c r="R50" i="5"/>
  <c r="R49" i="5"/>
  <c r="R48" i="5"/>
  <c r="R47" i="5"/>
  <c r="R46" i="5"/>
  <c r="R45" i="5"/>
  <c r="R44" i="5"/>
  <c r="R43" i="5"/>
  <c r="R42" i="5"/>
  <c r="R41" i="5"/>
  <c r="R40" i="5"/>
  <c r="R39" i="5"/>
  <c r="R38" i="5"/>
  <c r="R37" i="5"/>
  <c r="R36" i="5"/>
  <c r="R35" i="5"/>
  <c r="R34" i="5"/>
  <c r="R33" i="5"/>
  <c r="R32" i="5"/>
  <c r="R31" i="5"/>
  <c r="R30" i="5"/>
  <c r="R29" i="5"/>
  <c r="R28" i="5"/>
  <c r="R27" i="5"/>
  <c r="R26" i="5"/>
  <c r="R25" i="5"/>
  <c r="R24" i="5"/>
  <c r="R23" i="5"/>
  <c r="R22" i="5"/>
  <c r="R21" i="5"/>
  <c r="R20" i="5"/>
  <c r="R19" i="5"/>
  <c r="R18" i="5"/>
  <c r="R17" i="5"/>
  <c r="R16" i="5"/>
  <c r="R15" i="5"/>
  <c r="R14" i="5"/>
  <c r="R13" i="5"/>
  <c r="R12" i="5"/>
  <c r="R11" i="5"/>
  <c r="R10" i="5"/>
  <c r="R9" i="5"/>
  <c r="R8" i="5"/>
  <c r="R7" i="5"/>
  <c r="R6" i="5"/>
  <c r="R5" i="5"/>
  <c r="R4" i="5"/>
  <c r="R3" i="5"/>
  <c r="Q65" i="5"/>
  <c r="Q64" i="5"/>
  <c r="Q63" i="5"/>
  <c r="Q62" i="5"/>
  <c r="Q61" i="5"/>
  <c r="Q60" i="5"/>
  <c r="Q59" i="5"/>
  <c r="Q58" i="5"/>
  <c r="Q57" i="5"/>
  <c r="Q56" i="5"/>
  <c r="Q55" i="5"/>
  <c r="Q54" i="5"/>
  <c r="Q5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Q17" i="5"/>
  <c r="Q16" i="5"/>
  <c r="Q15" i="5"/>
  <c r="Q14" i="5"/>
  <c r="Q13" i="5"/>
  <c r="Q12" i="5"/>
  <c r="Q11" i="5"/>
  <c r="Q10" i="5"/>
  <c r="Q9" i="5"/>
  <c r="Q8" i="5"/>
  <c r="Q7" i="5"/>
  <c r="Q6" i="5"/>
  <c r="Q5" i="5"/>
  <c r="Q4" i="5"/>
  <c r="Q3"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P10" i="5"/>
  <c r="P9" i="5"/>
  <c r="P8" i="5"/>
  <c r="P7" i="5"/>
  <c r="P6" i="5"/>
  <c r="P5" i="5"/>
  <c r="P4" i="5"/>
  <c r="P3" i="5"/>
  <c r="O65" i="5"/>
  <c r="O64" i="5"/>
  <c r="O63" i="5"/>
  <c r="O62" i="5"/>
  <c r="O61" i="5"/>
  <c r="O60" i="5"/>
  <c r="O59" i="5"/>
  <c r="O58" i="5"/>
  <c r="O57" i="5"/>
  <c r="O56" i="5"/>
  <c r="O55" i="5"/>
  <c r="O54" i="5"/>
  <c r="O53" i="5"/>
  <c r="O52" i="5"/>
  <c r="O51" i="5"/>
  <c r="O50" i="5"/>
  <c r="O49" i="5"/>
  <c r="O48" i="5"/>
  <c r="O47" i="5"/>
  <c r="O46" i="5"/>
  <c r="O45" i="5"/>
  <c r="O44" i="5"/>
  <c r="O43" i="5"/>
  <c r="O42" i="5"/>
  <c r="O41" i="5"/>
  <c r="O40" i="5"/>
  <c r="O39" i="5"/>
  <c r="O38" i="5"/>
  <c r="O37" i="5"/>
  <c r="O36" i="5"/>
  <c r="O35" i="5"/>
  <c r="O34" i="5"/>
  <c r="O33" i="5"/>
  <c r="O32" i="5"/>
  <c r="O31" i="5"/>
  <c r="O30" i="5"/>
  <c r="O29" i="5"/>
  <c r="O28" i="5"/>
  <c r="O27" i="5"/>
  <c r="O26" i="5"/>
  <c r="O25" i="5"/>
  <c r="O24" i="5"/>
  <c r="O23" i="5"/>
  <c r="O22" i="5"/>
  <c r="O21" i="5"/>
  <c r="O20" i="5"/>
  <c r="O19" i="5"/>
  <c r="O18" i="5"/>
  <c r="O17" i="5"/>
  <c r="O16" i="5"/>
  <c r="O15" i="5"/>
  <c r="O14" i="5"/>
  <c r="O13" i="5"/>
  <c r="O12" i="5"/>
  <c r="O11" i="5"/>
  <c r="O10" i="5"/>
  <c r="O9" i="5"/>
  <c r="O8" i="5"/>
  <c r="O7" i="5"/>
  <c r="O6" i="5"/>
  <c r="O5" i="5"/>
  <c r="O4" i="5"/>
  <c r="O3" i="5"/>
  <c r="N65" i="5"/>
  <c r="N64" i="5"/>
  <c r="N63" i="5"/>
  <c r="N62" i="5"/>
  <c r="N61" i="5"/>
  <c r="N60" i="5"/>
  <c r="N59" i="5"/>
  <c r="N58" i="5"/>
  <c r="N57" i="5"/>
  <c r="N56" i="5"/>
  <c r="N55" i="5"/>
  <c r="N54" i="5"/>
  <c r="N53" i="5"/>
  <c r="N52" i="5"/>
  <c r="N51" i="5"/>
  <c r="N50" i="5"/>
  <c r="N49" i="5"/>
  <c r="N48" i="5"/>
  <c r="N47" i="5"/>
  <c r="N46" i="5"/>
  <c r="N45" i="5"/>
  <c r="N44" i="5"/>
  <c r="N43" i="5"/>
  <c r="N42" i="5"/>
  <c r="N41" i="5"/>
  <c r="N40" i="5"/>
  <c r="N39" i="5"/>
  <c r="N38" i="5"/>
  <c r="N37" i="5"/>
  <c r="N36" i="5"/>
  <c r="N35" i="5"/>
  <c r="N34" i="5"/>
  <c r="N33" i="5"/>
  <c r="N32" i="5"/>
  <c r="N31" i="5"/>
  <c r="N30" i="5"/>
  <c r="N29" i="5"/>
  <c r="N28" i="5"/>
  <c r="N27" i="5"/>
  <c r="N26" i="5"/>
  <c r="N25" i="5"/>
  <c r="N24" i="5"/>
  <c r="N23" i="5"/>
  <c r="N22" i="5"/>
  <c r="N21" i="5"/>
  <c r="N20" i="5"/>
  <c r="N19" i="5"/>
  <c r="N18" i="5"/>
  <c r="N17" i="5"/>
  <c r="N16" i="5"/>
  <c r="N15" i="5"/>
  <c r="N14" i="5"/>
  <c r="N13" i="5"/>
  <c r="N12" i="5"/>
  <c r="N11" i="5"/>
  <c r="N10" i="5"/>
  <c r="N9" i="5"/>
  <c r="N8" i="5"/>
  <c r="N7" i="5"/>
  <c r="N6" i="5"/>
  <c r="N5" i="5"/>
  <c r="N4" i="5"/>
  <c r="N3" i="5"/>
  <c r="E900" i="2"/>
  <c r="E899" i="2"/>
  <c r="E898" i="2"/>
  <c r="E897" i="2"/>
  <c r="E896" i="2"/>
  <c r="E895" i="2"/>
  <c r="E894" i="2"/>
  <c r="E893" i="2"/>
  <c r="E892" i="2"/>
  <c r="E891" i="2"/>
  <c r="E890" i="2"/>
  <c r="E889" i="2"/>
  <c r="E888" i="2"/>
  <c r="E887" i="2"/>
  <c r="E886" i="2"/>
  <c r="E885" i="2"/>
  <c r="E884" i="2"/>
  <c r="E883" i="2"/>
  <c r="E882" i="2"/>
  <c r="E881" i="2"/>
  <c r="E880" i="2"/>
  <c r="E879" i="2"/>
  <c r="E878" i="2"/>
  <c r="E877" i="2"/>
  <c r="E876" i="2"/>
  <c r="E875" i="2"/>
  <c r="E874" i="2"/>
  <c r="E873" i="2"/>
  <c r="E872" i="2"/>
  <c r="E871" i="2"/>
  <c r="E870" i="2"/>
  <c r="E869" i="2"/>
  <c r="E868" i="2"/>
  <c r="E867" i="2"/>
  <c r="E866" i="2"/>
  <c r="E865" i="2"/>
  <c r="E864" i="2"/>
  <c r="E863" i="2"/>
  <c r="E862" i="2"/>
  <c r="E861" i="2"/>
  <c r="E860" i="2"/>
  <c r="E859" i="2"/>
  <c r="E858" i="2"/>
  <c r="E857" i="2"/>
  <c r="E856" i="2"/>
  <c r="E855" i="2"/>
  <c r="E854" i="2"/>
  <c r="E853" i="2"/>
  <c r="E852" i="2"/>
  <c r="E851" i="2"/>
  <c r="E850" i="2"/>
  <c r="E849" i="2"/>
  <c r="E848" i="2"/>
  <c r="E847" i="2"/>
  <c r="E846" i="2"/>
  <c r="E845" i="2"/>
  <c r="E844" i="2"/>
  <c r="E843" i="2"/>
  <c r="E842" i="2"/>
  <c r="E841" i="2"/>
  <c r="E840" i="2"/>
  <c r="E839" i="2"/>
  <c r="E838" i="2"/>
  <c r="E837" i="2"/>
  <c r="E836" i="2"/>
  <c r="E835" i="2"/>
  <c r="E834" i="2"/>
  <c r="E833" i="2"/>
  <c r="E832" i="2"/>
  <c r="E831" i="2"/>
  <c r="E830" i="2"/>
  <c r="E829" i="2"/>
  <c r="E828" i="2"/>
  <c r="E827" i="2"/>
  <c r="E826" i="2"/>
  <c r="E825" i="2"/>
  <c r="E824" i="2"/>
  <c r="E823" i="2"/>
  <c r="E822" i="2"/>
  <c r="E821" i="2"/>
  <c r="E820" i="2"/>
  <c r="E819" i="2"/>
  <c r="E818" i="2"/>
  <c r="E817" i="2"/>
  <c r="E816" i="2"/>
  <c r="E815" i="2"/>
  <c r="E814" i="2"/>
  <c r="E813" i="2"/>
  <c r="E812" i="2"/>
  <c r="E811" i="2"/>
  <c r="E810" i="2"/>
  <c r="E809" i="2"/>
  <c r="E808" i="2"/>
  <c r="E807" i="2"/>
  <c r="E806" i="2"/>
  <c r="E805" i="2"/>
  <c r="E804" i="2"/>
  <c r="E803" i="2"/>
  <c r="E802" i="2"/>
  <c r="E801" i="2"/>
  <c r="E800" i="2"/>
  <c r="E799" i="2"/>
  <c r="E798" i="2"/>
  <c r="E797" i="2"/>
  <c r="E796" i="2"/>
  <c r="E795" i="2"/>
  <c r="E794" i="2"/>
  <c r="E793" i="2"/>
  <c r="E792" i="2"/>
  <c r="E791" i="2"/>
  <c r="E790" i="2"/>
  <c r="E789" i="2"/>
  <c r="E788" i="2"/>
  <c r="E787" i="2"/>
  <c r="E786" i="2"/>
  <c r="E785" i="2"/>
  <c r="E784" i="2"/>
  <c r="E783" i="2"/>
  <c r="E782" i="2"/>
  <c r="E781" i="2"/>
  <c r="E780" i="2"/>
  <c r="E779" i="2"/>
  <c r="E778" i="2"/>
  <c r="E777" i="2"/>
  <c r="E776" i="2"/>
  <c r="E775" i="2"/>
  <c r="E774" i="2"/>
  <c r="E773" i="2"/>
  <c r="E772" i="2"/>
  <c r="E771" i="2"/>
  <c r="E770" i="2"/>
  <c r="E769" i="2"/>
  <c r="E768" i="2"/>
  <c r="E767" i="2"/>
  <c r="E766" i="2"/>
  <c r="E765" i="2"/>
  <c r="E764" i="2"/>
  <c r="E763" i="2"/>
  <c r="E762" i="2"/>
  <c r="E761" i="2"/>
  <c r="E760" i="2"/>
  <c r="E759" i="2"/>
  <c r="E758" i="2"/>
  <c r="E757" i="2"/>
  <c r="E756" i="2"/>
  <c r="E755" i="2"/>
  <c r="E754" i="2"/>
  <c r="E753" i="2"/>
  <c r="E752" i="2"/>
  <c r="E751" i="2"/>
  <c r="E750" i="2"/>
  <c r="E749" i="2"/>
  <c r="E748" i="2"/>
  <c r="E747" i="2"/>
  <c r="E746" i="2"/>
  <c r="E745" i="2"/>
  <c r="E744" i="2"/>
  <c r="E743" i="2"/>
  <c r="E742" i="2"/>
  <c r="E741" i="2"/>
  <c r="E740" i="2"/>
  <c r="E739" i="2"/>
  <c r="E738" i="2"/>
  <c r="E737" i="2"/>
  <c r="E736" i="2"/>
  <c r="E735" i="2"/>
  <c r="E734" i="2"/>
  <c r="E733" i="2"/>
  <c r="E732" i="2"/>
  <c r="E731" i="2"/>
  <c r="E730" i="2"/>
  <c r="E729" i="2"/>
  <c r="E728" i="2"/>
  <c r="E727" i="2"/>
  <c r="E726" i="2"/>
  <c r="E725" i="2"/>
  <c r="E724" i="2"/>
  <c r="E723" i="2"/>
  <c r="E722" i="2"/>
  <c r="E721" i="2"/>
  <c r="E720" i="2"/>
  <c r="E719" i="2"/>
  <c r="E718" i="2"/>
  <c r="E717" i="2"/>
  <c r="E716" i="2"/>
  <c r="E715" i="2"/>
  <c r="E714" i="2"/>
  <c r="E713" i="2"/>
  <c r="E712" i="2"/>
  <c r="E711" i="2"/>
  <c r="E710" i="2"/>
  <c r="E709" i="2"/>
  <c r="E708" i="2"/>
  <c r="E707" i="2"/>
  <c r="E706" i="2"/>
  <c r="E705" i="2"/>
  <c r="E704" i="2"/>
  <c r="E703" i="2"/>
  <c r="E702" i="2"/>
  <c r="E701" i="2"/>
  <c r="E700" i="2"/>
  <c r="E699" i="2"/>
  <c r="E698" i="2"/>
  <c r="E697" i="2"/>
  <c r="E696" i="2"/>
  <c r="E695" i="2"/>
  <c r="E694" i="2"/>
  <c r="E693" i="2"/>
  <c r="E692" i="2"/>
  <c r="E691" i="2"/>
  <c r="E690" i="2"/>
  <c r="E689" i="2"/>
  <c r="E688" i="2"/>
  <c r="E687" i="2"/>
  <c r="E686" i="2"/>
  <c r="E685" i="2"/>
  <c r="E684" i="2"/>
  <c r="E683" i="2"/>
  <c r="E682" i="2"/>
  <c r="E681" i="2"/>
  <c r="E680" i="2"/>
  <c r="E679" i="2"/>
  <c r="E678" i="2"/>
  <c r="E677" i="2"/>
  <c r="E676" i="2"/>
  <c r="E675" i="2"/>
  <c r="E674" i="2"/>
  <c r="E673" i="2"/>
  <c r="E672" i="2"/>
  <c r="E671" i="2"/>
  <c r="E670" i="2"/>
  <c r="E669" i="2"/>
  <c r="E668" i="2"/>
  <c r="E667" i="2"/>
  <c r="E666" i="2"/>
  <c r="E665" i="2"/>
  <c r="E664" i="2"/>
  <c r="E663" i="2"/>
  <c r="E662" i="2"/>
  <c r="E661" i="2"/>
  <c r="E660" i="2"/>
  <c r="E659" i="2"/>
  <c r="E658" i="2"/>
  <c r="E657" i="2"/>
  <c r="E656" i="2"/>
  <c r="E655" i="2"/>
  <c r="E654" i="2"/>
  <c r="E653" i="2"/>
  <c r="E652" i="2"/>
  <c r="E651" i="2"/>
  <c r="E650" i="2"/>
  <c r="E649" i="2"/>
  <c r="E648" i="2"/>
  <c r="E647" i="2"/>
  <c r="E646" i="2"/>
  <c r="E645" i="2"/>
  <c r="E644" i="2"/>
  <c r="E643" i="2"/>
  <c r="E642" i="2"/>
  <c r="E641" i="2"/>
  <c r="E640" i="2"/>
  <c r="E639" i="2"/>
  <c r="E638" i="2"/>
  <c r="E637" i="2"/>
  <c r="E636" i="2"/>
  <c r="E635" i="2"/>
  <c r="E634" i="2"/>
  <c r="E633" i="2"/>
  <c r="E632" i="2"/>
  <c r="E631" i="2"/>
  <c r="E630" i="2"/>
  <c r="E629" i="2"/>
  <c r="E628" i="2"/>
  <c r="E627" i="2"/>
  <c r="E626" i="2"/>
  <c r="E625" i="2"/>
  <c r="E624" i="2"/>
  <c r="E623" i="2"/>
  <c r="E622" i="2"/>
  <c r="E621" i="2"/>
  <c r="E620" i="2"/>
  <c r="E619" i="2"/>
  <c r="E618" i="2"/>
  <c r="E617" i="2"/>
  <c r="E616" i="2"/>
  <c r="E615" i="2"/>
  <c r="E614" i="2"/>
  <c r="E613" i="2"/>
  <c r="E612" i="2"/>
  <c r="E611" i="2"/>
  <c r="E610" i="2"/>
  <c r="E609" i="2"/>
  <c r="E608" i="2"/>
  <c r="E607" i="2"/>
  <c r="E606" i="2"/>
  <c r="E605" i="2"/>
  <c r="E604" i="2"/>
  <c r="E603" i="2"/>
  <c r="E602" i="2"/>
  <c r="E601" i="2"/>
  <c r="E600" i="2"/>
  <c r="E599" i="2"/>
  <c r="E598" i="2"/>
  <c r="E597" i="2"/>
  <c r="E596" i="2"/>
  <c r="E595" i="2"/>
  <c r="E594" i="2"/>
  <c r="E593" i="2"/>
  <c r="E592" i="2"/>
  <c r="E591" i="2"/>
  <c r="E590" i="2"/>
  <c r="E589" i="2"/>
  <c r="E588" i="2"/>
  <c r="E587" i="2"/>
  <c r="E586" i="2"/>
  <c r="E585" i="2"/>
  <c r="E584" i="2"/>
  <c r="E583" i="2"/>
  <c r="E582" i="2"/>
  <c r="E581" i="2"/>
  <c r="E580" i="2"/>
  <c r="E579" i="2"/>
  <c r="E578" i="2"/>
  <c r="E577" i="2"/>
  <c r="E576" i="2"/>
  <c r="E575" i="2"/>
  <c r="E574" i="2"/>
  <c r="E573" i="2"/>
  <c r="E572" i="2"/>
  <c r="E571" i="2"/>
  <c r="E570" i="2"/>
  <c r="E569" i="2"/>
  <c r="E568" i="2"/>
  <c r="E567" i="2"/>
  <c r="E566" i="2"/>
  <c r="E565" i="2"/>
  <c r="E564" i="2"/>
  <c r="E563" i="2"/>
  <c r="E562" i="2"/>
  <c r="E561" i="2"/>
  <c r="E560" i="2"/>
  <c r="E559" i="2"/>
  <c r="E558" i="2"/>
  <c r="E557" i="2"/>
  <c r="E556" i="2"/>
  <c r="E555" i="2"/>
  <c r="E554" i="2"/>
  <c r="E553" i="2"/>
  <c r="E552" i="2"/>
  <c r="E551" i="2"/>
  <c r="E550" i="2"/>
  <c r="E549" i="2"/>
  <c r="E548" i="2"/>
  <c r="E547" i="2"/>
  <c r="E546" i="2"/>
  <c r="E545" i="2"/>
  <c r="E544" i="2"/>
  <c r="E543" i="2"/>
  <c r="E542" i="2"/>
  <c r="E541" i="2"/>
  <c r="E540" i="2"/>
  <c r="E539" i="2"/>
  <c r="E538" i="2"/>
  <c r="E537" i="2"/>
  <c r="E536" i="2"/>
  <c r="E535" i="2"/>
  <c r="E534" i="2"/>
  <c r="E533" i="2"/>
  <c r="E532" i="2"/>
  <c r="E531" i="2"/>
  <c r="E530" i="2"/>
  <c r="E529" i="2"/>
  <c r="E528" i="2"/>
  <c r="E527" i="2"/>
  <c r="E526" i="2"/>
  <c r="E525" i="2"/>
  <c r="E524" i="2"/>
  <c r="E523" i="2"/>
  <c r="E522" i="2"/>
  <c r="E521" i="2"/>
  <c r="E520" i="2"/>
  <c r="E519" i="2"/>
  <c r="E518" i="2"/>
  <c r="E517" i="2"/>
  <c r="E516" i="2"/>
  <c r="E515" i="2"/>
  <c r="E514" i="2"/>
  <c r="E513" i="2"/>
  <c r="E512" i="2"/>
  <c r="E511" i="2"/>
  <c r="E510" i="2"/>
  <c r="E509" i="2"/>
  <c r="E508" i="2"/>
  <c r="E507" i="2"/>
  <c r="E506" i="2"/>
  <c r="E505" i="2"/>
  <c r="E504" i="2"/>
  <c r="E503" i="2"/>
  <c r="E502" i="2"/>
  <c r="E501" i="2"/>
  <c r="E500" i="2"/>
  <c r="E499" i="2"/>
  <c r="E498" i="2"/>
  <c r="E497" i="2"/>
  <c r="E496" i="2"/>
  <c r="E495" i="2"/>
  <c r="E494" i="2"/>
  <c r="E493" i="2"/>
  <c r="E492" i="2"/>
  <c r="E491" i="2"/>
  <c r="E490" i="2"/>
  <c r="E489" i="2"/>
  <c r="E488" i="2"/>
  <c r="E487" i="2"/>
  <c r="E486" i="2"/>
  <c r="E485" i="2"/>
  <c r="E484" i="2"/>
  <c r="E483" i="2"/>
  <c r="E482" i="2"/>
  <c r="E481" i="2"/>
  <c r="E480" i="2"/>
  <c r="E479" i="2"/>
  <c r="E478" i="2"/>
  <c r="E477" i="2"/>
  <c r="E476" i="2"/>
  <c r="E475" i="2"/>
  <c r="E474" i="2"/>
  <c r="E473" i="2"/>
  <c r="E472" i="2"/>
  <c r="E471" i="2"/>
  <c r="E470" i="2"/>
  <c r="E469" i="2"/>
  <c r="E468" i="2"/>
  <c r="E467" i="2"/>
  <c r="E466" i="2"/>
  <c r="E465" i="2"/>
  <c r="E464" i="2"/>
  <c r="E463" i="2"/>
  <c r="E462" i="2"/>
  <c r="E461" i="2"/>
  <c r="E460" i="2"/>
  <c r="E459" i="2"/>
  <c r="E458" i="2"/>
  <c r="E457" i="2"/>
  <c r="E456" i="2"/>
  <c r="E455" i="2"/>
  <c r="E454" i="2"/>
  <c r="E453" i="2"/>
  <c r="E452" i="2"/>
  <c r="E451" i="2"/>
  <c r="E450" i="2"/>
  <c r="E449" i="2"/>
  <c r="E448" i="2"/>
  <c r="E447" i="2"/>
  <c r="E446" i="2"/>
  <c r="E445" i="2"/>
  <c r="E444" i="2"/>
  <c r="E443" i="2"/>
  <c r="E442" i="2"/>
  <c r="E441" i="2"/>
  <c r="E440" i="2"/>
  <c r="E439" i="2"/>
  <c r="E438" i="2"/>
  <c r="E437" i="2"/>
  <c r="E436" i="2"/>
  <c r="E435" i="2"/>
  <c r="E434" i="2"/>
  <c r="E433" i="2"/>
  <c r="E432" i="2"/>
  <c r="E431" i="2"/>
  <c r="E430" i="2"/>
  <c r="E429" i="2"/>
  <c r="E428" i="2"/>
  <c r="E427" i="2"/>
  <c r="E426" i="2"/>
  <c r="E425" i="2"/>
  <c r="E424" i="2"/>
  <c r="E423" i="2"/>
  <c r="E422" i="2"/>
  <c r="E421" i="2"/>
  <c r="E420" i="2"/>
  <c r="E419" i="2"/>
  <c r="E418" i="2"/>
  <c r="E417" i="2"/>
  <c r="E416" i="2"/>
  <c r="E415" i="2"/>
  <c r="E414" i="2"/>
  <c r="E413" i="2"/>
  <c r="E412" i="2"/>
  <c r="E411" i="2"/>
  <c r="E410" i="2"/>
  <c r="E409" i="2"/>
  <c r="E408" i="2"/>
  <c r="E407" i="2"/>
  <c r="E406" i="2"/>
  <c r="E405" i="2"/>
  <c r="E404" i="2"/>
  <c r="E403" i="2"/>
  <c r="E402" i="2"/>
  <c r="E401" i="2"/>
  <c r="E400" i="2"/>
  <c r="E399" i="2"/>
  <c r="E398" i="2"/>
  <c r="E397" i="2"/>
  <c r="E396" i="2"/>
  <c r="E395" i="2"/>
  <c r="E394" i="2"/>
  <c r="E393" i="2"/>
  <c r="E392" i="2"/>
  <c r="E391" i="2"/>
  <c r="E390" i="2"/>
  <c r="E389" i="2"/>
  <c r="E388" i="2"/>
  <c r="E387" i="2"/>
  <c r="E386" i="2"/>
  <c r="E385" i="2"/>
  <c r="E384" i="2"/>
  <c r="E383" i="2"/>
  <c r="E382" i="2"/>
  <c r="E381" i="2"/>
  <c r="E380" i="2"/>
  <c r="E379" i="2"/>
  <c r="E378" i="2"/>
  <c r="E377" i="2"/>
  <c r="E376" i="2"/>
  <c r="E375" i="2"/>
  <c r="E374" i="2"/>
  <c r="E37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E252" i="2"/>
  <c r="E251" i="2"/>
  <c r="E250" i="2"/>
  <c r="E249" i="2"/>
  <c r="E248" i="2"/>
  <c r="E247" i="2"/>
  <c r="E246" i="2"/>
  <c r="E245" i="2"/>
  <c r="E244" i="2"/>
  <c r="E243" i="2"/>
  <c r="E242" i="2"/>
  <c r="E241" i="2"/>
  <c r="E240" i="2"/>
  <c r="E239" i="2"/>
  <c r="E238" i="2"/>
  <c r="E237" i="2"/>
  <c r="E236" i="2"/>
  <c r="E235" i="2"/>
  <c r="E234" i="2"/>
  <c r="E233" i="2"/>
  <c r="E232" i="2"/>
  <c r="E231" i="2"/>
  <c r="E230" i="2"/>
  <c r="E229" i="2"/>
  <c r="E228" i="2"/>
  <c r="E227" i="2"/>
  <c r="E226" i="2"/>
  <c r="E225" i="2"/>
  <c r="E224"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G900" i="2"/>
  <c r="F900" i="2"/>
  <c r="G899" i="2"/>
  <c r="F899" i="2"/>
  <c r="G898" i="2"/>
  <c r="F898" i="2"/>
  <c r="G897" i="2"/>
  <c r="F897" i="2"/>
  <c r="G896" i="2"/>
  <c r="F896" i="2"/>
  <c r="G895" i="2"/>
  <c r="F895" i="2"/>
  <c r="G894" i="2"/>
  <c r="F894" i="2"/>
  <c r="G893" i="2"/>
  <c r="F893" i="2"/>
  <c r="G892" i="2"/>
  <c r="F892" i="2"/>
  <c r="G891" i="2"/>
  <c r="F891" i="2"/>
  <c r="G890" i="2"/>
  <c r="F890" i="2"/>
  <c r="G889" i="2"/>
  <c r="F889" i="2"/>
  <c r="G888" i="2"/>
  <c r="F888" i="2"/>
  <c r="G887" i="2"/>
  <c r="F887" i="2"/>
  <c r="G886" i="2"/>
  <c r="F886" i="2"/>
  <c r="G885" i="2"/>
  <c r="F885" i="2"/>
  <c r="G884" i="2"/>
  <c r="F884" i="2"/>
  <c r="G883" i="2"/>
  <c r="F883" i="2"/>
  <c r="G882" i="2"/>
  <c r="F882" i="2"/>
  <c r="G881" i="2"/>
  <c r="F881" i="2"/>
  <c r="G880" i="2"/>
  <c r="F880" i="2"/>
  <c r="G879" i="2"/>
  <c r="F879" i="2"/>
  <c r="G878" i="2"/>
  <c r="F878" i="2"/>
  <c r="G877" i="2"/>
  <c r="F877" i="2"/>
  <c r="G876" i="2"/>
  <c r="F876" i="2"/>
  <c r="G875" i="2"/>
  <c r="F875" i="2"/>
  <c r="G874" i="2"/>
  <c r="F874" i="2"/>
  <c r="G873" i="2"/>
  <c r="F873" i="2"/>
  <c r="G872" i="2"/>
  <c r="F872" i="2"/>
  <c r="G871" i="2"/>
  <c r="F871" i="2"/>
  <c r="G870" i="2"/>
  <c r="F870" i="2"/>
  <c r="G869" i="2"/>
  <c r="F869" i="2"/>
  <c r="G868" i="2"/>
  <c r="F868" i="2"/>
  <c r="G867" i="2"/>
  <c r="F867" i="2"/>
  <c r="G866" i="2"/>
  <c r="F866" i="2"/>
  <c r="G865" i="2"/>
  <c r="F865" i="2"/>
  <c r="G864" i="2"/>
  <c r="F864" i="2"/>
  <c r="G863" i="2"/>
  <c r="F863" i="2"/>
  <c r="G862" i="2"/>
  <c r="F862" i="2"/>
  <c r="G861" i="2"/>
  <c r="F861" i="2"/>
  <c r="G860" i="2"/>
  <c r="F860" i="2"/>
  <c r="G859" i="2"/>
  <c r="F859" i="2"/>
  <c r="G858" i="2"/>
  <c r="F858" i="2"/>
  <c r="G857" i="2"/>
  <c r="F857" i="2"/>
  <c r="G856" i="2"/>
  <c r="F856" i="2"/>
  <c r="G855" i="2"/>
  <c r="F855" i="2"/>
  <c r="G854" i="2"/>
  <c r="F854" i="2"/>
  <c r="G853" i="2"/>
  <c r="F853" i="2"/>
  <c r="G852" i="2"/>
  <c r="F852" i="2"/>
  <c r="G851" i="2"/>
  <c r="F851" i="2"/>
  <c r="G850" i="2"/>
  <c r="F850" i="2"/>
  <c r="G849" i="2"/>
  <c r="F849" i="2"/>
  <c r="G848" i="2"/>
  <c r="F848" i="2"/>
  <c r="G847" i="2"/>
  <c r="F847" i="2"/>
  <c r="G846" i="2"/>
  <c r="F846" i="2"/>
  <c r="G845" i="2"/>
  <c r="F845" i="2"/>
  <c r="G844" i="2"/>
  <c r="F844" i="2"/>
  <c r="G843" i="2"/>
  <c r="F843" i="2"/>
  <c r="G842" i="2"/>
  <c r="F842" i="2"/>
  <c r="G841" i="2"/>
  <c r="F841" i="2"/>
  <c r="G840" i="2"/>
  <c r="F840" i="2"/>
  <c r="G839" i="2"/>
  <c r="F839" i="2"/>
  <c r="G838" i="2"/>
  <c r="F838" i="2"/>
  <c r="G837" i="2"/>
  <c r="F837" i="2"/>
  <c r="G836" i="2"/>
  <c r="F836" i="2"/>
  <c r="G835" i="2"/>
  <c r="F835" i="2"/>
  <c r="G834" i="2"/>
  <c r="F834" i="2"/>
  <c r="G833" i="2"/>
  <c r="F833" i="2"/>
  <c r="G832" i="2"/>
  <c r="F832" i="2"/>
  <c r="G831" i="2"/>
  <c r="F831" i="2"/>
  <c r="G830" i="2"/>
  <c r="F830" i="2"/>
  <c r="G829" i="2"/>
  <c r="F829" i="2"/>
  <c r="G828" i="2"/>
  <c r="F828" i="2"/>
  <c r="G827" i="2"/>
  <c r="F827" i="2"/>
  <c r="G826" i="2"/>
  <c r="F826" i="2"/>
  <c r="G825" i="2"/>
  <c r="F825" i="2"/>
  <c r="G824" i="2"/>
  <c r="F824" i="2"/>
  <c r="G823" i="2"/>
  <c r="F823" i="2"/>
  <c r="G822" i="2"/>
  <c r="F822" i="2"/>
  <c r="G821" i="2"/>
  <c r="F821" i="2"/>
  <c r="G820" i="2"/>
  <c r="F820" i="2"/>
  <c r="G819" i="2"/>
  <c r="F819" i="2"/>
  <c r="G818" i="2"/>
  <c r="F818" i="2"/>
  <c r="G817" i="2"/>
  <c r="F817" i="2"/>
  <c r="G816" i="2"/>
  <c r="F816" i="2"/>
  <c r="G815" i="2"/>
  <c r="F815" i="2"/>
  <c r="G814" i="2"/>
  <c r="F814" i="2"/>
  <c r="G813" i="2"/>
  <c r="F813" i="2"/>
  <c r="G812" i="2"/>
  <c r="F812" i="2"/>
  <c r="G811" i="2"/>
  <c r="F811" i="2"/>
  <c r="G810" i="2"/>
  <c r="F810" i="2"/>
  <c r="G809" i="2"/>
  <c r="F809" i="2"/>
  <c r="G808" i="2"/>
  <c r="F808" i="2"/>
  <c r="G807" i="2"/>
  <c r="F807" i="2"/>
  <c r="G806" i="2"/>
  <c r="F806" i="2"/>
  <c r="G805" i="2"/>
  <c r="F805" i="2"/>
  <c r="G804" i="2"/>
  <c r="F804" i="2"/>
  <c r="G803" i="2"/>
  <c r="F803" i="2"/>
  <c r="G802" i="2"/>
  <c r="F802" i="2"/>
  <c r="G801" i="2"/>
  <c r="F801" i="2"/>
  <c r="G800" i="2"/>
  <c r="F800" i="2"/>
  <c r="G799" i="2"/>
  <c r="F799" i="2"/>
  <c r="G798" i="2"/>
  <c r="F798" i="2"/>
  <c r="G797" i="2"/>
  <c r="F797" i="2"/>
  <c r="G796" i="2"/>
  <c r="F796" i="2"/>
  <c r="G795" i="2"/>
  <c r="F795" i="2"/>
  <c r="G794" i="2"/>
  <c r="F794" i="2"/>
  <c r="G793" i="2"/>
  <c r="F793" i="2"/>
  <c r="G792" i="2"/>
  <c r="F792" i="2"/>
  <c r="G791" i="2"/>
  <c r="F791" i="2"/>
  <c r="G790" i="2"/>
  <c r="F790" i="2"/>
  <c r="G789" i="2"/>
  <c r="F789" i="2"/>
  <c r="G788" i="2"/>
  <c r="F788" i="2"/>
  <c r="G787" i="2"/>
  <c r="F787" i="2"/>
  <c r="G786" i="2"/>
  <c r="F786" i="2"/>
  <c r="G785" i="2"/>
  <c r="F785" i="2"/>
  <c r="G784" i="2"/>
  <c r="F784" i="2"/>
  <c r="G783" i="2"/>
  <c r="F783" i="2"/>
  <c r="G782" i="2"/>
  <c r="F782" i="2"/>
  <c r="G781" i="2"/>
  <c r="F781" i="2"/>
  <c r="G780" i="2"/>
  <c r="F780" i="2"/>
  <c r="G779" i="2"/>
  <c r="F779" i="2"/>
  <c r="G778" i="2"/>
  <c r="F778" i="2"/>
  <c r="G777" i="2"/>
  <c r="F777" i="2"/>
  <c r="G776" i="2"/>
  <c r="F776" i="2"/>
  <c r="G775" i="2"/>
  <c r="F775" i="2"/>
  <c r="G774" i="2"/>
  <c r="F774" i="2"/>
  <c r="G773" i="2"/>
  <c r="F773" i="2"/>
  <c r="G772" i="2"/>
  <c r="F772" i="2"/>
  <c r="G771" i="2"/>
  <c r="F771" i="2"/>
  <c r="G770" i="2"/>
  <c r="F770" i="2"/>
  <c r="G769" i="2"/>
  <c r="F769" i="2"/>
  <c r="G768" i="2"/>
  <c r="F768" i="2"/>
  <c r="G767" i="2"/>
  <c r="F767" i="2"/>
  <c r="G766" i="2"/>
  <c r="F766" i="2"/>
  <c r="G765" i="2"/>
  <c r="F765" i="2"/>
  <c r="G764" i="2"/>
  <c r="F764" i="2"/>
  <c r="G763" i="2"/>
  <c r="F763" i="2"/>
  <c r="G762" i="2"/>
  <c r="F762" i="2"/>
  <c r="G761" i="2"/>
  <c r="F761" i="2"/>
  <c r="G760" i="2"/>
  <c r="F760" i="2"/>
  <c r="G759" i="2"/>
  <c r="F759" i="2"/>
  <c r="G758" i="2"/>
  <c r="F758" i="2"/>
  <c r="G757" i="2"/>
  <c r="F757" i="2"/>
  <c r="G756" i="2"/>
  <c r="F756" i="2"/>
  <c r="G755" i="2"/>
  <c r="F755" i="2"/>
  <c r="G754" i="2"/>
  <c r="F754" i="2"/>
  <c r="G753" i="2"/>
  <c r="F753" i="2"/>
  <c r="G752" i="2"/>
  <c r="F752" i="2"/>
  <c r="G751" i="2"/>
  <c r="F751" i="2"/>
  <c r="G750" i="2"/>
  <c r="F750" i="2"/>
  <c r="G749" i="2"/>
  <c r="F749" i="2"/>
  <c r="G748" i="2"/>
  <c r="F748" i="2"/>
  <c r="G747" i="2"/>
  <c r="F747" i="2"/>
  <c r="G746" i="2"/>
  <c r="F746" i="2"/>
  <c r="G745" i="2"/>
  <c r="F745" i="2"/>
  <c r="G744" i="2"/>
  <c r="F744" i="2"/>
  <c r="G743" i="2"/>
  <c r="F743" i="2"/>
  <c r="G742" i="2"/>
  <c r="F742" i="2"/>
  <c r="G741" i="2"/>
  <c r="F741" i="2"/>
  <c r="G740" i="2"/>
  <c r="F740" i="2"/>
  <c r="G739" i="2"/>
  <c r="F739" i="2"/>
  <c r="G738" i="2"/>
  <c r="F738" i="2"/>
  <c r="G737" i="2"/>
  <c r="F737" i="2"/>
  <c r="G736" i="2"/>
  <c r="F736" i="2"/>
  <c r="G735" i="2"/>
  <c r="F735" i="2"/>
  <c r="G734" i="2"/>
  <c r="F734" i="2"/>
  <c r="G733" i="2"/>
  <c r="F733" i="2"/>
  <c r="G732" i="2"/>
  <c r="F732" i="2"/>
  <c r="G731" i="2"/>
  <c r="F731" i="2"/>
  <c r="G730" i="2"/>
  <c r="F730" i="2"/>
  <c r="G729" i="2"/>
  <c r="F729" i="2"/>
  <c r="G728" i="2"/>
  <c r="F728" i="2"/>
  <c r="G727" i="2"/>
  <c r="F727" i="2"/>
  <c r="G726" i="2"/>
  <c r="F726" i="2"/>
  <c r="G725" i="2"/>
  <c r="F725" i="2"/>
  <c r="G724" i="2"/>
  <c r="F724" i="2"/>
  <c r="G723" i="2"/>
  <c r="F723" i="2"/>
  <c r="G722" i="2"/>
  <c r="F722" i="2"/>
  <c r="G721" i="2"/>
  <c r="F721" i="2"/>
  <c r="G720" i="2"/>
  <c r="F720" i="2"/>
  <c r="G719" i="2"/>
  <c r="F719" i="2"/>
  <c r="G718" i="2"/>
  <c r="F718" i="2"/>
  <c r="G717" i="2"/>
  <c r="F717" i="2"/>
  <c r="G716" i="2"/>
  <c r="F716" i="2"/>
  <c r="G715" i="2"/>
  <c r="F715" i="2"/>
  <c r="G714" i="2"/>
  <c r="F714" i="2"/>
  <c r="G713" i="2"/>
  <c r="F713" i="2"/>
  <c r="G712" i="2"/>
  <c r="F712" i="2"/>
  <c r="G711" i="2"/>
  <c r="F711" i="2"/>
  <c r="G710" i="2"/>
  <c r="F710" i="2"/>
  <c r="G709" i="2"/>
  <c r="F709" i="2"/>
  <c r="G708" i="2"/>
  <c r="F708" i="2"/>
  <c r="G707" i="2"/>
  <c r="F707" i="2"/>
  <c r="G706" i="2"/>
  <c r="F706" i="2"/>
  <c r="G705" i="2"/>
  <c r="F705" i="2"/>
  <c r="G704" i="2"/>
  <c r="F704" i="2"/>
  <c r="G703" i="2"/>
  <c r="F703" i="2"/>
  <c r="G702" i="2"/>
  <c r="F702" i="2"/>
  <c r="G701" i="2"/>
  <c r="F701" i="2"/>
  <c r="G700" i="2"/>
  <c r="F700" i="2"/>
  <c r="G699" i="2"/>
  <c r="F699" i="2"/>
  <c r="G698" i="2"/>
  <c r="F698" i="2"/>
  <c r="G697" i="2"/>
  <c r="F697" i="2"/>
  <c r="G696" i="2"/>
  <c r="F696" i="2"/>
  <c r="G695" i="2"/>
  <c r="F695" i="2"/>
  <c r="G694" i="2"/>
  <c r="F694" i="2"/>
  <c r="G693" i="2"/>
  <c r="F693" i="2"/>
  <c r="G692" i="2"/>
  <c r="F692" i="2"/>
  <c r="G691" i="2"/>
  <c r="F691" i="2"/>
  <c r="G690" i="2"/>
  <c r="F690" i="2"/>
  <c r="G689" i="2"/>
  <c r="F689" i="2"/>
  <c r="G688" i="2"/>
  <c r="F688" i="2"/>
  <c r="G687" i="2"/>
  <c r="F687" i="2"/>
  <c r="G686" i="2"/>
  <c r="F686" i="2"/>
  <c r="G685" i="2"/>
  <c r="F685" i="2"/>
  <c r="G684" i="2"/>
  <c r="F684" i="2"/>
  <c r="G683" i="2"/>
  <c r="F683" i="2"/>
  <c r="G682" i="2"/>
  <c r="F682" i="2"/>
  <c r="G681" i="2"/>
  <c r="F681" i="2"/>
  <c r="G680" i="2"/>
  <c r="F680" i="2"/>
  <c r="G679" i="2"/>
  <c r="F679" i="2"/>
  <c r="G678" i="2"/>
  <c r="F678" i="2"/>
  <c r="G677" i="2"/>
  <c r="F677" i="2"/>
  <c r="G676" i="2"/>
  <c r="F676" i="2"/>
  <c r="G675" i="2"/>
  <c r="F675" i="2"/>
  <c r="G674" i="2"/>
  <c r="F674" i="2"/>
  <c r="G673" i="2"/>
  <c r="F673" i="2"/>
  <c r="G672" i="2"/>
  <c r="F672" i="2"/>
  <c r="G671" i="2"/>
  <c r="F671" i="2"/>
  <c r="G670" i="2"/>
  <c r="F670" i="2"/>
  <c r="G669" i="2"/>
  <c r="F669" i="2"/>
  <c r="G668" i="2"/>
  <c r="F668" i="2"/>
  <c r="G667" i="2"/>
  <c r="F667" i="2"/>
  <c r="G666" i="2"/>
  <c r="F666" i="2"/>
  <c r="G665" i="2"/>
  <c r="F665" i="2"/>
  <c r="G664" i="2"/>
  <c r="F664" i="2"/>
  <c r="G663" i="2"/>
  <c r="F663" i="2"/>
  <c r="G662" i="2"/>
  <c r="F662" i="2"/>
  <c r="G661" i="2"/>
  <c r="F661" i="2"/>
  <c r="G660" i="2"/>
  <c r="F660" i="2"/>
  <c r="G659" i="2"/>
  <c r="F659" i="2"/>
  <c r="G658" i="2"/>
  <c r="F658" i="2"/>
  <c r="G657" i="2"/>
  <c r="F657" i="2"/>
  <c r="G656" i="2"/>
  <c r="F656" i="2"/>
  <c r="G655" i="2"/>
  <c r="F655" i="2"/>
  <c r="G654" i="2"/>
  <c r="F654" i="2"/>
  <c r="G653" i="2"/>
  <c r="F653" i="2"/>
  <c r="G652" i="2"/>
  <c r="F652" i="2"/>
  <c r="G651" i="2"/>
  <c r="F651" i="2"/>
  <c r="G650" i="2"/>
  <c r="F650" i="2"/>
  <c r="G649" i="2"/>
  <c r="F649" i="2"/>
  <c r="G648" i="2"/>
  <c r="F648" i="2"/>
  <c r="G647" i="2"/>
  <c r="F647" i="2"/>
  <c r="G646" i="2"/>
  <c r="F646" i="2"/>
  <c r="G645" i="2"/>
  <c r="F645" i="2"/>
  <c r="G644" i="2"/>
  <c r="F644" i="2"/>
  <c r="G643" i="2"/>
  <c r="F643" i="2"/>
  <c r="G642" i="2"/>
  <c r="F642" i="2"/>
  <c r="G641" i="2"/>
  <c r="F641" i="2"/>
  <c r="G640" i="2"/>
  <c r="F640" i="2"/>
  <c r="G639" i="2"/>
  <c r="F639" i="2"/>
  <c r="G638" i="2"/>
  <c r="F638" i="2"/>
  <c r="G637" i="2"/>
  <c r="F637" i="2"/>
  <c r="G636" i="2"/>
  <c r="F636" i="2"/>
  <c r="G635" i="2"/>
  <c r="F635" i="2"/>
  <c r="G634" i="2"/>
  <c r="F634" i="2"/>
  <c r="G633" i="2"/>
  <c r="F633" i="2"/>
  <c r="G632" i="2"/>
  <c r="F632" i="2"/>
  <c r="G631" i="2"/>
  <c r="F631" i="2"/>
  <c r="G630" i="2"/>
  <c r="F630" i="2"/>
  <c r="G629" i="2"/>
  <c r="F629" i="2"/>
  <c r="G628" i="2"/>
  <c r="F628" i="2"/>
  <c r="G627" i="2"/>
  <c r="F627" i="2"/>
  <c r="G626" i="2"/>
  <c r="F626" i="2"/>
  <c r="G625" i="2"/>
  <c r="F625" i="2"/>
  <c r="G624" i="2"/>
  <c r="F624" i="2"/>
  <c r="G623" i="2"/>
  <c r="F623" i="2"/>
  <c r="G622" i="2"/>
  <c r="F622" i="2"/>
  <c r="G621" i="2"/>
  <c r="F621" i="2"/>
  <c r="G620" i="2"/>
  <c r="F620" i="2"/>
  <c r="G619" i="2"/>
  <c r="F619" i="2"/>
  <c r="G618" i="2"/>
  <c r="F618" i="2"/>
  <c r="G617" i="2"/>
  <c r="F617" i="2"/>
  <c r="G616" i="2"/>
  <c r="F616" i="2"/>
  <c r="G615" i="2"/>
  <c r="F615" i="2"/>
  <c r="G614" i="2"/>
  <c r="F614" i="2"/>
  <c r="G613" i="2"/>
  <c r="F613" i="2"/>
  <c r="G612" i="2"/>
  <c r="F612" i="2"/>
  <c r="G611" i="2"/>
  <c r="F611" i="2"/>
  <c r="G610" i="2"/>
  <c r="F610" i="2"/>
  <c r="G609" i="2"/>
  <c r="F609" i="2"/>
  <c r="G608" i="2"/>
  <c r="F608" i="2"/>
  <c r="G607" i="2"/>
  <c r="F607" i="2"/>
  <c r="G606" i="2"/>
  <c r="F606" i="2"/>
  <c r="G605" i="2"/>
  <c r="F605" i="2"/>
  <c r="G604" i="2"/>
  <c r="F604" i="2"/>
  <c r="G603" i="2"/>
  <c r="F603" i="2"/>
  <c r="G602" i="2"/>
  <c r="F602" i="2"/>
  <c r="G601" i="2"/>
  <c r="F601" i="2"/>
  <c r="G600" i="2"/>
  <c r="F600" i="2"/>
  <c r="G599" i="2"/>
  <c r="F599" i="2"/>
  <c r="G598" i="2"/>
  <c r="F598" i="2"/>
  <c r="G597" i="2"/>
  <c r="F597" i="2"/>
  <c r="G596" i="2"/>
  <c r="F596" i="2"/>
  <c r="G595" i="2"/>
  <c r="F595" i="2"/>
  <c r="G594" i="2"/>
  <c r="F594" i="2"/>
  <c r="G593" i="2"/>
  <c r="F593" i="2"/>
  <c r="G592" i="2"/>
  <c r="F592" i="2"/>
  <c r="G591" i="2"/>
  <c r="F591" i="2"/>
  <c r="G590" i="2"/>
  <c r="F590" i="2"/>
  <c r="G589" i="2"/>
  <c r="F589" i="2"/>
  <c r="G588" i="2"/>
  <c r="F588" i="2"/>
  <c r="G587" i="2"/>
  <c r="F587" i="2"/>
  <c r="G586" i="2"/>
  <c r="F586" i="2"/>
  <c r="G585" i="2"/>
  <c r="F585" i="2"/>
  <c r="G584" i="2"/>
  <c r="F584" i="2"/>
  <c r="G583" i="2"/>
  <c r="F583" i="2"/>
  <c r="G582" i="2"/>
  <c r="F582" i="2"/>
  <c r="G581" i="2"/>
  <c r="F581" i="2"/>
  <c r="G580" i="2"/>
  <c r="F580" i="2"/>
  <c r="G579" i="2"/>
  <c r="F579" i="2"/>
  <c r="G578" i="2"/>
  <c r="F578" i="2"/>
  <c r="G577" i="2"/>
  <c r="F577" i="2"/>
  <c r="G576" i="2"/>
  <c r="F576" i="2"/>
  <c r="G575" i="2"/>
  <c r="F575" i="2"/>
  <c r="G574" i="2"/>
  <c r="F574" i="2"/>
  <c r="G573" i="2"/>
  <c r="F573" i="2"/>
  <c r="G572" i="2"/>
  <c r="F572" i="2"/>
  <c r="G571" i="2"/>
  <c r="F571" i="2"/>
  <c r="G570" i="2"/>
  <c r="F570" i="2"/>
  <c r="G569" i="2"/>
  <c r="F569" i="2"/>
  <c r="G568" i="2"/>
  <c r="F568" i="2"/>
  <c r="G567" i="2"/>
  <c r="F567" i="2"/>
  <c r="G566" i="2"/>
  <c r="F566" i="2"/>
  <c r="G565" i="2"/>
  <c r="F565" i="2"/>
  <c r="G564" i="2"/>
  <c r="F564" i="2"/>
  <c r="G563" i="2"/>
  <c r="F563" i="2"/>
  <c r="G562" i="2"/>
  <c r="F562" i="2"/>
  <c r="G561" i="2"/>
  <c r="F561" i="2"/>
  <c r="G560" i="2"/>
  <c r="F560" i="2"/>
  <c r="G559" i="2"/>
  <c r="F559" i="2"/>
  <c r="G558" i="2"/>
  <c r="F558" i="2"/>
  <c r="G557" i="2"/>
  <c r="F557" i="2"/>
  <c r="G556" i="2"/>
  <c r="F556" i="2"/>
  <c r="G555" i="2"/>
  <c r="F555" i="2"/>
  <c r="G554" i="2"/>
  <c r="F554" i="2"/>
  <c r="G553" i="2"/>
  <c r="F553" i="2"/>
  <c r="G552" i="2"/>
  <c r="F552" i="2"/>
  <c r="G551" i="2"/>
  <c r="F551" i="2"/>
  <c r="G550" i="2"/>
  <c r="F550" i="2"/>
  <c r="G549" i="2"/>
  <c r="F549" i="2"/>
  <c r="G548" i="2"/>
  <c r="F548" i="2"/>
  <c r="G547" i="2"/>
  <c r="F547" i="2"/>
  <c r="G546" i="2"/>
  <c r="F546" i="2"/>
  <c r="G545" i="2"/>
  <c r="F545" i="2"/>
  <c r="G544" i="2"/>
  <c r="F544" i="2"/>
  <c r="G543" i="2"/>
  <c r="F543" i="2"/>
  <c r="G542" i="2"/>
  <c r="F542" i="2"/>
  <c r="G541" i="2"/>
  <c r="F541" i="2"/>
  <c r="G540" i="2"/>
  <c r="F540" i="2"/>
  <c r="G539" i="2"/>
  <c r="F539" i="2"/>
  <c r="G538" i="2"/>
  <c r="F538" i="2"/>
  <c r="G537" i="2"/>
  <c r="F537" i="2"/>
  <c r="G536" i="2"/>
  <c r="F536" i="2"/>
  <c r="G535" i="2"/>
  <c r="F535" i="2"/>
  <c r="G534" i="2"/>
  <c r="F534" i="2"/>
  <c r="G533" i="2"/>
  <c r="F533" i="2"/>
  <c r="G532" i="2"/>
  <c r="F532" i="2"/>
  <c r="G531" i="2"/>
  <c r="F531" i="2"/>
  <c r="G530" i="2"/>
  <c r="F530" i="2"/>
  <c r="G529" i="2"/>
  <c r="F529" i="2"/>
  <c r="G528" i="2"/>
  <c r="F528" i="2"/>
  <c r="G527" i="2"/>
  <c r="F527" i="2"/>
  <c r="G526" i="2"/>
  <c r="F526" i="2"/>
  <c r="G525" i="2"/>
  <c r="F525" i="2"/>
  <c r="G524" i="2"/>
  <c r="F524" i="2"/>
  <c r="G523" i="2"/>
  <c r="F523" i="2"/>
  <c r="G522" i="2"/>
  <c r="F522" i="2"/>
  <c r="G521" i="2"/>
  <c r="F521" i="2"/>
  <c r="G520" i="2"/>
  <c r="F520" i="2"/>
  <c r="G519" i="2"/>
  <c r="F519" i="2"/>
  <c r="G518" i="2"/>
  <c r="F518" i="2"/>
  <c r="G517" i="2"/>
  <c r="F517" i="2"/>
  <c r="G516" i="2"/>
  <c r="F516" i="2"/>
  <c r="G515" i="2"/>
  <c r="F515" i="2"/>
  <c r="G514" i="2"/>
  <c r="F514" i="2"/>
  <c r="G513" i="2"/>
  <c r="F513" i="2"/>
  <c r="G512" i="2"/>
  <c r="F512" i="2"/>
  <c r="G511" i="2"/>
  <c r="F511" i="2"/>
  <c r="G510" i="2"/>
  <c r="F510" i="2"/>
  <c r="G509" i="2"/>
  <c r="F509" i="2"/>
  <c r="G508" i="2"/>
  <c r="F508" i="2"/>
  <c r="G507" i="2"/>
  <c r="F507" i="2"/>
  <c r="G506" i="2"/>
  <c r="F506" i="2"/>
  <c r="G505" i="2"/>
  <c r="F505" i="2"/>
  <c r="G504" i="2"/>
  <c r="F504" i="2"/>
  <c r="G503" i="2"/>
  <c r="F503" i="2"/>
  <c r="G502" i="2"/>
  <c r="F502" i="2"/>
  <c r="G501" i="2"/>
  <c r="F501" i="2"/>
  <c r="G500" i="2"/>
  <c r="F500" i="2"/>
  <c r="G499" i="2"/>
  <c r="F499" i="2"/>
  <c r="G498" i="2"/>
  <c r="F498" i="2"/>
  <c r="G497" i="2"/>
  <c r="F497" i="2"/>
  <c r="G496" i="2"/>
  <c r="F496" i="2"/>
  <c r="G495" i="2"/>
  <c r="F495" i="2"/>
  <c r="G494" i="2"/>
  <c r="F494" i="2"/>
  <c r="G493" i="2"/>
  <c r="F493" i="2"/>
  <c r="G492" i="2"/>
  <c r="F492" i="2"/>
  <c r="G491" i="2"/>
  <c r="F491" i="2"/>
  <c r="G490" i="2"/>
  <c r="F490" i="2"/>
  <c r="G489" i="2"/>
  <c r="F489" i="2"/>
  <c r="G488" i="2"/>
  <c r="F488" i="2"/>
  <c r="G487" i="2"/>
  <c r="F487" i="2"/>
  <c r="G486" i="2"/>
  <c r="F486" i="2"/>
  <c r="G485" i="2"/>
  <c r="F485" i="2"/>
  <c r="G484" i="2"/>
  <c r="F484" i="2"/>
  <c r="G483" i="2"/>
  <c r="F483" i="2"/>
  <c r="G482" i="2"/>
  <c r="F482" i="2"/>
  <c r="G481" i="2"/>
  <c r="F481" i="2"/>
  <c r="G480" i="2"/>
  <c r="F480" i="2"/>
  <c r="G479" i="2"/>
  <c r="F479" i="2"/>
  <c r="G478" i="2"/>
  <c r="F478" i="2"/>
  <c r="G477" i="2"/>
  <c r="F477" i="2"/>
  <c r="G476" i="2"/>
  <c r="F476" i="2"/>
  <c r="G475" i="2"/>
  <c r="F475" i="2"/>
  <c r="G474" i="2"/>
  <c r="F474" i="2"/>
  <c r="G473" i="2"/>
  <c r="F473" i="2"/>
  <c r="G472" i="2"/>
  <c r="F472" i="2"/>
  <c r="G471" i="2"/>
  <c r="F471" i="2"/>
  <c r="G470" i="2"/>
  <c r="F470" i="2"/>
  <c r="G469" i="2"/>
  <c r="F469" i="2"/>
  <c r="G468" i="2"/>
  <c r="F468" i="2"/>
  <c r="G467" i="2"/>
  <c r="F467" i="2"/>
  <c r="G466" i="2"/>
  <c r="F466" i="2"/>
  <c r="G465" i="2"/>
  <c r="F465" i="2"/>
  <c r="G464" i="2"/>
  <c r="F464" i="2"/>
  <c r="G463" i="2"/>
  <c r="F463" i="2"/>
  <c r="G462" i="2"/>
  <c r="F462" i="2"/>
  <c r="G461" i="2"/>
  <c r="F461" i="2"/>
  <c r="G460" i="2"/>
  <c r="F460" i="2"/>
  <c r="G459" i="2"/>
  <c r="F459" i="2"/>
  <c r="G458" i="2"/>
  <c r="F458" i="2"/>
  <c r="G457" i="2"/>
  <c r="F457" i="2"/>
  <c r="G456" i="2"/>
  <c r="F456" i="2"/>
  <c r="G455" i="2"/>
  <c r="F455" i="2"/>
  <c r="G454" i="2"/>
  <c r="F454" i="2"/>
  <c r="G453" i="2"/>
  <c r="F453" i="2"/>
  <c r="G452" i="2"/>
  <c r="F452" i="2"/>
  <c r="G451" i="2"/>
  <c r="F451" i="2"/>
  <c r="G450" i="2"/>
  <c r="F450" i="2"/>
  <c r="G449" i="2"/>
  <c r="F449" i="2"/>
  <c r="G448" i="2"/>
  <c r="F448" i="2"/>
  <c r="G447" i="2"/>
  <c r="F447" i="2"/>
  <c r="G446" i="2"/>
  <c r="F446" i="2"/>
  <c r="G445" i="2"/>
  <c r="F445" i="2"/>
  <c r="G444" i="2"/>
  <c r="F444" i="2"/>
  <c r="G443" i="2"/>
  <c r="F443" i="2"/>
  <c r="G442" i="2"/>
  <c r="F442" i="2"/>
  <c r="G441" i="2"/>
  <c r="F441" i="2"/>
  <c r="G440" i="2"/>
  <c r="F440" i="2"/>
  <c r="G439" i="2"/>
  <c r="F439" i="2"/>
  <c r="G438" i="2"/>
  <c r="F438" i="2"/>
  <c r="G437" i="2"/>
  <c r="F437" i="2"/>
  <c r="G436" i="2"/>
  <c r="F436" i="2"/>
  <c r="G435" i="2"/>
  <c r="F435" i="2"/>
  <c r="G434" i="2"/>
  <c r="F434" i="2"/>
  <c r="G433" i="2"/>
  <c r="F433" i="2"/>
  <c r="G432" i="2"/>
  <c r="F432" i="2"/>
  <c r="G431" i="2"/>
  <c r="F431" i="2"/>
  <c r="G430" i="2"/>
  <c r="F430" i="2"/>
  <c r="G429" i="2"/>
  <c r="F429" i="2"/>
  <c r="G428" i="2"/>
  <c r="F428" i="2"/>
  <c r="G427" i="2"/>
  <c r="F427" i="2"/>
  <c r="G426" i="2"/>
  <c r="F426" i="2"/>
  <c r="G425" i="2"/>
  <c r="F425" i="2"/>
  <c r="G424" i="2"/>
  <c r="F424" i="2"/>
  <c r="G423" i="2"/>
  <c r="F423" i="2"/>
  <c r="G422" i="2"/>
  <c r="F422" i="2"/>
  <c r="G421" i="2"/>
  <c r="F421" i="2"/>
  <c r="G420" i="2"/>
  <c r="F420" i="2"/>
  <c r="G419" i="2"/>
  <c r="F419" i="2"/>
  <c r="G418" i="2"/>
  <c r="F418" i="2"/>
  <c r="G417" i="2"/>
  <c r="F417" i="2"/>
  <c r="G416" i="2"/>
  <c r="F416" i="2"/>
  <c r="G415" i="2"/>
  <c r="F415" i="2"/>
  <c r="G414" i="2"/>
  <c r="F414" i="2"/>
  <c r="G413" i="2"/>
  <c r="F413" i="2"/>
  <c r="G412" i="2"/>
  <c r="F412" i="2"/>
  <c r="G411" i="2"/>
  <c r="F411" i="2"/>
  <c r="G410" i="2"/>
  <c r="F410" i="2"/>
  <c r="G409" i="2"/>
  <c r="F409" i="2"/>
  <c r="G408" i="2"/>
  <c r="F408" i="2"/>
  <c r="G407" i="2"/>
  <c r="F407" i="2"/>
  <c r="G406" i="2"/>
  <c r="F406" i="2"/>
  <c r="G405" i="2"/>
  <c r="F405" i="2"/>
  <c r="G404" i="2"/>
  <c r="F404" i="2"/>
  <c r="G403" i="2"/>
  <c r="F403" i="2"/>
  <c r="G402" i="2"/>
  <c r="F402" i="2"/>
  <c r="G401" i="2"/>
  <c r="F401" i="2"/>
  <c r="G400" i="2"/>
  <c r="F400" i="2"/>
  <c r="G399" i="2"/>
  <c r="F399" i="2"/>
  <c r="G398" i="2"/>
  <c r="F398" i="2"/>
  <c r="G397" i="2"/>
  <c r="F397" i="2"/>
  <c r="G396" i="2"/>
  <c r="F396" i="2"/>
  <c r="G395" i="2"/>
  <c r="F395" i="2"/>
  <c r="G394" i="2"/>
  <c r="F394" i="2"/>
  <c r="G393" i="2"/>
  <c r="F393" i="2"/>
  <c r="G392" i="2"/>
  <c r="F392" i="2"/>
  <c r="G391" i="2"/>
  <c r="F391" i="2"/>
  <c r="G390" i="2"/>
  <c r="F390" i="2"/>
  <c r="G389" i="2"/>
  <c r="F389" i="2"/>
  <c r="G388" i="2"/>
  <c r="F388" i="2"/>
  <c r="G387" i="2"/>
  <c r="F387" i="2"/>
  <c r="G386" i="2"/>
  <c r="F386" i="2"/>
  <c r="G385" i="2"/>
  <c r="F385" i="2"/>
  <c r="G384" i="2"/>
  <c r="F384" i="2"/>
  <c r="G383" i="2"/>
  <c r="F383" i="2"/>
  <c r="G382" i="2"/>
  <c r="F382" i="2"/>
  <c r="G381" i="2"/>
  <c r="F381" i="2"/>
  <c r="G380" i="2"/>
  <c r="F380" i="2"/>
  <c r="G379" i="2"/>
  <c r="F379" i="2"/>
  <c r="G378" i="2"/>
  <c r="F378" i="2"/>
  <c r="G377" i="2"/>
  <c r="F377" i="2"/>
  <c r="G376" i="2"/>
  <c r="F376" i="2"/>
  <c r="G375" i="2"/>
  <c r="F375" i="2"/>
  <c r="G374" i="2"/>
  <c r="F374" i="2"/>
  <c r="G373" i="2"/>
  <c r="F373" i="2"/>
  <c r="G372" i="2"/>
  <c r="F372" i="2"/>
  <c r="G371" i="2"/>
  <c r="F371" i="2"/>
  <c r="G370" i="2"/>
  <c r="F370" i="2"/>
  <c r="G369" i="2"/>
  <c r="F369" i="2"/>
  <c r="G368" i="2"/>
  <c r="F368" i="2"/>
  <c r="G367" i="2"/>
  <c r="F367" i="2"/>
  <c r="G366" i="2"/>
  <c r="F366" i="2"/>
  <c r="G365" i="2"/>
  <c r="F365" i="2"/>
  <c r="G364" i="2"/>
  <c r="F364" i="2"/>
  <c r="G363" i="2"/>
  <c r="F363" i="2"/>
  <c r="G362" i="2"/>
  <c r="F362" i="2"/>
  <c r="G361" i="2"/>
  <c r="F361" i="2"/>
  <c r="G360" i="2"/>
  <c r="F360" i="2"/>
  <c r="G359" i="2"/>
  <c r="F359" i="2"/>
  <c r="G358" i="2"/>
  <c r="F358" i="2"/>
  <c r="G357" i="2"/>
  <c r="F357" i="2"/>
  <c r="G356" i="2"/>
  <c r="F356" i="2"/>
  <c r="G355" i="2"/>
  <c r="F355" i="2"/>
  <c r="G354" i="2"/>
  <c r="F354" i="2"/>
  <c r="G353" i="2"/>
  <c r="F353" i="2"/>
  <c r="G352" i="2"/>
  <c r="F352" i="2"/>
  <c r="G351" i="2"/>
  <c r="F351" i="2"/>
  <c r="G350" i="2"/>
  <c r="F350" i="2"/>
  <c r="G349" i="2"/>
  <c r="F349" i="2"/>
  <c r="G348" i="2"/>
  <c r="F348" i="2"/>
  <c r="G347" i="2"/>
  <c r="F347" i="2"/>
  <c r="G346" i="2"/>
  <c r="F346" i="2"/>
  <c r="G345" i="2"/>
  <c r="F345" i="2"/>
  <c r="G344" i="2"/>
  <c r="F344" i="2"/>
  <c r="G343" i="2"/>
  <c r="F343" i="2"/>
  <c r="G342" i="2"/>
  <c r="F342" i="2"/>
  <c r="G341" i="2"/>
  <c r="F341" i="2"/>
  <c r="G340" i="2"/>
  <c r="F340" i="2"/>
  <c r="G339" i="2"/>
  <c r="F339" i="2"/>
  <c r="G338" i="2"/>
  <c r="F338" i="2"/>
  <c r="G337" i="2"/>
  <c r="F337" i="2"/>
  <c r="G336" i="2"/>
  <c r="F336" i="2"/>
  <c r="G335" i="2"/>
  <c r="F335" i="2"/>
  <c r="G334" i="2"/>
  <c r="F334" i="2"/>
  <c r="G333" i="2"/>
  <c r="F333" i="2"/>
  <c r="G332" i="2"/>
  <c r="F332" i="2"/>
  <c r="G331" i="2"/>
  <c r="F331" i="2"/>
  <c r="G330" i="2"/>
  <c r="F330" i="2"/>
  <c r="G329" i="2"/>
  <c r="F329" i="2"/>
  <c r="G328" i="2"/>
  <c r="F328" i="2"/>
  <c r="G327" i="2"/>
  <c r="F327" i="2"/>
  <c r="G326" i="2"/>
  <c r="F326" i="2"/>
  <c r="G325" i="2"/>
  <c r="F325" i="2"/>
  <c r="G324" i="2"/>
  <c r="F324" i="2"/>
  <c r="G323" i="2"/>
  <c r="F323" i="2"/>
  <c r="G322" i="2"/>
  <c r="F322" i="2"/>
  <c r="G321" i="2"/>
  <c r="F321" i="2"/>
  <c r="G320" i="2"/>
  <c r="F320" i="2"/>
  <c r="G319" i="2"/>
  <c r="F319" i="2"/>
  <c r="G318" i="2"/>
  <c r="F318" i="2"/>
  <c r="G317" i="2"/>
  <c r="F317" i="2"/>
  <c r="G316" i="2"/>
  <c r="F316" i="2"/>
  <c r="G315" i="2"/>
  <c r="F315" i="2"/>
  <c r="G314" i="2"/>
  <c r="F314" i="2"/>
  <c r="G313" i="2"/>
  <c r="F313" i="2"/>
  <c r="G312" i="2"/>
  <c r="F312" i="2"/>
  <c r="G311" i="2"/>
  <c r="F311" i="2"/>
  <c r="G310" i="2"/>
  <c r="F310" i="2"/>
  <c r="G309" i="2"/>
  <c r="F309" i="2"/>
  <c r="G308" i="2"/>
  <c r="F308" i="2"/>
  <c r="G307" i="2"/>
  <c r="F307" i="2"/>
  <c r="G306" i="2"/>
  <c r="F306" i="2"/>
  <c r="G305" i="2"/>
  <c r="F305" i="2"/>
  <c r="G304" i="2"/>
  <c r="F304" i="2"/>
  <c r="G303" i="2"/>
  <c r="F303" i="2"/>
  <c r="G302" i="2"/>
  <c r="F302" i="2"/>
  <c r="G301" i="2"/>
  <c r="F301" i="2"/>
  <c r="G300" i="2"/>
  <c r="F300" i="2"/>
  <c r="G299" i="2"/>
  <c r="F299" i="2"/>
  <c r="G298" i="2"/>
  <c r="F298" i="2"/>
  <c r="G297" i="2"/>
  <c r="F297" i="2"/>
  <c r="G296" i="2"/>
  <c r="F296" i="2"/>
  <c r="G295" i="2"/>
  <c r="F295" i="2"/>
  <c r="G294" i="2"/>
  <c r="F294" i="2"/>
  <c r="G293" i="2"/>
  <c r="F293" i="2"/>
  <c r="G292" i="2"/>
  <c r="F292" i="2"/>
  <c r="G291" i="2"/>
  <c r="F291" i="2"/>
  <c r="G290" i="2"/>
  <c r="F290" i="2"/>
  <c r="G289" i="2"/>
  <c r="F289" i="2"/>
  <c r="G288" i="2"/>
  <c r="F288" i="2"/>
  <c r="G287" i="2"/>
  <c r="F287" i="2"/>
  <c r="G286" i="2"/>
  <c r="F286" i="2"/>
  <c r="G285" i="2"/>
  <c r="F285" i="2"/>
  <c r="G284" i="2"/>
  <c r="F284" i="2"/>
  <c r="G283" i="2"/>
  <c r="F283" i="2"/>
  <c r="G282" i="2"/>
  <c r="F282" i="2"/>
  <c r="G281" i="2"/>
  <c r="F281" i="2"/>
  <c r="G280" i="2"/>
  <c r="F280" i="2"/>
  <c r="G279" i="2"/>
  <c r="F279" i="2"/>
  <c r="G278" i="2"/>
  <c r="F278" i="2"/>
  <c r="G277" i="2"/>
  <c r="F277" i="2"/>
  <c r="G276" i="2"/>
  <c r="F276" i="2"/>
  <c r="G275" i="2"/>
  <c r="F275" i="2"/>
  <c r="G274" i="2"/>
  <c r="F274" i="2"/>
  <c r="G273" i="2"/>
  <c r="F273" i="2"/>
  <c r="G272" i="2"/>
  <c r="F272" i="2"/>
  <c r="G271" i="2"/>
  <c r="F271" i="2"/>
  <c r="G270" i="2"/>
  <c r="F270" i="2"/>
  <c r="G269" i="2"/>
  <c r="F269" i="2"/>
  <c r="G268" i="2"/>
  <c r="F268" i="2"/>
  <c r="G267" i="2"/>
  <c r="F267" i="2"/>
  <c r="G266" i="2"/>
  <c r="F266" i="2"/>
  <c r="G265" i="2"/>
  <c r="F265" i="2"/>
  <c r="G264" i="2"/>
  <c r="F264" i="2"/>
  <c r="G263" i="2"/>
  <c r="F263" i="2"/>
  <c r="G262" i="2"/>
  <c r="F262" i="2"/>
  <c r="G261" i="2"/>
  <c r="F261" i="2"/>
  <c r="G260" i="2"/>
  <c r="F260" i="2"/>
  <c r="G259" i="2"/>
  <c r="F259" i="2"/>
  <c r="G258" i="2"/>
  <c r="F258" i="2"/>
  <c r="G257" i="2"/>
  <c r="F257" i="2"/>
  <c r="G256" i="2"/>
  <c r="F256" i="2"/>
  <c r="G255" i="2"/>
  <c r="F255" i="2"/>
  <c r="G254" i="2"/>
  <c r="F254" i="2"/>
  <c r="G253" i="2"/>
  <c r="F253" i="2"/>
  <c r="G252" i="2"/>
  <c r="F252" i="2"/>
  <c r="G251" i="2"/>
  <c r="F251" i="2"/>
  <c r="G250" i="2"/>
  <c r="F250" i="2"/>
  <c r="G249" i="2"/>
  <c r="F249" i="2"/>
  <c r="G248" i="2"/>
  <c r="F248" i="2"/>
  <c r="G247" i="2"/>
  <c r="F247" i="2"/>
  <c r="G246" i="2"/>
  <c r="F246" i="2"/>
  <c r="G245" i="2"/>
  <c r="F245" i="2"/>
  <c r="G244" i="2"/>
  <c r="F244" i="2"/>
  <c r="G243" i="2"/>
  <c r="F243" i="2"/>
  <c r="G242" i="2"/>
  <c r="F242" i="2"/>
  <c r="G241" i="2"/>
  <c r="F241" i="2"/>
  <c r="G240" i="2"/>
  <c r="F240" i="2"/>
  <c r="G239" i="2"/>
  <c r="F239" i="2"/>
  <c r="G238" i="2"/>
  <c r="F238" i="2"/>
  <c r="G237" i="2"/>
  <c r="F237" i="2"/>
  <c r="G236" i="2"/>
  <c r="F236" i="2"/>
  <c r="G235" i="2"/>
  <c r="F235" i="2"/>
  <c r="G234" i="2"/>
  <c r="F234" i="2"/>
  <c r="G233" i="2"/>
  <c r="F233" i="2"/>
  <c r="G232" i="2"/>
  <c r="F232" i="2"/>
  <c r="G231" i="2"/>
  <c r="F231" i="2"/>
  <c r="G230" i="2"/>
  <c r="F230" i="2"/>
  <c r="G229" i="2"/>
  <c r="F229" i="2"/>
  <c r="G228" i="2"/>
  <c r="F228" i="2"/>
  <c r="G227" i="2"/>
  <c r="F227" i="2"/>
  <c r="G226" i="2"/>
  <c r="F226" i="2"/>
  <c r="G225" i="2"/>
  <c r="F225" i="2"/>
  <c r="G224" i="2"/>
  <c r="F224" i="2"/>
  <c r="G223" i="2"/>
  <c r="F223" i="2"/>
  <c r="G222" i="2"/>
  <c r="F222" i="2"/>
  <c r="G221" i="2"/>
  <c r="F221" i="2"/>
  <c r="G220" i="2"/>
  <c r="F220" i="2"/>
  <c r="G219" i="2"/>
  <c r="F219" i="2"/>
  <c r="G218" i="2"/>
  <c r="F218" i="2"/>
  <c r="G217" i="2"/>
  <c r="F217" i="2"/>
  <c r="G216" i="2"/>
  <c r="F216" i="2"/>
  <c r="G215" i="2"/>
  <c r="F215" i="2"/>
  <c r="G214" i="2"/>
  <c r="F214" i="2"/>
  <c r="G213" i="2"/>
  <c r="F213" i="2"/>
  <c r="G212" i="2"/>
  <c r="F212" i="2"/>
  <c r="G211" i="2"/>
  <c r="F211" i="2"/>
  <c r="G210" i="2"/>
  <c r="F210" i="2"/>
  <c r="G209" i="2"/>
  <c r="F209" i="2"/>
  <c r="G208" i="2"/>
  <c r="F208" i="2"/>
  <c r="G207" i="2"/>
  <c r="F207" i="2"/>
  <c r="G206" i="2"/>
  <c r="F206" i="2"/>
  <c r="G205" i="2"/>
  <c r="F205" i="2"/>
  <c r="G204" i="2"/>
  <c r="F204" i="2"/>
  <c r="G203" i="2"/>
  <c r="F203" i="2"/>
  <c r="G202" i="2"/>
  <c r="F202" i="2"/>
  <c r="G201" i="2"/>
  <c r="F201" i="2"/>
  <c r="G200" i="2"/>
  <c r="F200" i="2"/>
  <c r="G199" i="2"/>
  <c r="F199" i="2"/>
  <c r="G198" i="2"/>
  <c r="F198" i="2"/>
  <c r="G197" i="2"/>
  <c r="F197" i="2"/>
  <c r="G196" i="2"/>
  <c r="F196" i="2"/>
  <c r="G195" i="2"/>
  <c r="F195" i="2"/>
  <c r="G194" i="2"/>
  <c r="F194" i="2"/>
  <c r="G193" i="2"/>
  <c r="F193" i="2"/>
  <c r="G192" i="2"/>
  <c r="F192" i="2"/>
  <c r="G191" i="2"/>
  <c r="F191" i="2"/>
  <c r="G190" i="2"/>
  <c r="F190" i="2"/>
  <c r="G189" i="2"/>
  <c r="F189" i="2"/>
  <c r="G188" i="2"/>
  <c r="F188" i="2"/>
  <c r="G187" i="2"/>
  <c r="F187" i="2"/>
  <c r="G186" i="2"/>
  <c r="F186" i="2"/>
  <c r="G185" i="2"/>
  <c r="F185" i="2"/>
  <c r="G184" i="2"/>
  <c r="F184" i="2"/>
  <c r="G183" i="2"/>
  <c r="F183" i="2"/>
  <c r="G182" i="2"/>
  <c r="F182" i="2"/>
  <c r="G181" i="2"/>
  <c r="F181" i="2"/>
  <c r="G180" i="2"/>
  <c r="F180" i="2"/>
  <c r="G179" i="2"/>
  <c r="F179" i="2"/>
  <c r="G178" i="2"/>
  <c r="F178" i="2"/>
  <c r="G177" i="2"/>
  <c r="F177" i="2"/>
  <c r="G176" i="2"/>
  <c r="F176" i="2"/>
  <c r="G175" i="2"/>
  <c r="F175" i="2"/>
  <c r="G174" i="2"/>
  <c r="F174" i="2"/>
  <c r="G173" i="2"/>
  <c r="F173" i="2"/>
  <c r="G172" i="2"/>
  <c r="F172" i="2"/>
  <c r="G171" i="2"/>
  <c r="F171" i="2"/>
  <c r="G170" i="2"/>
  <c r="F170" i="2"/>
  <c r="G169" i="2"/>
  <c r="F169" i="2"/>
  <c r="G168" i="2"/>
  <c r="F168" i="2"/>
  <c r="G167" i="2"/>
  <c r="F167" i="2"/>
  <c r="G166" i="2"/>
  <c r="F166" i="2"/>
  <c r="G165" i="2"/>
  <c r="F165" i="2"/>
  <c r="G164" i="2"/>
  <c r="F164" i="2"/>
  <c r="G163" i="2"/>
  <c r="F163" i="2"/>
  <c r="G162" i="2"/>
  <c r="F162" i="2"/>
  <c r="G161" i="2"/>
  <c r="F161" i="2"/>
  <c r="G160" i="2"/>
  <c r="F160" i="2"/>
  <c r="G159" i="2"/>
  <c r="F159" i="2"/>
  <c r="G158" i="2"/>
  <c r="F158" i="2"/>
  <c r="G157" i="2"/>
  <c r="F157" i="2"/>
  <c r="G156" i="2"/>
  <c r="F156" i="2"/>
  <c r="G155" i="2"/>
  <c r="F155" i="2"/>
  <c r="G154" i="2"/>
  <c r="F154" i="2"/>
  <c r="G153" i="2"/>
  <c r="F153" i="2"/>
  <c r="G152" i="2"/>
  <c r="F152" i="2"/>
  <c r="G151" i="2"/>
  <c r="F151" i="2"/>
  <c r="G150" i="2"/>
  <c r="F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G136" i="2"/>
  <c r="F136" i="2"/>
  <c r="G135" i="2"/>
  <c r="F135" i="2"/>
  <c r="G134" i="2"/>
  <c r="F134" i="2"/>
  <c r="G133" i="2"/>
  <c r="F133" i="2"/>
  <c r="G132" i="2"/>
  <c r="F132" i="2"/>
  <c r="G131" i="2"/>
  <c r="F131" i="2"/>
  <c r="G130" i="2"/>
  <c r="F130" i="2"/>
  <c r="G129" i="2"/>
  <c r="F129" i="2"/>
  <c r="G128" i="2"/>
  <c r="F128" i="2"/>
  <c r="G127" i="2"/>
  <c r="F127" i="2"/>
  <c r="G126" i="2"/>
  <c r="F126" i="2"/>
  <c r="G125" i="2"/>
  <c r="F125" i="2"/>
  <c r="G124" i="2"/>
  <c r="F124" i="2"/>
  <c r="G123" i="2"/>
  <c r="F123" i="2"/>
  <c r="G122" i="2"/>
  <c r="F122" i="2"/>
  <c r="G121" i="2"/>
  <c r="F121" i="2"/>
  <c r="G120" i="2"/>
  <c r="F120" i="2"/>
  <c r="G119" i="2"/>
  <c r="F119" i="2"/>
  <c r="G118" i="2"/>
  <c r="F118" i="2"/>
  <c r="G117" i="2"/>
  <c r="F117" i="2"/>
  <c r="G116" i="2"/>
  <c r="F116" i="2"/>
  <c r="G115" i="2"/>
  <c r="F115" i="2"/>
  <c r="G114" i="2"/>
  <c r="F114" i="2"/>
  <c r="G113" i="2"/>
  <c r="F113" i="2"/>
  <c r="G112" i="2"/>
  <c r="F112" i="2"/>
  <c r="G111" i="2"/>
  <c r="F111" i="2"/>
  <c r="G110" i="2"/>
  <c r="F110" i="2"/>
  <c r="G109" i="2"/>
  <c r="F109" i="2"/>
  <c r="G108" i="2"/>
  <c r="F108" i="2"/>
  <c r="G107" i="2"/>
  <c r="F107" i="2"/>
  <c r="G106" i="2"/>
  <c r="F106" i="2"/>
  <c r="G105" i="2"/>
  <c r="F105" i="2"/>
  <c r="G104" i="2"/>
  <c r="F104" i="2"/>
  <c r="G103" i="2"/>
  <c r="F103" i="2"/>
  <c r="G102" i="2"/>
  <c r="F102" i="2"/>
  <c r="G101" i="2"/>
  <c r="F101" i="2"/>
  <c r="G100" i="2"/>
  <c r="F100" i="2"/>
  <c r="G99" i="2"/>
  <c r="F99" i="2"/>
  <c r="G98" i="2"/>
  <c r="F98" i="2"/>
  <c r="G97" i="2"/>
  <c r="F97" i="2"/>
  <c r="G96" i="2"/>
  <c r="F96" i="2"/>
  <c r="G95" i="2"/>
  <c r="F95" i="2"/>
  <c r="G94" i="2"/>
  <c r="F94" i="2"/>
  <c r="G93" i="2"/>
  <c r="F93" i="2"/>
  <c r="G92" i="2"/>
  <c r="F92" i="2"/>
  <c r="G91" i="2"/>
  <c r="F91" i="2"/>
  <c r="G90" i="2"/>
  <c r="F90" i="2"/>
  <c r="G89" i="2"/>
  <c r="F89" i="2"/>
  <c r="G88" i="2"/>
  <c r="F88" i="2"/>
  <c r="G87" i="2"/>
  <c r="F87" i="2"/>
  <c r="G86" i="2"/>
  <c r="F86" i="2"/>
  <c r="G85" i="2"/>
  <c r="F85" i="2"/>
  <c r="G84" i="2"/>
  <c r="F84" i="2"/>
  <c r="G83" i="2"/>
  <c r="F83" i="2"/>
  <c r="G82" i="2"/>
  <c r="F82" i="2"/>
  <c r="G81" i="2"/>
  <c r="F81" i="2"/>
  <c r="G80" i="2"/>
  <c r="F80" i="2"/>
  <c r="G79" i="2"/>
  <c r="F79" i="2"/>
  <c r="G78" i="2"/>
  <c r="F78" i="2"/>
  <c r="G77" i="2"/>
  <c r="F77" i="2"/>
  <c r="G76" i="2"/>
  <c r="F76" i="2"/>
  <c r="G75" i="2"/>
  <c r="F75" i="2"/>
  <c r="G74" i="2"/>
  <c r="F74" i="2"/>
  <c r="G73" i="2"/>
  <c r="F73" i="2"/>
  <c r="G72" i="2"/>
  <c r="F72" i="2"/>
  <c r="G71" i="2"/>
  <c r="F71" i="2"/>
  <c r="G70" i="2"/>
  <c r="F70" i="2"/>
  <c r="G69" i="2"/>
  <c r="F69" i="2"/>
  <c r="G68" i="2"/>
  <c r="F68" i="2"/>
  <c r="G67" i="2"/>
  <c r="F67" i="2"/>
  <c r="G66" i="2"/>
  <c r="F66" i="2"/>
  <c r="G65" i="2"/>
  <c r="F65" i="2"/>
  <c r="G64" i="2"/>
  <c r="F64" i="2"/>
  <c r="G63" i="2"/>
  <c r="F63" i="2"/>
  <c r="G62" i="2"/>
  <c r="F62" i="2"/>
  <c r="G61" i="2"/>
  <c r="F61" i="2"/>
  <c r="G60" i="2"/>
  <c r="F60" i="2"/>
  <c r="G59" i="2"/>
  <c r="F59" i="2"/>
  <c r="G58" i="2"/>
  <c r="F58" i="2"/>
  <c r="G57" i="2"/>
  <c r="F57" i="2"/>
  <c r="G56" i="2"/>
  <c r="F56" i="2"/>
  <c r="G55" i="2"/>
  <c r="F55" i="2"/>
  <c r="G54" i="2"/>
  <c r="F54" i="2"/>
  <c r="G53" i="2"/>
  <c r="F53" i="2"/>
  <c r="G52" i="2"/>
  <c r="F52" i="2"/>
  <c r="G51" i="2"/>
  <c r="F51" i="2"/>
  <c r="G50" i="2"/>
  <c r="F50" i="2"/>
  <c r="G49" i="2"/>
  <c r="F49" i="2"/>
  <c r="G48" i="2"/>
  <c r="F48" i="2"/>
  <c r="G47" i="2"/>
  <c r="F47" i="2"/>
  <c r="G46" i="2"/>
  <c r="F46" i="2"/>
  <c r="G45" i="2"/>
  <c r="F45" i="2"/>
  <c r="G44" i="2"/>
  <c r="F44" i="2"/>
  <c r="G43" i="2"/>
  <c r="F43" i="2"/>
  <c r="G42" i="2"/>
  <c r="F42" i="2"/>
  <c r="G41" i="2"/>
  <c r="F41" i="2"/>
  <c r="G40" i="2"/>
  <c r="F40" i="2"/>
  <c r="G39" i="2"/>
  <c r="F39" i="2"/>
  <c r="G38" i="2"/>
  <c r="F38" i="2"/>
  <c r="G37" i="2"/>
  <c r="F37" i="2"/>
  <c r="G36" i="2"/>
  <c r="F36" i="2"/>
  <c r="G35" i="2"/>
  <c r="F35" i="2"/>
  <c r="G34" i="2"/>
  <c r="F34" i="2"/>
  <c r="G33" i="2"/>
  <c r="F33" i="2"/>
  <c r="G32" i="2"/>
  <c r="F32" i="2"/>
  <c r="G31" i="2"/>
  <c r="F31" i="2"/>
  <c r="G30" i="2"/>
  <c r="F30" i="2"/>
  <c r="G29" i="2"/>
  <c r="F29" i="2"/>
  <c r="G28" i="2"/>
  <c r="F28" i="2"/>
  <c r="G27" i="2"/>
  <c r="F27" i="2"/>
  <c r="G26" i="2"/>
  <c r="F26" i="2"/>
  <c r="G25" i="2"/>
  <c r="F25" i="2"/>
  <c r="G24" i="2"/>
  <c r="F24" i="2"/>
  <c r="G23" i="2"/>
  <c r="F23" i="2"/>
  <c r="G22" i="2"/>
  <c r="F22" i="2"/>
  <c r="G21" i="2"/>
  <c r="F21" i="2"/>
  <c r="G20" i="2"/>
  <c r="F20" i="2"/>
  <c r="G19" i="2"/>
  <c r="F19" i="2"/>
  <c r="G18" i="2"/>
  <c r="F18" i="2"/>
  <c r="G17" i="2"/>
  <c r="F17" i="2"/>
  <c r="G16" i="2"/>
  <c r="F16" i="2"/>
  <c r="G15" i="2"/>
  <c r="F15" i="2"/>
  <c r="X57" i="11" l="1"/>
  <c r="AD57" i="27"/>
  <c r="R34" i="8"/>
  <c r="Q34" i="8"/>
  <c r="R61" i="8"/>
  <c r="Q61" i="8"/>
  <c r="R49" i="8"/>
  <c r="Q49" i="8"/>
  <c r="R41" i="8"/>
  <c r="Q41" i="8"/>
  <c r="R33" i="8"/>
  <c r="Q33" i="8"/>
  <c r="R60" i="8"/>
  <c r="Q60" i="8"/>
  <c r="R59" i="8"/>
  <c r="Q59" i="8"/>
  <c r="R53" i="8"/>
  <c r="Q53" i="8"/>
  <c r="R48" i="8"/>
  <c r="Q48" i="8"/>
  <c r="R44" i="8"/>
  <c r="Q44" i="8"/>
  <c r="R40" i="8"/>
  <c r="Q40" i="8"/>
  <c r="R36" i="8"/>
  <c r="Q36" i="8"/>
  <c r="R32" i="8"/>
  <c r="Q32" i="8"/>
  <c r="R64" i="8"/>
  <c r="Q64" i="8"/>
  <c r="R58" i="8"/>
  <c r="Q58" i="8"/>
  <c r="R52" i="8"/>
  <c r="Q52" i="8"/>
  <c r="R39" i="8"/>
  <c r="Q39" i="8"/>
  <c r="R35" i="8"/>
  <c r="Q35" i="8"/>
  <c r="R57" i="8"/>
  <c r="Q57" i="8"/>
  <c r="R63" i="8"/>
  <c r="Q63" i="8"/>
  <c r="R56" i="8"/>
  <c r="Q56" i="8"/>
  <c r="R51" i="8"/>
  <c r="Q51" i="8"/>
  <c r="R38" i="8"/>
  <c r="Q38" i="8"/>
  <c r="R62" i="8"/>
  <c r="Q62" i="8"/>
  <c r="R55" i="8"/>
  <c r="Q55" i="8"/>
  <c r="M65" i="8"/>
  <c r="R50" i="8"/>
  <c r="Q50" i="8"/>
  <c r="R42" i="8"/>
  <c r="Q42" i="8"/>
  <c r="X57" i="12"/>
  <c r="Y57" i="11" l="1"/>
  <c r="AE57" i="27"/>
  <c r="R65" i="8"/>
  <c r="Y57" i="12"/>
  <c r="Z57" i="11" l="1"/>
  <c r="AF57" i="27"/>
  <c r="AG57" i="27" s="1"/>
  <c r="AH57" i="27" s="1"/>
  <c r="AI57" i="27" s="1"/>
  <c r="AJ52" i="27"/>
  <c r="AJ56" i="27"/>
  <c r="AJ55" i="27"/>
  <c r="AJ53" i="27"/>
  <c r="AJ48" i="27"/>
  <c r="AJ54" i="27"/>
  <c r="Z57" i="12"/>
  <c r="AA57" i="11" l="1"/>
  <c r="AJ3" i="27"/>
  <c r="AJ5" i="27"/>
  <c r="AL50" i="27"/>
  <c r="AL49" i="27"/>
  <c r="AJ9" i="27"/>
  <c r="AL48" i="27"/>
  <c r="AL53" i="27"/>
  <c r="AL52" i="27"/>
  <c r="AL56" i="27"/>
  <c r="AJ11" i="27"/>
  <c r="AL51" i="27"/>
  <c r="AU9" i="27"/>
  <c r="AV9" i="27" s="1"/>
  <c r="AW9" i="27" s="1"/>
  <c r="AZ9" i="27" s="1"/>
  <c r="AU11" i="27"/>
  <c r="AV11" i="27" s="1"/>
  <c r="AW11" i="27" s="1"/>
  <c r="AZ11" i="27" s="1"/>
  <c r="AS3" i="27"/>
  <c r="AU5" i="27"/>
  <c r="AV5" i="27" s="1"/>
  <c r="AL54" i="27"/>
  <c r="AL6" i="27"/>
  <c r="AR6" i="27" s="1"/>
  <c r="AS11" i="27"/>
  <c r="AL7" i="27"/>
  <c r="AR7" i="27" s="1"/>
  <c r="AL9" i="27"/>
  <c r="AR9" i="27" s="1"/>
  <c r="AL55" i="27"/>
  <c r="AJ10" i="27"/>
  <c r="AS9" i="27"/>
  <c r="AS8" i="27"/>
  <c r="AL8" i="27"/>
  <c r="AR8" i="27" s="1"/>
  <c r="AS4" i="27"/>
  <c r="AL3" i="27"/>
  <c r="AR3" i="27" s="1"/>
  <c r="AT9" i="27"/>
  <c r="AT11" i="27"/>
  <c r="AU6" i="27"/>
  <c r="AV6" i="27" s="1"/>
  <c r="AT5" i="27"/>
  <c r="AJ4" i="27"/>
  <c r="AS7" i="27"/>
  <c r="AL10" i="27"/>
  <c r="AR10" i="27" s="1"/>
  <c r="AU10" i="27"/>
  <c r="AV10" i="27" s="1"/>
  <c r="AT8" i="27"/>
  <c r="AJ8" i="27"/>
  <c r="AJ7" i="27"/>
  <c r="AT3" i="27"/>
  <c r="AJ6" i="27"/>
  <c r="AS6" i="27"/>
  <c r="AU8" i="27"/>
  <c r="AV8" i="27" s="1"/>
  <c r="AU7" i="27"/>
  <c r="AV7" i="27" s="1"/>
  <c r="AW7" i="27" s="1"/>
  <c r="AZ7" i="27" s="1"/>
  <c r="AU4" i="27"/>
  <c r="AV4" i="27" s="1"/>
  <c r="AT6" i="27"/>
  <c r="AT4" i="27"/>
  <c r="AT10" i="27"/>
  <c r="AJ50" i="27"/>
  <c r="AS10" i="27"/>
  <c r="AT7" i="27"/>
  <c r="AL5" i="27"/>
  <c r="AR5" i="27" s="1"/>
  <c r="AS5" i="27"/>
  <c r="AL4" i="27"/>
  <c r="AR4" i="27" s="1"/>
  <c r="AJ49" i="27"/>
  <c r="AJ51" i="27"/>
  <c r="AU3" i="27"/>
  <c r="AV3" i="27" s="1"/>
  <c r="AW3" i="27" s="1"/>
  <c r="AZ3" i="27" s="1"/>
  <c r="AL11" i="27"/>
  <c r="AR11" i="27" s="1"/>
  <c r="AA57" i="12"/>
  <c r="AB57" i="11" l="1"/>
  <c r="AY8" i="27"/>
  <c r="AV41" i="27"/>
  <c r="AX8" i="27"/>
  <c r="BA8" i="27" s="1"/>
  <c r="AW8" i="27"/>
  <c r="AZ8" i="27" s="1"/>
  <c r="AX10" i="27"/>
  <c r="BA10" i="27" s="1"/>
  <c r="AX6" i="27"/>
  <c r="BA6" i="27" s="1"/>
  <c r="AY11" i="27"/>
  <c r="AV44" i="27"/>
  <c r="AX11" i="27"/>
  <c r="BA11" i="27" s="1"/>
  <c r="AW6" i="27"/>
  <c r="AZ6" i="27" s="1"/>
  <c r="AY6" i="27"/>
  <c r="AV39" i="27"/>
  <c r="AS12" i="27"/>
  <c r="AV36" i="27"/>
  <c r="AX3" i="27"/>
  <c r="BA3" i="27" s="1"/>
  <c r="AS13" i="27"/>
  <c r="AY3" i="27"/>
  <c r="AY7" i="27"/>
  <c r="AV40" i="27"/>
  <c r="AX7" i="27"/>
  <c r="BA7" i="27" s="1"/>
  <c r="AZ13" i="27"/>
  <c r="AZ12" i="27"/>
  <c r="AY9" i="27"/>
  <c r="AV42" i="27"/>
  <c r="AX9" i="27"/>
  <c r="BA9" i="27" s="1"/>
  <c r="AY5" i="27"/>
  <c r="AV38" i="27"/>
  <c r="AW5" i="27"/>
  <c r="AZ5" i="27" s="1"/>
  <c r="AX5" i="27"/>
  <c r="BA5" i="27" s="1"/>
  <c r="AV37" i="27"/>
  <c r="AY4" i="27"/>
  <c r="AW4" i="27"/>
  <c r="AZ4" i="27" s="1"/>
  <c r="AX4" i="27"/>
  <c r="BA4" i="27" s="1"/>
  <c r="AW10" i="27"/>
  <c r="AZ10" i="27" s="1"/>
  <c r="AV43" i="27"/>
  <c r="AY10" i="27"/>
  <c r="AB57" i="12"/>
  <c r="AC57" i="11" l="1"/>
  <c r="AY12" i="27"/>
  <c r="AY13" i="27"/>
  <c r="BA13" i="27"/>
  <c r="BA12" i="27"/>
  <c r="AC57" i="12"/>
  <c r="AD57" i="11" l="1"/>
  <c r="AD57" i="12"/>
  <c r="AE57" i="11" l="1"/>
  <c r="AE57" i="12"/>
  <c r="AF57" i="12" s="1"/>
  <c r="AG57" i="12" s="1"/>
  <c r="AH57" i="12" s="1"/>
  <c r="AI57" i="12" s="1"/>
  <c r="AL48" i="12"/>
  <c r="AF57" i="11" l="1"/>
  <c r="AJ55" i="12"/>
  <c r="AJ53" i="12"/>
  <c r="AL51" i="12"/>
  <c r="AL50" i="12"/>
  <c r="AL54" i="12"/>
  <c r="AJ48" i="12"/>
  <c r="AJ52" i="12"/>
  <c r="AJ50" i="12"/>
  <c r="AL56" i="12"/>
  <c r="AJ49" i="12"/>
  <c r="AJ56" i="12"/>
  <c r="AL49" i="12"/>
  <c r="AJ54" i="12"/>
  <c r="AL55" i="12"/>
  <c r="AJ51" i="12"/>
  <c r="AL53" i="12"/>
  <c r="AG57" i="11" l="1"/>
  <c r="AH57" i="11" s="1"/>
  <c r="AI57" i="11" s="1"/>
  <c r="AJ55" i="11"/>
  <c r="AJ52" i="11"/>
  <c r="AJ49" i="11"/>
  <c r="AJ53" i="11"/>
  <c r="AJ48" i="11"/>
  <c r="AL48" i="11"/>
  <c r="AJ67" i="11" l="1"/>
  <c r="AJ11" i="11"/>
  <c r="AJ66" i="11"/>
  <c r="AJ50" i="11"/>
  <c r="AJ3" i="11"/>
  <c r="AJ63" i="11"/>
  <c r="AJ68" i="11"/>
  <c r="AJ62" i="11"/>
  <c r="AL60" i="11"/>
  <c r="AP60" i="11" s="1"/>
  <c r="AL67" i="11"/>
  <c r="AP67" i="11" s="1"/>
  <c r="AJ64" i="11"/>
  <c r="AJ10" i="11"/>
  <c r="AL65" i="11"/>
  <c r="AP65" i="11" s="1"/>
  <c r="AL66" i="11"/>
  <c r="AP66" i="11" s="1"/>
  <c r="AL68" i="11"/>
  <c r="AP68" i="11" s="1"/>
  <c r="AL64" i="11"/>
  <c r="AP64" i="11" s="1"/>
  <c r="AL63" i="11"/>
  <c r="AP63" i="11" s="1"/>
  <c r="AL61" i="11"/>
  <c r="AP61" i="11" s="1"/>
  <c r="AJ6" i="11"/>
  <c r="AJ9" i="11"/>
  <c r="AL62" i="11"/>
  <c r="AP62" i="11" s="1"/>
  <c r="AJ65" i="11"/>
  <c r="AT8" i="11"/>
  <c r="AJ8" i="11"/>
  <c r="AL3" i="11"/>
  <c r="AR3" i="11" s="1"/>
  <c r="AL4" i="11"/>
  <c r="AL11" i="11"/>
  <c r="AR11" i="11" s="1"/>
  <c r="AJ60" i="11"/>
  <c r="AJ7" i="11"/>
  <c r="AU7" i="11"/>
  <c r="AV7" i="11" s="1"/>
  <c r="AW7" i="11" s="1"/>
  <c r="AZ7" i="11" s="1"/>
  <c r="AJ4" i="11"/>
  <c r="AJ5" i="11"/>
  <c r="AJ61" i="11"/>
  <c r="AS4" i="11"/>
  <c r="AS5" i="11"/>
  <c r="AU10" i="11"/>
  <c r="AV10" i="11" s="1"/>
  <c r="AW10" i="11" s="1"/>
  <c r="AZ10" i="11" s="1"/>
  <c r="AU6" i="11"/>
  <c r="AV6" i="11" s="1"/>
  <c r="AW6" i="11" s="1"/>
  <c r="AZ6" i="11" s="1"/>
  <c r="AT11" i="11"/>
  <c r="AL6" i="11"/>
  <c r="AR6" i="11" s="1"/>
  <c r="AT4" i="11"/>
  <c r="AS11" i="11"/>
  <c r="AS7" i="11"/>
  <c r="AL9" i="11"/>
  <c r="AR9" i="11" s="1"/>
  <c r="AL53" i="11"/>
  <c r="AL5" i="11"/>
  <c r="AR5" i="11" s="1"/>
  <c r="AU5" i="11"/>
  <c r="AV5" i="11" s="1"/>
  <c r="AW5" i="11" s="1"/>
  <c r="AZ5" i="11" s="1"/>
  <c r="AL10" i="11"/>
  <c r="AR10" i="11" s="1"/>
  <c r="AJ54" i="11"/>
  <c r="AU4" i="11"/>
  <c r="AV4" i="11" s="1"/>
  <c r="AW4" i="11" s="1"/>
  <c r="AZ4" i="11" s="1"/>
  <c r="AT5" i="11"/>
  <c r="AL7" i="11"/>
  <c r="AR7" i="11" s="1"/>
  <c r="AS9" i="11"/>
  <c r="AS3" i="11"/>
  <c r="AU3" i="11"/>
  <c r="AV3" i="11" s="1"/>
  <c r="AT10" i="11"/>
  <c r="AS6" i="11"/>
  <c r="AT7" i="11"/>
  <c r="AU9" i="11"/>
  <c r="AV9" i="11" s="1"/>
  <c r="AW9" i="11" s="1"/>
  <c r="AZ9" i="11" s="1"/>
  <c r="AJ56" i="11"/>
  <c r="AS10" i="11"/>
  <c r="AL52" i="11"/>
  <c r="AS8" i="11"/>
  <c r="AT6" i="11"/>
  <c r="AU11" i="11"/>
  <c r="AV11" i="11" s="1"/>
  <c r="AW11" i="11" s="1"/>
  <c r="AZ11" i="11" s="1"/>
  <c r="AT3" i="11"/>
  <c r="AL49" i="11"/>
  <c r="AL8" i="11"/>
  <c r="AR8" i="11" s="1"/>
  <c r="AJ51" i="11"/>
  <c r="AU8" i="11"/>
  <c r="AV8" i="11" s="1"/>
  <c r="AW8" i="11" s="1"/>
  <c r="AZ8" i="11" s="1"/>
  <c r="AT9" i="11"/>
  <c r="AL50" i="11"/>
  <c r="AL55" i="11"/>
  <c r="AL54" i="11"/>
  <c r="AL56" i="11"/>
  <c r="AL51" i="11"/>
  <c r="AY7" i="11" l="1"/>
  <c r="AX7" i="11"/>
  <c r="BA7" i="11" s="1"/>
  <c r="AY11" i="11"/>
  <c r="AX11" i="11"/>
  <c r="BA11" i="11" s="1"/>
  <c r="AY5" i="11"/>
  <c r="AX5" i="11"/>
  <c r="BA5" i="11" s="1"/>
  <c r="AY4" i="11"/>
  <c r="AP20" i="11"/>
  <c r="AX4" i="11"/>
  <c r="BA4" i="11" s="1"/>
  <c r="AY6" i="11"/>
  <c r="AX6" i="11"/>
  <c r="BA6" i="11" s="1"/>
  <c r="AY10" i="11"/>
  <c r="AX10" i="11"/>
  <c r="BA10" i="11" s="1"/>
  <c r="AS13" i="11"/>
  <c r="AS12" i="11"/>
  <c r="AY3" i="11"/>
  <c r="AX3" i="11"/>
  <c r="BA3" i="11" s="1"/>
  <c r="AW3" i="11"/>
  <c r="AZ3" i="11" s="1"/>
  <c r="AY9" i="11"/>
  <c r="AX9" i="11"/>
  <c r="BA9" i="11" s="1"/>
  <c r="AY8" i="11"/>
  <c r="AX8" i="11"/>
  <c r="BA8" i="11" s="1"/>
  <c r="AL14" i="11"/>
  <c r="AM14" i="11" s="1"/>
  <c r="AR4" i="11"/>
  <c r="BA13" i="11" l="1"/>
  <c r="BA12" i="11"/>
  <c r="AZ13" i="11"/>
  <c r="AZ12" i="11"/>
  <c r="AY12" i="11"/>
  <c r="AY13"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<sst xmlns="http://schemas.openxmlformats.org/spreadsheetml/2006/main" count="7111" uniqueCount="2290">
  <si>
    <t>State Energy Data System (SEDS): 2023 Updates by energy source</t>
  </si>
  <si>
    <t>https://www.eia.gov/state/seds/seds-data-fuel.php?sid=MA</t>
  </si>
  <si>
    <t>Consolidated data file (in long format with over 2.1 million records)</t>
  </si>
  <si>
    <t>1960-2023</t>
  </si>
  <si>
    <t>Update date</t>
  </si>
  <si>
    <t>Consumption, price, expenditure, production, and indicators estimates</t>
  </si>
  <si>
    <t>Updated 03/28/2025</t>
  </si>
  <si>
    <t>https://www.eia.gov/state/seds/sep_update/Complete_SEDS_update.csv</t>
  </si>
  <si>
    <t>CSV</t>
  </si>
  <si>
    <t>It generates emissions estimates using EIA CO2 Coefficients</t>
  </si>
  <si>
    <t>https://www.eia.gov/environment/emissions/co2_vol_mass.php</t>
  </si>
  <si>
    <t>Validation benchmarks are</t>
  </si>
  <si>
    <t>Table CT4 -- residential emissions</t>
  </si>
  <si>
    <t>MA Greenhouse gas inventory</t>
  </si>
  <si>
    <t>Data series names (MSN) and descriptions</t>
  </si>
  <si>
    <t>The MSNs are five-character codes, most of which are structured as follows:</t>
  </si>
  <si>
    <t>First and second characters - describes an energy source (for example, NG for natural gas, MG for motor gasoline)</t>
  </si>
  <si>
    <t>Third and fourth characters - describes an energy sector or an energy activity (for example, RC for residential consumption, PR for production)</t>
  </si>
  <si>
    <t>Fifth character - describes a type of data (for example, P for data in physical unit, B for data in billion Btu)</t>
  </si>
  <si>
    <t>MSN</t>
  </si>
  <si>
    <t>Description</t>
  </si>
  <si>
    <t>Unit</t>
  </si>
  <si>
    <t>BDRCB</t>
  </si>
  <si>
    <t>Biodiesel consumed by the residential sector</t>
  </si>
  <si>
    <t>Billion Btu</t>
  </si>
  <si>
    <t>RC</t>
  </si>
  <si>
    <t>CLRCB</t>
  </si>
  <si>
    <t>Coal consumed by the residential sector</t>
  </si>
  <si>
    <t>DARCB</t>
  </si>
  <si>
    <t>Distillate fuel oil, biodiesel, and renewable diesel consumed by the residential sector</t>
  </si>
  <si>
    <t>DFRCB</t>
  </si>
  <si>
    <t>Distillate fuel oil consumed by the residential sector</t>
  </si>
  <si>
    <t>DMRCB</t>
  </si>
  <si>
    <t>Distillate fuel oil, excluding biofuels, consumed by the residential sector</t>
  </si>
  <si>
    <t>ESRCB</t>
  </si>
  <si>
    <t>Electricity consumed by (sales to ultimate customers in) the residential sector</t>
  </si>
  <si>
    <t>GERCB</t>
  </si>
  <si>
    <t>Geothermal energy consumed by the residential sector</t>
  </si>
  <si>
    <t>HLRCB</t>
  </si>
  <si>
    <t>Hydrocarbon gas liquids consumed by the residential sector</t>
  </si>
  <si>
    <t>KSRCB</t>
  </si>
  <si>
    <t>Kerosene consumed by the residential sector</t>
  </si>
  <si>
    <t>LORCB</t>
  </si>
  <si>
    <t>The residential sector's share of electrical system energy losses</t>
  </si>
  <si>
    <t>NGRCB</t>
  </si>
  <si>
    <t>Natural gas delivered to the residential sector, used as consumption (including supplemental gaseous fuels)</t>
  </si>
  <si>
    <t>OPRCB</t>
  </si>
  <si>
    <t>Other petroleum products consumed by the residential sector</t>
  </si>
  <si>
    <t>PARCB</t>
  </si>
  <si>
    <t>All petroleum products consumed by the residential sector</t>
  </si>
  <si>
    <t>PMRCB</t>
  </si>
  <si>
    <t>All petroleum products, excluding biofuels, consumed by the residential sector</t>
  </si>
  <si>
    <t>PQRCB</t>
  </si>
  <si>
    <t>Propane consumed by the residential sector</t>
  </si>
  <si>
    <t>RERCB</t>
  </si>
  <si>
    <t>Renewable energy sources consumed by the residential sector</t>
  </si>
  <si>
    <t>SFRCB</t>
  </si>
  <si>
    <t>Supplemental gaseous fuels consumed by the residential sector</t>
  </si>
  <si>
    <t>SORCB</t>
  </si>
  <si>
    <t>Solar energy consumed by the residential sector</t>
  </si>
  <si>
    <t>TERCB</t>
  </si>
  <si>
    <t>Total energy consumption in the residential sector</t>
  </si>
  <si>
    <t>TNRCB</t>
  </si>
  <si>
    <t>End-use energy consumption in the residential sector</t>
  </si>
  <si>
    <t>WDRCB</t>
  </si>
  <si>
    <t>Wood energy consumed by the residential sector</t>
  </si>
  <si>
    <t>ABICB</t>
  </si>
  <si>
    <t>Aviation gasoline blending components consumed by the industrial sector</t>
  </si>
  <si>
    <t>ABICP</t>
  </si>
  <si>
    <t>Thousand barrels</t>
  </si>
  <si>
    <t>ARICB</t>
  </si>
  <si>
    <t>Asphalt and road oil consumed by the industrial sector</t>
  </si>
  <si>
    <t>ARICD</t>
  </si>
  <si>
    <t>Asphalt and road oil price in the industrial sector</t>
  </si>
  <si>
    <t>Dollars per million Btu</t>
  </si>
  <si>
    <t>ARICP</t>
  </si>
  <si>
    <t>ARICV</t>
  </si>
  <si>
    <t>Asphalt and road oil expenditures in the industrial sector</t>
  </si>
  <si>
    <t>Million dollars</t>
  </si>
  <si>
    <t>ARTCB</t>
  </si>
  <si>
    <t>Asphalt and road oil total consumption</t>
  </si>
  <si>
    <t>ARTCD</t>
  </si>
  <si>
    <t>Asphalt and road oil average price, all sectors</t>
  </si>
  <si>
    <t>ARTCP</t>
  </si>
  <si>
    <t>ARTCV</t>
  </si>
  <si>
    <t>Asphalt and road oil total expenditures</t>
  </si>
  <si>
    <t>ARTXB</t>
  </si>
  <si>
    <t>Asphalt and road oil total end-use consumption</t>
  </si>
  <si>
    <t>ARTXD</t>
  </si>
  <si>
    <t>Asphalt and road oil average price, all end-use sectors</t>
  </si>
  <si>
    <t>ARTXP</t>
  </si>
  <si>
    <t>ARTXV</t>
  </si>
  <si>
    <t>Asphalt and road oil total end-use expenditures</t>
  </si>
  <si>
    <t>AVACB</t>
  </si>
  <si>
    <t>Aviation gasoline consumed by the transportation sector</t>
  </si>
  <si>
    <t>AVACD</t>
  </si>
  <si>
    <t>Aviation gasoline price in the transportation sector</t>
  </si>
  <si>
    <t>AVACP</t>
  </si>
  <si>
    <t>AVACV</t>
  </si>
  <si>
    <t>Aviation gasoline expenditures in the transportation sector</t>
  </si>
  <si>
    <t>AVTCB</t>
  </si>
  <si>
    <t>Aviation gasoline total consumption</t>
  </si>
  <si>
    <t>AVTCD</t>
  </si>
  <si>
    <t>Aviation gasoline average price, all sectors</t>
  </si>
  <si>
    <t>AVTCP</t>
  </si>
  <si>
    <t>AVTCV</t>
  </si>
  <si>
    <t>Aviation gasoline total expenditures</t>
  </si>
  <si>
    <t>AVTXB</t>
  </si>
  <si>
    <t>Aviation gasoline total end-use consumption</t>
  </si>
  <si>
    <t>AVTXD</t>
  </si>
  <si>
    <t>Aviation gasoline average price, all end-use sectors</t>
  </si>
  <si>
    <t>AVTXP</t>
  </si>
  <si>
    <t>AVTXV</t>
  </si>
  <si>
    <t>Aviation gasoline total end-use expenditures</t>
  </si>
  <si>
    <t>B1ABB</t>
  </si>
  <si>
    <t>Renewable diesel refinery and blender net inputs portion to the transportation sector</t>
  </si>
  <si>
    <t>B1ABP</t>
  </si>
  <si>
    <t>B1ACB</t>
  </si>
  <si>
    <t>Renewable diesel consumed by the transportation sector</t>
  </si>
  <si>
    <t>B1ACP</t>
  </si>
  <si>
    <t>B1AUB</t>
  </si>
  <si>
    <t>Renewable diesel product supplied portion to the transportation sector</t>
  </si>
  <si>
    <t>B1AUP</t>
  </si>
  <si>
    <t>B1PRB</t>
  </si>
  <si>
    <t>Renewable diesel production</t>
  </si>
  <si>
    <t>B1PRP</t>
  </si>
  <si>
    <t>B1RIB</t>
  </si>
  <si>
    <t>Renewable diesel refinery and blender net inputs</t>
  </si>
  <si>
    <t>B1RIP</t>
  </si>
  <si>
    <t>B1TCB</t>
  </si>
  <si>
    <t>Renewable diesel total consumption</t>
  </si>
  <si>
    <t>B1TCP</t>
  </si>
  <si>
    <t>BDABB</t>
  </si>
  <si>
    <t>Biodiesel refinery and blender net inputs portion to the transportation sector</t>
  </si>
  <si>
    <t>BDABP</t>
  </si>
  <si>
    <t>BDACB</t>
  </si>
  <si>
    <t>Biodiesel consumed by the transportation sector</t>
  </si>
  <si>
    <t>BDACP</t>
  </si>
  <si>
    <t>BDAUB</t>
  </si>
  <si>
    <t>Biodiesel product supplied portion to the transportation sector</t>
  </si>
  <si>
    <t>BDAUP</t>
  </si>
  <si>
    <t>BDCBB</t>
  </si>
  <si>
    <t>Biodiesel refinery and blender net inputs portion to the commercial sector</t>
  </si>
  <si>
    <t>BDCBP</t>
  </si>
  <si>
    <t>BDCCB</t>
  </si>
  <si>
    <t>Biodiesel consumed by the commercial sector</t>
  </si>
  <si>
    <t>BDCCP</t>
  </si>
  <si>
    <t>BDCUB</t>
  </si>
  <si>
    <t>Biodiesel product supplied portion to the commercial sector</t>
  </si>
  <si>
    <t>BDCUP</t>
  </si>
  <si>
    <t>BDEIB</t>
  </si>
  <si>
    <t>Biodiesel consumed by the electric power sector</t>
  </si>
  <si>
    <t>BDEIK</t>
  </si>
  <si>
    <t>Factor for converting biodiesel consumed by the electric power sector from physical units to Btu</t>
  </si>
  <si>
    <t>Million Btu per barrel</t>
  </si>
  <si>
    <t>BDEIP</t>
  </si>
  <si>
    <t>BDEUB</t>
  </si>
  <si>
    <t>Biodiesel product supplied portion to the electric power sector</t>
  </si>
  <si>
    <t>BDEUP</t>
  </si>
  <si>
    <t>BDFDB</t>
  </si>
  <si>
    <t>Biodiesel production (total biomass inputs as feedstock), including liquids and losses &amp; co-products</t>
  </si>
  <si>
    <t>BDLCB</t>
  </si>
  <si>
    <t>Energy losses and co-products from the production of biodiesel</t>
  </si>
  <si>
    <t>BDPRP</t>
  </si>
  <si>
    <t>Biodiesel liquids production</t>
  </si>
  <si>
    <t>BDRBB</t>
  </si>
  <si>
    <t>Biodiesel refinery and blender net inputs portion to the residential sector</t>
  </si>
  <si>
    <t>BDRBP</t>
  </si>
  <si>
    <t>BDRCP</t>
  </si>
  <si>
    <t>BDRIB</t>
  </si>
  <si>
    <t>Biodiesel total refinery and blender net inputs</t>
  </si>
  <si>
    <t>BDRIP</t>
  </si>
  <si>
    <t>BDRUB</t>
  </si>
  <si>
    <t>Biodiesel product supplied portion to the residential sector</t>
  </si>
  <si>
    <t>BDRUP</t>
  </si>
  <si>
    <t>BDSAB</t>
  </si>
  <si>
    <t>Adjusted total biodiesel consumption blended with distillate fuel oil, portion to the transportation sector (2009 through 2011 only)</t>
  </si>
  <si>
    <t>BDSAP</t>
  </si>
  <si>
    <t>BDSUB</t>
  </si>
  <si>
    <t>Biodiesel product supplied</t>
  </si>
  <si>
    <t>BDSUP</t>
  </si>
  <si>
    <t>BDTCB</t>
  </si>
  <si>
    <t>Biodiesel total consumption</t>
  </si>
  <si>
    <t>BDTCK</t>
  </si>
  <si>
    <t>Factor for converting biodiesel total consumption from physical units to Btu</t>
  </si>
  <si>
    <t>BDTCP</t>
  </si>
  <si>
    <t>BDTXB</t>
  </si>
  <si>
    <t>Biodiesel total end-use consumption</t>
  </si>
  <si>
    <t>BDTXK</t>
  </si>
  <si>
    <t>Factor for converting biodiesel used by end-use sectors from physical units to Btu</t>
  </si>
  <si>
    <t>BDTXP</t>
  </si>
  <si>
    <t>BDXUB</t>
  </si>
  <si>
    <t>Biodiesel product supplied portion to the end-use sectors</t>
  </si>
  <si>
    <t>BDXUP</t>
  </si>
  <si>
    <t>BFLCB</t>
  </si>
  <si>
    <t>Energy losses and co-products from the production of biofuels</t>
  </si>
  <si>
    <t>BFPRB</t>
  </si>
  <si>
    <t>Biofuels production (total biomass inputs as feedstock), including liquids and losses &amp; co-products</t>
  </si>
  <si>
    <t>BFPRP</t>
  </si>
  <si>
    <t>Biofuels liquid production</t>
  </si>
  <si>
    <t>BFTCB</t>
  </si>
  <si>
    <t>Biofuels total consumption</t>
  </si>
  <si>
    <t>BMCAS</t>
  </si>
  <si>
    <t>Biomass generating units capacity factor</t>
  </si>
  <si>
    <t>Percent</t>
  </si>
  <si>
    <t>BMTCB</t>
  </si>
  <si>
    <t>Biomass total consumption</t>
  </si>
  <si>
    <t>BOABB</t>
  </si>
  <si>
    <t>Other biofuels refinery and blender net inputs portion to the transportation sector for the United States</t>
  </si>
  <si>
    <t>BOABP</t>
  </si>
  <si>
    <t>BOACB</t>
  </si>
  <si>
    <t xml:space="preserve">Other biofuels consumed by the transportation sector for the United States </t>
  </si>
  <si>
    <t>BOACP</t>
  </si>
  <si>
    <t>BOAUB</t>
  </si>
  <si>
    <t>Other biofuels product supplied portion to the transportation sector for the United States</t>
  </si>
  <si>
    <t>BOAUP</t>
  </si>
  <si>
    <t>BOPRB</t>
  </si>
  <si>
    <t>Other biofuels total production for the United States</t>
  </si>
  <si>
    <t>BOPRP</t>
  </si>
  <si>
    <t>BORIB</t>
  </si>
  <si>
    <t>Other biofuels refinery and blender net inputs for the United States</t>
  </si>
  <si>
    <t>BORIP</t>
  </si>
  <si>
    <t>BOTCB</t>
  </si>
  <si>
    <t>Other biofuels total consumption for the United States</t>
  </si>
  <si>
    <t>BOTCP</t>
  </si>
  <si>
    <t>BQICB</t>
  </si>
  <si>
    <t>Normal butane consumed by the industrial sector</t>
  </si>
  <si>
    <t>BQICP</t>
  </si>
  <si>
    <t>BQTCB</t>
  </si>
  <si>
    <t>Normal butane total consumption</t>
  </si>
  <si>
    <t>BQTCP</t>
  </si>
  <si>
    <t>BTCAS</t>
  </si>
  <si>
    <t>Battery storage generating units usage factor</t>
  </si>
  <si>
    <t>BTGBP</t>
  </si>
  <si>
    <t>Battery storage units net summer capacity in all sectors</t>
  </si>
  <si>
    <t>Thousand kilowatts</t>
  </si>
  <si>
    <t>BTVHN</t>
  </si>
  <si>
    <t>Battery electric vehicle (BEV) light-duty stocks</t>
  </si>
  <si>
    <t>Thousands of registered vehicles</t>
  </si>
  <si>
    <t>BTVHP</t>
  </si>
  <si>
    <t>Electricity consumed for battery electric vehicle (BEV) use</t>
  </si>
  <si>
    <t>Million kilowatthours</t>
  </si>
  <si>
    <t>BXSUB</t>
  </si>
  <si>
    <t>Total biofuels (excluding fuel ethanol) product supplied</t>
  </si>
  <si>
    <t>BXSUP</t>
  </si>
  <si>
    <t>BYICB</t>
  </si>
  <si>
    <t>Butylene from refineries consumed by the industrial sector</t>
  </si>
  <si>
    <t>BYICP</t>
  </si>
  <si>
    <t>BYTCB</t>
  </si>
  <si>
    <t>Butylene from refineries total consumption</t>
  </si>
  <si>
    <t>BYTCP</t>
  </si>
  <si>
    <t>CCEXB</t>
  </si>
  <si>
    <t xml:space="preserve">Coal coke exported from the United States </t>
  </si>
  <si>
    <t>CCEXD</t>
  </si>
  <si>
    <t>Coal coke exports average price, United States</t>
  </si>
  <si>
    <t>CCEXP</t>
  </si>
  <si>
    <t>Thousand short tons</t>
  </si>
  <si>
    <t>CCEXV</t>
  </si>
  <si>
    <t>Coal coke exports expenditures, United States</t>
  </si>
  <si>
    <t>CCIMB</t>
  </si>
  <si>
    <t>Coal coke imported into the United States</t>
  </si>
  <si>
    <t>CCIMD</t>
  </si>
  <si>
    <t>Coal coke imports average price, United States</t>
  </si>
  <si>
    <t>CCIMP</t>
  </si>
  <si>
    <t>CCIMV</t>
  </si>
  <si>
    <t>Coal coke imports expenditures, United States</t>
  </si>
  <si>
    <t>CCNIB</t>
  </si>
  <si>
    <t>Coal coke net imports into the United States</t>
  </si>
  <si>
    <t>CCNIP</t>
  </si>
  <si>
    <t>CCNIV</t>
  </si>
  <si>
    <t>Coal coke net imports expenditures, United States</t>
  </si>
  <si>
    <t>CLACB</t>
  </si>
  <si>
    <t>Coal consumed by the transportation sector</t>
  </si>
  <si>
    <t>CLACD</t>
  </si>
  <si>
    <t>Coal price in the transportation sector</t>
  </si>
  <si>
    <t>CLACK</t>
  </si>
  <si>
    <t>Factor for converting coal consumed by the transportation sector from physical units to Btu</t>
  </si>
  <si>
    <t>Million Btu per short ton</t>
  </si>
  <si>
    <t>CLACP</t>
  </si>
  <si>
    <t>CLACV</t>
  </si>
  <si>
    <t>Coal expenditures in the transportation sector</t>
  </si>
  <si>
    <t>CLCAS</t>
  </si>
  <si>
    <t>Coal generating units capacity factor</t>
  </si>
  <si>
    <t>CLCCB</t>
  </si>
  <si>
    <t>Coal consumed by the commercial sector</t>
  </si>
  <si>
    <t>CLCCD</t>
  </si>
  <si>
    <t>Coal price in the commercial sector</t>
  </si>
  <si>
    <t>CLCCP</t>
  </si>
  <si>
    <t>CLCCV</t>
  </si>
  <si>
    <t>Coal expenditures in the commercial sector</t>
  </si>
  <si>
    <t>CLEIB</t>
  </si>
  <si>
    <t>Coal consumed by the electric power sector</t>
  </si>
  <si>
    <t>CLEID</t>
  </si>
  <si>
    <t>Coal price in the electric power sector</t>
  </si>
  <si>
    <t>CLEIK</t>
  </si>
  <si>
    <t>Factor for converting coal consumed by the electric power sector from physical units to Btu</t>
  </si>
  <si>
    <t>CLEIP</t>
  </si>
  <si>
    <t>CLEIV</t>
  </si>
  <si>
    <t>Coal expenditures in the electric power sector</t>
  </si>
  <si>
    <t>CLGBP</t>
  </si>
  <si>
    <t>Coal generating units net summer capacity in all sectors</t>
  </si>
  <si>
    <t>CLHCK</t>
  </si>
  <si>
    <t>Factor for converting coal consumed by the residential and commercial sectors from physical units to Btu</t>
  </si>
  <si>
    <t>CLICB</t>
  </si>
  <si>
    <t>Coal consumed by the industrial sector</t>
  </si>
  <si>
    <t>CLICD</t>
  </si>
  <si>
    <t>Coal price in the industrial sector</t>
  </si>
  <si>
    <t>CLICP</t>
  </si>
  <si>
    <t>CLICV</t>
  </si>
  <si>
    <t>Coal expenditures in the industrial sector</t>
  </si>
  <si>
    <t>CLISB</t>
  </si>
  <si>
    <t>Coal consumed by the industrial sector excluding refinery fuel</t>
  </si>
  <si>
    <t>CLKCB</t>
  </si>
  <si>
    <t>Coal consumed at coke plants (coking coal)</t>
  </si>
  <si>
    <t>CLKCD</t>
  </si>
  <si>
    <t>Coal price at coke plants</t>
  </si>
  <si>
    <t>CLKCK</t>
  </si>
  <si>
    <t>Factor for converting coal consumed at coke plants from physical units to Btu</t>
  </si>
  <si>
    <t>CLKCP</t>
  </si>
  <si>
    <t>Coal consumed by coke plants (coking coal)</t>
  </si>
  <si>
    <t>CLKCV</t>
  </si>
  <si>
    <t>Coal expenditures at coke plants</t>
  </si>
  <si>
    <t>CLOCB</t>
  </si>
  <si>
    <t>Coal consumed by industrial users other than coke plants</t>
  </si>
  <si>
    <t>CLOCD</t>
  </si>
  <si>
    <t>Coal price in the industrial sector other than coke plants</t>
  </si>
  <si>
    <t>CLOCK</t>
  </si>
  <si>
    <t>Factor for converting coal consumed by industrial users other than coke plants from physical units to Btu</t>
  </si>
  <si>
    <t>CLOCP</t>
  </si>
  <si>
    <t>CLOCV</t>
  </si>
  <si>
    <t>Coal expenditures in the industrial sector other than coke plants</t>
  </si>
  <si>
    <t>CLOSB</t>
  </si>
  <si>
    <t>Coal consumed by the industrial sector other than coke plants excluding refinery fuel</t>
  </si>
  <si>
    <t>CLPRB</t>
  </si>
  <si>
    <t>Coal production</t>
  </si>
  <si>
    <t>CLPRK</t>
  </si>
  <si>
    <t>Factor for converting coal production from physical units to Btu</t>
  </si>
  <si>
    <t>CLPRP</t>
  </si>
  <si>
    <t>CLRCD</t>
  </si>
  <si>
    <t>Coal price in the residential sector</t>
  </si>
  <si>
    <t>CLRCP</t>
  </si>
  <si>
    <t>CLRCV</t>
  </si>
  <si>
    <t>Coal expenditures in the residential sector</t>
  </si>
  <si>
    <t>CLRFB</t>
  </si>
  <si>
    <t>Coal consumed as refinery fuel</t>
  </si>
  <si>
    <t>CLSCB</t>
  </si>
  <si>
    <t>Coal total consumption adjusted for process fuel</t>
  </si>
  <si>
    <t>CLTCB</t>
  </si>
  <si>
    <t>Coal total consumption</t>
  </si>
  <si>
    <t>CLTCD</t>
  </si>
  <si>
    <t>Coal average price, all sectors</t>
  </si>
  <si>
    <t>CLTCP</t>
  </si>
  <si>
    <t>CLTCV</t>
  </si>
  <si>
    <t>Coal total expenditures</t>
  </si>
  <si>
    <t>CLTXB</t>
  </si>
  <si>
    <t>Coal total end-use consumption</t>
  </si>
  <si>
    <t>CLTXD</t>
  </si>
  <si>
    <t>Coal average price, all end-use sectors</t>
  </si>
  <si>
    <t>CLTXP</t>
  </si>
  <si>
    <t>CLTXV</t>
  </si>
  <si>
    <t>Coal total end-use expenditures</t>
  </si>
  <si>
    <t>COICB</t>
  </si>
  <si>
    <t>Crude oil consumed by the industrial sector</t>
  </si>
  <si>
    <t>COICP</t>
  </si>
  <si>
    <t>COPRK</t>
  </si>
  <si>
    <t>Factor for converting crude oil production from physical units to Btu for the United States</t>
  </si>
  <si>
    <t>CYCAS</t>
  </si>
  <si>
    <t>Natural gas combined cycle generating units capacity factor</t>
  </si>
  <si>
    <t>DAACB</t>
  </si>
  <si>
    <t>Distillate fuel oil, biodiesel, and renewable diesel consumed by the transportation sector</t>
  </si>
  <si>
    <t>DAACP</t>
  </si>
  <si>
    <t>DACCB</t>
  </si>
  <si>
    <t>Distillate fuel oil, biodiesel, and renewable diesel consumed by the commercial sector</t>
  </si>
  <si>
    <t>DACCP</t>
  </si>
  <si>
    <t>DAEIB</t>
  </si>
  <si>
    <t>Distillate fuel oil, biodiesel, and renewable diesel consumed by the electric power sector</t>
  </si>
  <si>
    <t>DAEIP</t>
  </si>
  <si>
    <t>DAICB</t>
  </si>
  <si>
    <t>Distillate fuel oil, biodiesel, and renewable diesel consumed by the industrial sector</t>
  </si>
  <si>
    <t>DAICP</t>
  </si>
  <si>
    <t>DARCP</t>
  </si>
  <si>
    <t>DATCB</t>
  </si>
  <si>
    <t>Total distillate fuel oil, biodiesel, and renewable diesel consumption</t>
  </si>
  <si>
    <t>DATCP</t>
  </si>
  <si>
    <t>DFACB</t>
  </si>
  <si>
    <t>Distillate fuel oil consumed by the transportation sector</t>
  </si>
  <si>
    <t>DFACD</t>
  </si>
  <si>
    <t>Distillate fuel oil price in the transportation sector</t>
  </si>
  <si>
    <t>DFACP</t>
  </si>
  <si>
    <t>DFACV</t>
  </si>
  <si>
    <t>Distillate fuel oil expenditures in the transportation sector</t>
  </si>
  <si>
    <t>DFASB</t>
  </si>
  <si>
    <t>Distillate fuel oil consumed by the transportation sector including biofuels product supplied</t>
  </si>
  <si>
    <t>DFCCB</t>
  </si>
  <si>
    <t>Distillate fuel oil consumed by the commercial sector</t>
  </si>
  <si>
    <t>DFCCD</t>
  </si>
  <si>
    <t>Distillate fuel oil price in the commercial sector</t>
  </si>
  <si>
    <t>DFCCP</t>
  </si>
  <si>
    <t>DFCCV</t>
  </si>
  <si>
    <t>Distillate fuel oil expenditures in the commercial sector</t>
  </si>
  <si>
    <t>DFCSB</t>
  </si>
  <si>
    <t>Distillate fuel oil consumed by the commercial sector including biofuels product supplied</t>
  </si>
  <si>
    <t>DFEIB</t>
  </si>
  <si>
    <t>Distillate fuel oil consumed by the electric power sector</t>
  </si>
  <si>
    <t>DFEID</t>
  </si>
  <si>
    <t>Distillate fuel oil price in the electric power sector</t>
  </si>
  <si>
    <t>DFEIP</t>
  </si>
  <si>
    <t>DFEIV</t>
  </si>
  <si>
    <t>Distillate fuel oil expenditures in the electric power sector</t>
  </si>
  <si>
    <t>DFICB</t>
  </si>
  <si>
    <t>Distillate fuel oil consumed by the industrial sector</t>
  </si>
  <si>
    <t>DFICD</t>
  </si>
  <si>
    <t>Distillate fuel oil price in the industrial sector</t>
  </si>
  <si>
    <t>DFICP</t>
  </si>
  <si>
    <t>DFICV</t>
  </si>
  <si>
    <t>Distillate fuel oil expenditures in the industrial sector</t>
  </si>
  <si>
    <t>DFISB</t>
  </si>
  <si>
    <t>Distillate fuel oil consumed by the industrial sector excluding refinery fuel</t>
  </si>
  <si>
    <t>DFRCD</t>
  </si>
  <si>
    <t>Distillate fuel oil price in the residential sector</t>
  </si>
  <si>
    <t>DFRCP</t>
  </si>
  <si>
    <t>DFRCV</t>
  </si>
  <si>
    <t>Distillate fuel oil expenditures in the residential sector</t>
  </si>
  <si>
    <t>DFRFB</t>
  </si>
  <si>
    <t>Distillate fuel oil consumed as refinery fuel</t>
  </si>
  <si>
    <t>DFRSB</t>
  </si>
  <si>
    <t>Distillate fuel oil consumed by the residential sector including biofuels product supplied</t>
  </si>
  <si>
    <t>DFSCB</t>
  </si>
  <si>
    <t>Distillate fuel oil total consumption adjusted for process fuel</t>
  </si>
  <si>
    <t>DFTCB</t>
  </si>
  <si>
    <t>Distillate fuel oil total consumption</t>
  </si>
  <si>
    <t>DFTCD</t>
  </si>
  <si>
    <t>Distillate fuel oil average price, all sectors</t>
  </si>
  <si>
    <t>DFTCK</t>
  </si>
  <si>
    <t>Factor for converting distillate fuel from physical units to Btu</t>
  </si>
  <si>
    <t>DFTCP</t>
  </si>
  <si>
    <t>DFTCV</t>
  </si>
  <si>
    <t>Distillate fuel oil total expenditures</t>
  </si>
  <si>
    <t>DFTXB</t>
  </si>
  <si>
    <t>Distillate fuel oil total end-use consumption</t>
  </si>
  <si>
    <t>DFTXD</t>
  </si>
  <si>
    <t>Distillate fuel oil average price, all end-use sectors</t>
  </si>
  <si>
    <t>DFTXP</t>
  </si>
  <si>
    <t>DFTXV</t>
  </si>
  <si>
    <t>Distillate fuel oil total end-use expenditures</t>
  </si>
  <si>
    <t>DKEIB</t>
  </si>
  <si>
    <t>Distillate fuel oil (including kerosene-type jet fuel before 2001) consumed by the electric power sector</t>
  </si>
  <si>
    <t>DKEID</t>
  </si>
  <si>
    <t>Distillate fuel oil (including kerosene-type jet fuel before 2001) average price in the electric power sector</t>
  </si>
  <si>
    <t>DKEIP</t>
  </si>
  <si>
    <t>DKEIV</t>
  </si>
  <si>
    <t>Distillate fuel oil (including kerosene-type jet fuel before 2001) expenditures in the electric power sector</t>
  </si>
  <si>
    <t>DMACB</t>
  </si>
  <si>
    <t>Distillate fuel oil, excluding biodiesel and renewable diesel, consumed by the transportation sector</t>
  </si>
  <si>
    <t>DMACP</t>
  </si>
  <si>
    <t>DMCCB</t>
  </si>
  <si>
    <t>Distillate fuel oil, excluding biofuels, consumed by the commercial sector</t>
  </si>
  <si>
    <t>DMCCP</t>
  </si>
  <si>
    <t>DMEIB</t>
  </si>
  <si>
    <t>Distillate fuel oil, excluding biofuels, consumed by the electric power sector</t>
  </si>
  <si>
    <t>DMEIP</t>
  </si>
  <si>
    <t>DMICB</t>
  </si>
  <si>
    <t>Distillate fuel oil, excluding biofuels, consumed by the industrial sector</t>
  </si>
  <si>
    <t>DMICP</t>
  </si>
  <si>
    <t>DMRCP</t>
  </si>
  <si>
    <t>DMTCB</t>
  </si>
  <si>
    <t>Distillate fuel oil, excluding biodiesel and renewable diesel, total consumption</t>
  </si>
  <si>
    <t>DMTCK</t>
  </si>
  <si>
    <t>Factor for converting distillate fuel, excluding biodiesel and renewable diesel, from physical units to Btu</t>
  </si>
  <si>
    <t>DMTCP</t>
  </si>
  <si>
    <t>ELEXB</t>
  </si>
  <si>
    <t>Electricity exported from the United States</t>
  </si>
  <si>
    <t>ELEXD</t>
  </si>
  <si>
    <t>Electricity exports average price</t>
  </si>
  <si>
    <t>ELEXP</t>
  </si>
  <si>
    <t>ELEXV</t>
  </si>
  <si>
    <t>Electricity exports expenditures</t>
  </si>
  <si>
    <t>ELGBP</t>
  </si>
  <si>
    <t>Total (all fuels) electric generating units net summer capacity in all sectors</t>
  </si>
  <si>
    <t>ELIMB</t>
  </si>
  <si>
    <t>Electricity imported into the United States</t>
  </si>
  <si>
    <t>ELIMD</t>
  </si>
  <si>
    <t>Electricity imports average price</t>
  </si>
  <si>
    <t>ELIMP</t>
  </si>
  <si>
    <t>ELIMV</t>
  </si>
  <si>
    <t>Electricity imports expenditures</t>
  </si>
  <si>
    <t>ELISB</t>
  </si>
  <si>
    <t>Net interstate flow of electricity and associated losses (negative indicates flow out of state)</t>
  </si>
  <si>
    <t>ELISP</t>
  </si>
  <si>
    <t>Net interstate flow of electricity (negative indicates flow out of state)</t>
  </si>
  <si>
    <t>ELNIB</t>
  </si>
  <si>
    <t>Net imports of electricity into the United States</t>
  </si>
  <si>
    <t>ELNIP</t>
  </si>
  <si>
    <t>ELVHN</t>
  </si>
  <si>
    <t>Total electric vehicle (EV) light-duty stocks</t>
  </si>
  <si>
    <t>ELVHS</t>
  </si>
  <si>
    <t>Electric vehicle (EV) share of total light-duty vehicles</t>
  </si>
  <si>
    <t>EMACB</t>
  </si>
  <si>
    <t xml:space="preserve">Fuel ethanol, excluding denaturant, consumed by the transportation sector   </t>
  </si>
  <si>
    <t>EMACV</t>
  </si>
  <si>
    <t>Fuel ethanol, excluding denaturant, expenditures in the transportation sector (through 1992)</t>
  </si>
  <si>
    <t>EMCCB</t>
  </si>
  <si>
    <t xml:space="preserve">Fuel ethanol, excluding denaturant, consumed by the commercial sector </t>
  </si>
  <si>
    <t>EMCCV</t>
  </si>
  <si>
    <t>Fuel ethanol, excluding denaturant, expenditures in the commercial sector (through 1992)</t>
  </si>
  <si>
    <t>EMFDB</t>
  </si>
  <si>
    <t>Fuel ethanol production (total biomass inputs as feedstock), including liquids and losses &amp; co-products</t>
  </si>
  <si>
    <t>EMICB</t>
  </si>
  <si>
    <t xml:space="preserve">Fuel ethanol, excluding denaturant, consumed by the industrial sector </t>
  </si>
  <si>
    <t>EMICV</t>
  </si>
  <si>
    <t>Fuel ethanol, excluding denaturant, expenditures in the industrial sector (through 1992)</t>
  </si>
  <si>
    <t>EMLCB</t>
  </si>
  <si>
    <t>Energy losses and co-products from the production of fuel ethanol</t>
  </si>
  <si>
    <t>EMTCB</t>
  </si>
  <si>
    <t>Fuel ethanol, excluding denaturant, total consumption</t>
  </si>
  <si>
    <t>EMTCV</t>
  </si>
  <si>
    <t>Fuel ethanol, excluding denaturant, total expenditures (through 1992)</t>
  </si>
  <si>
    <t>ENACP</t>
  </si>
  <si>
    <t>Fuel ethanol, including denaturant, consumed by the transportation sector</t>
  </si>
  <si>
    <t>ENCCP</t>
  </si>
  <si>
    <t>Fuel ethanol, including denaturant, consumed by the commercial sector</t>
  </si>
  <si>
    <t>ENICP</t>
  </si>
  <si>
    <t>Fuel ethanol, including denaturant, consumed by the industrial sector</t>
  </si>
  <si>
    <t>ENPRP</t>
  </si>
  <si>
    <t>Fuel ethanol production, including denaturant</t>
  </si>
  <si>
    <t>ENTCK</t>
  </si>
  <si>
    <t>Fuel ethanol total consumption conversion factor for the United States</t>
  </si>
  <si>
    <t>ENTCP</t>
  </si>
  <si>
    <t>Fuel ethanol, including denaturant, total consumption</t>
  </si>
  <si>
    <t>EQICB</t>
  </si>
  <si>
    <t>Ethane consumed by the industrial sector</t>
  </si>
  <si>
    <t>EQICP</t>
  </si>
  <si>
    <t>EQTCB</t>
  </si>
  <si>
    <t>Ethane total consumption</t>
  </si>
  <si>
    <t>EQTCP</t>
  </si>
  <si>
    <t>ESACB</t>
  </si>
  <si>
    <t>Electricity consumed by (sales to ultimate customers in) the transportation sector</t>
  </si>
  <si>
    <t>ESACD</t>
  </si>
  <si>
    <t>Electricity price in the transportation sector</t>
  </si>
  <si>
    <t>ESACP</t>
  </si>
  <si>
    <t>ESACV</t>
  </si>
  <si>
    <t>Electricity expenditures in the transportation sector</t>
  </si>
  <si>
    <t>ESCCB</t>
  </si>
  <si>
    <t>Electricity consumed by (sales to ultimate customers in) the commercial sector</t>
  </si>
  <si>
    <t>ESCCD</t>
  </si>
  <si>
    <t>Electricity price in the commercial sector</t>
  </si>
  <si>
    <t>ESCCP</t>
  </si>
  <si>
    <t>ESCCV</t>
  </si>
  <si>
    <t>Electricity expenditures in the commercial sector</t>
  </si>
  <si>
    <t>ESICB</t>
  </si>
  <si>
    <t>Electricity consumed by (sales to ultimate customers in) the industrial sector</t>
  </si>
  <si>
    <t>ESICD</t>
  </si>
  <si>
    <t>Electricity price in the industrial sector</t>
  </si>
  <si>
    <t>ESICP</t>
  </si>
  <si>
    <t>ESICV</t>
  </si>
  <si>
    <t>Electricity expenditures in the industrial sector</t>
  </si>
  <si>
    <t>ESISB</t>
  </si>
  <si>
    <t>Electricity sales to the industrial sector excluding refinery use</t>
  </si>
  <si>
    <t>ESRCD</t>
  </si>
  <si>
    <t>Electricity price in the residential sector</t>
  </si>
  <si>
    <t>ESRCP</t>
  </si>
  <si>
    <t>ESRCV</t>
  </si>
  <si>
    <t>Electricity expenditures in the residential sector</t>
  </si>
  <si>
    <t>ESRFB</t>
  </si>
  <si>
    <t>Electricity consumed by refineries</t>
  </si>
  <si>
    <t>ESRPP</t>
  </si>
  <si>
    <t>Electricity consumed by (sales to ultimate customers in) the residential sector per capita</t>
  </si>
  <si>
    <t>Kilowatthours</t>
  </si>
  <si>
    <t>ESSCB</t>
  </si>
  <si>
    <t>Electricity total consumption adjusted for process fuel</t>
  </si>
  <si>
    <t>ESTCB</t>
  </si>
  <si>
    <t>Electricity total consumption (electricity sales to ultimate customers)</t>
  </si>
  <si>
    <t>ESTCD</t>
  </si>
  <si>
    <t>Electricity average price, all sectors</t>
  </si>
  <si>
    <t>ESTCK</t>
  </si>
  <si>
    <t>Electricity conversion factor for the United States</t>
  </si>
  <si>
    <t>Thousand Btu per kilowatthour</t>
  </si>
  <si>
    <t>ESTCP</t>
  </si>
  <si>
    <t>ESTCV</t>
  </si>
  <si>
    <t>Electricity total expenditures</t>
  </si>
  <si>
    <t>ESTPP</t>
  </si>
  <si>
    <t>Electricity total consumption (electricity sales to ultimate customers) per capita</t>
  </si>
  <si>
    <t>ESTXB</t>
  </si>
  <si>
    <t>Electricity total end-use consumption (electricity sales to ultimate customers)</t>
  </si>
  <si>
    <t>ESTXD</t>
  </si>
  <si>
    <t>Electricity average price, all end-use sectors</t>
  </si>
  <si>
    <t>ESTXP</t>
  </si>
  <si>
    <t>ESTXV</t>
  </si>
  <si>
    <t>Electricity total end-use expenditures</t>
  </si>
  <si>
    <t>ESVHP</t>
  </si>
  <si>
    <t>Electricity consumed for electric vehicle (EV) use</t>
  </si>
  <si>
    <t>EV0CN</t>
  </si>
  <si>
    <t>Legacy charging ports for electric vehicles</t>
  </si>
  <si>
    <t>Number</t>
  </si>
  <si>
    <t>EV1CN</t>
  </si>
  <si>
    <t>Level 1 charging ports for electric vehicles</t>
  </si>
  <si>
    <t>EV2CN</t>
  </si>
  <si>
    <t>Level 2 charging ports for electric vehicles</t>
  </si>
  <si>
    <t>EV2CR</t>
  </si>
  <si>
    <t>Level 2 charging ports per location</t>
  </si>
  <si>
    <t>EVCHN</t>
  </si>
  <si>
    <t>Total charging ports for electric vehicles</t>
  </si>
  <si>
    <t>EVCHP</t>
  </si>
  <si>
    <t>Total electric vehicle charging locations</t>
  </si>
  <si>
    <t>EVDCN</t>
  </si>
  <si>
    <t>DC fast charging ports for electric vehicles</t>
  </si>
  <si>
    <t>EVDCR</t>
  </si>
  <si>
    <t>DC fast charging ports per location</t>
  </si>
  <si>
    <t>EVNNP</t>
  </si>
  <si>
    <t>Electric vehicle charging locations with both networked and non-networked ports</t>
  </si>
  <si>
    <t>EVNOP</t>
  </si>
  <si>
    <t>Electric vehicle charging locations with non-networked ports only</t>
  </si>
  <si>
    <t>EVNTP</t>
  </si>
  <si>
    <t>Electric vehicle charging locations with networked ports only</t>
  </si>
  <si>
    <t>EVPPP</t>
  </si>
  <si>
    <t>Electric vehicle charging locations with both public and private ports</t>
  </si>
  <si>
    <t>EVPUP</t>
  </si>
  <si>
    <t>Electric vehicle charging locations with public ports only</t>
  </si>
  <si>
    <t>EVPVP</t>
  </si>
  <si>
    <t>Electric vehicle charging locations with private ports only</t>
  </si>
  <si>
    <t>EYICB</t>
  </si>
  <si>
    <t>Ethylene from refineries consumed by the industrial sector</t>
  </si>
  <si>
    <t>EYICP</t>
  </si>
  <si>
    <t>EYTCB</t>
  </si>
  <si>
    <t>Ethylene from refineries total consumption</t>
  </si>
  <si>
    <t>EYTCP</t>
  </si>
  <si>
    <t>FFETK</t>
  </si>
  <si>
    <t>Fossil-fueled steam-electric power plant conversion factor</t>
  </si>
  <si>
    <t>FFGBP</t>
  </si>
  <si>
    <t>Fossil fuel total generating units net summer capacity in all sectors</t>
  </si>
  <si>
    <t>FFTCB</t>
  </si>
  <si>
    <t>Fossil fuels total consumption</t>
  </si>
  <si>
    <t>FNICB</t>
  </si>
  <si>
    <t>Petrochemical feedstocks, naphtha less than 401° F, consumed by the industrial sector</t>
  </si>
  <si>
    <t>FNICD</t>
  </si>
  <si>
    <t>Petrochemical feedstocks, naphtha less than 401° F, price in the industrial sector</t>
  </si>
  <si>
    <t>FNICP</t>
  </si>
  <si>
    <t>FNICV</t>
  </si>
  <si>
    <t>Petrochemical feedstocks, naphtha less than 401° F, expenditures in the industrial sector</t>
  </si>
  <si>
    <t>FOICB</t>
  </si>
  <si>
    <t>Petrochemical feedstocks, other oils equal to or greater than 401° F, consumed by the industrial sector</t>
  </si>
  <si>
    <t>FOICD</t>
  </si>
  <si>
    <t>Petrochemical feedstocks, other oils equal to or greater than 401° F, price in the industrial sector</t>
  </si>
  <si>
    <t>FOICP</t>
  </si>
  <si>
    <t>FOICV</t>
  </si>
  <si>
    <t>Petrochemical feedstocks, other oils equal to or greater than 401° F, expenditures in the industrial sector</t>
  </si>
  <si>
    <t>FSICB</t>
  </si>
  <si>
    <t>Petrochemical feedstocks, still gas, consumed by the industrial sector (through 1985)</t>
  </si>
  <si>
    <t>FSICD</t>
  </si>
  <si>
    <t xml:space="preserve">Petrochemical feedstocks, still gas, price in the industrial sector (through 1985) </t>
  </si>
  <si>
    <t>FSICP</t>
  </si>
  <si>
    <t>FSICV</t>
  </si>
  <si>
    <t>Petrochemical feedstocks, still gas, expenditures in the industrial sector (through 1985)</t>
  </si>
  <si>
    <t>GDPRV</t>
  </si>
  <si>
    <t>Current-dollar gross domestic product (GDP)</t>
  </si>
  <si>
    <t>GDPRX</t>
  </si>
  <si>
    <t>Real gross domestic product (GDP)</t>
  </si>
  <si>
    <t>Million chained (2017) dollars</t>
  </si>
  <si>
    <t>GECAS</t>
  </si>
  <si>
    <t>Geothermal generating units capacity factor</t>
  </si>
  <si>
    <t>GECCB</t>
  </si>
  <si>
    <t>Geothermal energy consumed by the commercial sector</t>
  </si>
  <si>
    <t>GEEGB</t>
  </si>
  <si>
    <t>Geothermal energy consumed for electricity generation by the electric power sector</t>
  </si>
  <si>
    <t>GEEGP</t>
  </si>
  <si>
    <t>Geothermal electricity net generation in the electric power sector</t>
  </si>
  <si>
    <t>GEGBP</t>
  </si>
  <si>
    <t>Geothermal generating units net summer capacity in all sectors</t>
  </si>
  <si>
    <t>GEICB</t>
  </si>
  <si>
    <t>Geothermal energy consumed by the industrial sector</t>
  </si>
  <si>
    <t>GETCB</t>
  </si>
  <si>
    <t>Geothermal energy total consumption</t>
  </si>
  <si>
    <t>GETXB</t>
  </si>
  <si>
    <t>Geothermal energy total end-use consumption</t>
  </si>
  <si>
    <t>HLACB</t>
  </si>
  <si>
    <t>Hydrocarbon gas liquids consumed by the transportation sector</t>
  </si>
  <si>
    <t>HLACD</t>
  </si>
  <si>
    <t>Hydrocarbon gas liquids price in the transportation sector</t>
  </si>
  <si>
    <t>HLACP</t>
  </si>
  <si>
    <t>HLACV</t>
  </si>
  <si>
    <t>Hydrocarbon gas liquids expenditures in the transportation sector</t>
  </si>
  <si>
    <t>HLCCB</t>
  </si>
  <si>
    <t>Hydrocarbon gas liquids consumed by the commercial sector</t>
  </si>
  <si>
    <t>HLCCD</t>
  </si>
  <si>
    <t>Hydrocarbon gas liquids price in the commercial sector</t>
  </si>
  <si>
    <t>HLCCP</t>
  </si>
  <si>
    <t>HLCCV</t>
  </si>
  <si>
    <t>Hydrocarbon gas liquids expenditures in the commercial sector</t>
  </si>
  <si>
    <t>HLICB</t>
  </si>
  <si>
    <t>Hydrocarbon gas liquids consumed by the industrial sector</t>
  </si>
  <si>
    <t>HLICD</t>
  </si>
  <si>
    <t>Hydrocarbon gas liquids price in the industrial sector</t>
  </si>
  <si>
    <t>HLICK</t>
  </si>
  <si>
    <t>Average factor for converting hydrocarbon gas liquids consumed by the industrial sector from physical unit to Btu</t>
  </si>
  <si>
    <t>HLICP</t>
  </si>
  <si>
    <t>HLICV</t>
  </si>
  <si>
    <t>Hydrocarbon gas liquids expenditures in the industrial sector</t>
  </si>
  <si>
    <t>HLISB</t>
  </si>
  <si>
    <t>Hydrocarbon gas liquids consumed by the industrial sector adjusted for processed fuel</t>
  </si>
  <si>
    <t>HLRCD</t>
  </si>
  <si>
    <t>Hydrocarbon gas liquids price in the residential sector</t>
  </si>
  <si>
    <t>HLRCP</t>
  </si>
  <si>
    <t>HLRCV</t>
  </si>
  <si>
    <t>Hydrocarbon gas liquids expenditures in the residential sector</t>
  </si>
  <si>
    <t>HLRFB</t>
  </si>
  <si>
    <t>Hydrocarbon gas liquids consumed as refinery fuel and intermediate products</t>
  </si>
  <si>
    <t>HLSCB</t>
  </si>
  <si>
    <t>Hydrocarbon gas liquids total consumption adjusted for processed fuel</t>
  </si>
  <si>
    <t>HLTCB</t>
  </si>
  <si>
    <t>Hydrocarbon gas liquids total consumption</t>
  </si>
  <si>
    <t>HLTCD</t>
  </si>
  <si>
    <t>Hydrocarbon gas liquids average price, all sectors</t>
  </si>
  <si>
    <t>HLTCK</t>
  </si>
  <si>
    <t>Average factor for converting hydrocarbon gas liquids total consumption from physical unit to Btu</t>
  </si>
  <si>
    <t>HLTCP</t>
  </si>
  <si>
    <t>HLTCV</t>
  </si>
  <si>
    <t>Hydrocarbon gas liquids total expenditures</t>
  </si>
  <si>
    <t>HLTXB</t>
  </si>
  <si>
    <t>Hydrocarbon gas liquids total end-use consumption</t>
  </si>
  <si>
    <t>HLTXD</t>
  </si>
  <si>
    <t>Hydrocarbon gas liquids average price, all end-use sectors</t>
  </si>
  <si>
    <t>HLTXP</t>
  </si>
  <si>
    <t>HLTXV</t>
  </si>
  <si>
    <t>Hydrocarbon gas liquids total end-use expenditures</t>
  </si>
  <si>
    <t>HPCAS</t>
  </si>
  <si>
    <t>Hydroelectric pumped storage generating units usage factor</t>
  </si>
  <si>
    <t>HPGBP</t>
  </si>
  <si>
    <t>Hydroelectric pumped storage generating units net summer capacity in all sectors</t>
  </si>
  <si>
    <t>HVCAS</t>
  </si>
  <si>
    <t>Conventional hydroelectric generating units capacity factor</t>
  </si>
  <si>
    <t>HVGBP</t>
  </si>
  <si>
    <t>Conventional hydroelectric power generating units net summer capacity in all sectors</t>
  </si>
  <si>
    <t>HYCCB</t>
  </si>
  <si>
    <t>Hydropower consumed by the commercial sector</t>
  </si>
  <si>
    <t>HYCCP</t>
  </si>
  <si>
    <t>Hydroelectricity net generation in the commercial sector</t>
  </si>
  <si>
    <t>HYEGB</t>
  </si>
  <si>
    <t>Hydropower consumed for electricity generation by the electric power sector</t>
  </si>
  <si>
    <t>HYEGP</t>
  </si>
  <si>
    <t>Hydroelectricity net generation in the electric power sector</t>
  </si>
  <si>
    <t>HYICB</t>
  </si>
  <si>
    <t>Hydropower consumed by the industrial sector</t>
  </si>
  <si>
    <t>HYICP</t>
  </si>
  <si>
    <t>Hydroelectricity net generation in the industrial sector</t>
  </si>
  <si>
    <t>HYTCB</t>
  </si>
  <si>
    <t>Hydropower total consumption</t>
  </si>
  <si>
    <t>HYTCP</t>
  </si>
  <si>
    <t>Hydroelectricity total net generation</t>
  </si>
  <si>
    <t>HYTXB</t>
  </si>
  <si>
    <t>Hydropower energy total end-use consumption</t>
  </si>
  <si>
    <t>HYTXP</t>
  </si>
  <si>
    <t>Hydroelectricity, total end-use net generation</t>
  </si>
  <si>
    <t>IQICB</t>
  </si>
  <si>
    <t>Isobutane consumed by the industrial sector</t>
  </si>
  <si>
    <t>IQICP</t>
  </si>
  <si>
    <t>IQTCB</t>
  </si>
  <si>
    <t>Isobutane total consumption</t>
  </si>
  <si>
    <t>IQTCP</t>
  </si>
  <si>
    <t>IYICB</t>
  </si>
  <si>
    <t>Isobutylene from refineries consumed by the industrial sector</t>
  </si>
  <si>
    <t>IYICP</t>
  </si>
  <si>
    <t>IYTCB</t>
  </si>
  <si>
    <t>Isobutylene from refineries total consumption</t>
  </si>
  <si>
    <t>IYTCP</t>
  </si>
  <si>
    <t>JFACB</t>
  </si>
  <si>
    <t>Jet fuel consumed by the transportation sector</t>
  </si>
  <si>
    <t>JFACD</t>
  </si>
  <si>
    <t>Jet fuel price in the transportation sector</t>
  </si>
  <si>
    <t>JFACP</t>
  </si>
  <si>
    <t>JFACV</t>
  </si>
  <si>
    <t>Jet fuel expenditures in the transportation sector</t>
  </si>
  <si>
    <t>JFTCB</t>
  </si>
  <si>
    <t>Jet fuel total consumption</t>
  </si>
  <si>
    <t>JFTCD</t>
  </si>
  <si>
    <t>Jet fuel average price, all sectors</t>
  </si>
  <si>
    <t>JFTCP</t>
  </si>
  <si>
    <t>JFTCV</t>
  </si>
  <si>
    <t>Jet fuel total expenditures</t>
  </si>
  <si>
    <t>JFTXB</t>
  </si>
  <si>
    <t>Jet fuel total end-use consumption</t>
  </si>
  <si>
    <t>JFTXD</t>
  </si>
  <si>
    <t>Jet fuel average price, all end-use sectors</t>
  </si>
  <si>
    <t>JFTXP</t>
  </si>
  <si>
    <t>JFTXV</t>
  </si>
  <si>
    <t>Jet fuel total end-use expenditures</t>
  </si>
  <si>
    <t>KSCCB</t>
  </si>
  <si>
    <t>Kerosene consumed by the commercial sector</t>
  </si>
  <si>
    <t>KSCCD</t>
  </si>
  <si>
    <t>Kerosene price in the commercial sector</t>
  </si>
  <si>
    <t>KSCCP</t>
  </si>
  <si>
    <t>KSCCV</t>
  </si>
  <si>
    <t>Kerosene expenditures in the commercial sector</t>
  </si>
  <si>
    <t>KSICB</t>
  </si>
  <si>
    <t>Kerosene consumed by the industrial sector</t>
  </si>
  <si>
    <t>KSICD</t>
  </si>
  <si>
    <t>Kerosene price in the industrial sector</t>
  </si>
  <si>
    <t>KSICP</t>
  </si>
  <si>
    <t>KSICV</t>
  </si>
  <si>
    <t>Kerosene expenditures in the industrial sector</t>
  </si>
  <si>
    <t>KSRCD</t>
  </si>
  <si>
    <t>Kerosene price in the residential sector</t>
  </si>
  <si>
    <t>KSRCP</t>
  </si>
  <si>
    <t>KSRCV</t>
  </si>
  <si>
    <t>Kerosene expenditures in the residential sector</t>
  </si>
  <si>
    <t>KSTCB</t>
  </si>
  <si>
    <t>Kerosene total consumption</t>
  </si>
  <si>
    <t>KSTCD</t>
  </si>
  <si>
    <t>Kerosene average price, all sectors</t>
  </si>
  <si>
    <t>KSTCP</t>
  </si>
  <si>
    <t>KSTCV</t>
  </si>
  <si>
    <t>Kerosene total expenditures</t>
  </si>
  <si>
    <t>KSTXB</t>
  </si>
  <si>
    <t>Kerosene total end-use consumption</t>
  </si>
  <si>
    <t>KSTXD</t>
  </si>
  <si>
    <t>Kerosene average price, all end-use sectors</t>
  </si>
  <si>
    <t>KSTXP</t>
  </si>
  <si>
    <t>KSTXV</t>
  </si>
  <si>
    <t>Kerosene total end-use expenditures</t>
  </si>
  <si>
    <t>LDVHN</t>
  </si>
  <si>
    <t>Total (all fuels) vehicle light-duty stocks</t>
  </si>
  <si>
    <t>LOACB</t>
  </si>
  <si>
    <t>The transportation sector's share of electrical system energy losses</t>
  </si>
  <si>
    <t>LOCCB</t>
  </si>
  <si>
    <t>The commercial sector's share of electrical system energy losses</t>
  </si>
  <si>
    <t>LOICB</t>
  </si>
  <si>
    <t>The industrial sector's share of electrical system energy losses</t>
  </si>
  <si>
    <t>LOTCB</t>
  </si>
  <si>
    <t>Total electrical system energy losses</t>
  </si>
  <si>
    <t>LOTXB</t>
  </si>
  <si>
    <t>Total electrical system energy losses allocated to the end-use sectors</t>
  </si>
  <si>
    <t>LUACB</t>
  </si>
  <si>
    <t>Lubricants consumed by the transportation sector</t>
  </si>
  <si>
    <t>LUACD</t>
  </si>
  <si>
    <t>Lubricants price in the transportation sector</t>
  </si>
  <si>
    <t>LUACP</t>
  </si>
  <si>
    <t>LUACV</t>
  </si>
  <si>
    <t>Lubricants expenditures in the transportation sector</t>
  </si>
  <si>
    <t>LUICB</t>
  </si>
  <si>
    <t>Lubricants consumed by the industrial sector</t>
  </si>
  <si>
    <t>LUICD</t>
  </si>
  <si>
    <t>Lubricants price in the industrial sector</t>
  </si>
  <si>
    <t>LUICP</t>
  </si>
  <si>
    <t>LUICV</t>
  </si>
  <si>
    <t>Lubricants expenditures in the industrial sector</t>
  </si>
  <si>
    <t>LUTCB</t>
  </si>
  <si>
    <t>Lubricants total consumption</t>
  </si>
  <si>
    <t>LUTCD</t>
  </si>
  <si>
    <t>Lubricants average price, all sectors</t>
  </si>
  <si>
    <t>LUTCP</t>
  </si>
  <si>
    <t>LUTCV</t>
  </si>
  <si>
    <t>Lubricants total expenditures</t>
  </si>
  <si>
    <t>LUTXB</t>
  </si>
  <si>
    <t>Lubricants total end-use consumption</t>
  </si>
  <si>
    <t>LUTXD</t>
  </si>
  <si>
    <t>Lubricants average price, all end-use sectors</t>
  </si>
  <si>
    <t>LUTXP</t>
  </si>
  <si>
    <t>LUTXV</t>
  </si>
  <si>
    <t>Lubricants total end-use expenditures</t>
  </si>
  <si>
    <t>MBICB</t>
  </si>
  <si>
    <t>Motor gasoline blending components consumed by the industrial sector</t>
  </si>
  <si>
    <t>MBICP</t>
  </si>
  <si>
    <t>MBTCK</t>
  </si>
  <si>
    <t>Factor for converting motor gasoline blending components from physical units to Btu</t>
  </si>
  <si>
    <t>MGACB</t>
  </si>
  <si>
    <t>Motor gasoline consumed by the transportation sector</t>
  </si>
  <si>
    <t>MGACD</t>
  </si>
  <si>
    <t>Motor gasoline price in the transportation sector</t>
  </si>
  <si>
    <t>MGACP</t>
  </si>
  <si>
    <t>MGACV</t>
  </si>
  <si>
    <t>Motor gasoline expenditures in the transportation sector</t>
  </si>
  <si>
    <t>MGCCB</t>
  </si>
  <si>
    <t>Motor gasoline consumed by the commercial sector</t>
  </si>
  <si>
    <t>MGCCD</t>
  </si>
  <si>
    <t>Motor gasoline price in the commercial sector</t>
  </si>
  <si>
    <t>MGCCP</t>
  </si>
  <si>
    <t>MGCCV</t>
  </si>
  <si>
    <t>Motor gasoline expenditures in the commercial sector</t>
  </si>
  <si>
    <t>MGICB</t>
  </si>
  <si>
    <t>Motor gasoline consumed by the industrial sector</t>
  </si>
  <si>
    <t>MGICD</t>
  </si>
  <si>
    <t>Motor gasoline price in the industrial sector</t>
  </si>
  <si>
    <t>MGICP</t>
  </si>
  <si>
    <t>MGICV</t>
  </si>
  <si>
    <t>Motor gasoline expenditures in the industrial sector</t>
  </si>
  <si>
    <t>MGTCB</t>
  </si>
  <si>
    <t>Motor gasoline total consumption</t>
  </si>
  <si>
    <t>MGTCD</t>
  </si>
  <si>
    <t>Motor gasoline average price, all sectors</t>
  </si>
  <si>
    <t>MGTCK</t>
  </si>
  <si>
    <t>Factor for converting motor gasoline from physical units to Btu</t>
  </si>
  <si>
    <t>MGTCP</t>
  </si>
  <si>
    <t>MGTCV</t>
  </si>
  <si>
    <t>Motor gasoline total expenditures</t>
  </si>
  <si>
    <t>MGTPV</t>
  </si>
  <si>
    <t>Motor gasoline expenditures per capita</t>
  </si>
  <si>
    <t>Dollars</t>
  </si>
  <si>
    <t>MGTXB</t>
  </si>
  <si>
    <t>Motor gasoline total end-use consumption</t>
  </si>
  <si>
    <t>MGTXD</t>
  </si>
  <si>
    <t>Motor gasoline average price, all end-use sectors</t>
  </si>
  <si>
    <t>MGTXP</t>
  </si>
  <si>
    <t>MGTXV</t>
  </si>
  <si>
    <t>Motor gasoline total end-use expenditures</t>
  </si>
  <si>
    <t>MMACB</t>
  </si>
  <si>
    <t>Motor gasoline, excluding fuel ethanol, consumed by the transportation sector</t>
  </si>
  <si>
    <t>MMCCB</t>
  </si>
  <si>
    <t>Motor gasoline, excluding fuel ethanol, consumed by the commercial sector</t>
  </si>
  <si>
    <t>MMICB</t>
  </si>
  <si>
    <t>Motor gasoline, excluding fuel ethanol, consumed by the industrial sector</t>
  </si>
  <si>
    <t>MMTCB</t>
  </si>
  <si>
    <t>Motor gasoline, excluding fuel ethanol, total consumption</t>
  </si>
  <si>
    <t>MSICB</t>
  </si>
  <si>
    <t>Miscellaneous petroleum products consumed by the industrial sector</t>
  </si>
  <si>
    <t>MSICD</t>
  </si>
  <si>
    <t>Miscellaneous petroleum products price in the industrial sector</t>
  </si>
  <si>
    <t>MSICP</t>
  </si>
  <si>
    <t>MSICV</t>
  </si>
  <si>
    <t>Miscellaneous petroleum products expenditures in the industrial sector</t>
  </si>
  <si>
    <t>NAICB</t>
  </si>
  <si>
    <t>Natural gasoline consumed by the industrial sector (through 1983)</t>
  </si>
  <si>
    <t>NAICP</t>
  </si>
  <si>
    <t>NCPRB</t>
  </si>
  <si>
    <t>Noncombustible renewable energy production</t>
  </si>
  <si>
    <t>NGACB</t>
  </si>
  <si>
    <t xml:space="preserve">Natural gas consumed by the transportation sector </t>
  </si>
  <si>
    <t>NGACD</t>
  </si>
  <si>
    <t>Natural gas price in the transportation sector</t>
  </si>
  <si>
    <t>NGACP</t>
  </si>
  <si>
    <t>Natural gas consumed by the transportation sector</t>
  </si>
  <si>
    <t>Million cubic feet</t>
  </si>
  <si>
    <t>NGACV</t>
  </si>
  <si>
    <t>Natural gas expenditures in the transportation sector</t>
  </si>
  <si>
    <t>NGASB</t>
  </si>
  <si>
    <t>Natural gas consumed by the transportation sector adjusted for process fuel</t>
  </si>
  <si>
    <t>NGCCB</t>
  </si>
  <si>
    <t>Natural gas delivered to the commercial sector, used as consumption (including supplemental gaseous fuels)</t>
  </si>
  <si>
    <t>NGCCD</t>
  </si>
  <si>
    <t>Natural gas price in the commercial sector (including supplemental gaseous fuels)</t>
  </si>
  <si>
    <t>NGCCP</t>
  </si>
  <si>
    <t>NGCCV</t>
  </si>
  <si>
    <t>Natural gas expenditures in the commercial sector (including supplemental gaseous fuels)</t>
  </si>
  <si>
    <t>NGEIB</t>
  </si>
  <si>
    <t>Natural gas consumed by the electric power sector (including supplemental gaseous fuels)</t>
  </si>
  <si>
    <t>NGEID</t>
  </si>
  <si>
    <t>Natural gas price in the electric power sector (including supplemental gaseous fuels)</t>
  </si>
  <si>
    <t>NGEIK</t>
  </si>
  <si>
    <t>Factor for converting natural gas consumed by the electric power sector from physical units to Btu</t>
  </si>
  <si>
    <t>Thousand Btu per cubic foot</t>
  </si>
  <si>
    <t>NGEIP</t>
  </si>
  <si>
    <t>NGEIV</t>
  </si>
  <si>
    <t>Natural gas expenditures in the electric power sector (including supplemental gaseous fuels)</t>
  </si>
  <si>
    <t>NGGBP</t>
  </si>
  <si>
    <t>Natural gas generating units net summer capacity in all sectors</t>
  </si>
  <si>
    <t>NGICB</t>
  </si>
  <si>
    <t>Natural gas consumed by the industrial sector (including supplemental gaseous fuels)</t>
  </si>
  <si>
    <t>NGICD</t>
  </si>
  <si>
    <t>Natural gas price in the industrial sector (including supplemental gaseous fuels)</t>
  </si>
  <si>
    <t>NGICP</t>
  </si>
  <si>
    <t>NGICV</t>
  </si>
  <si>
    <t>Natural gas expenditures in the industrial sector (including supplemental gaseous fuels)</t>
  </si>
  <si>
    <t>NGISB</t>
  </si>
  <si>
    <t>Natural gas consumed by the industrial sector excluding refinery fuel</t>
  </si>
  <si>
    <t>NGLPB</t>
  </si>
  <si>
    <t>Natural gas consumed as lease and plant fuel</t>
  </si>
  <si>
    <t>NGMPB</t>
  </si>
  <si>
    <t>Natural gas marketed production</t>
  </si>
  <si>
    <t>NGMPK</t>
  </si>
  <si>
    <t>Factor for converting marketed natural gas production from physical units to Btu</t>
  </si>
  <si>
    <t>Thousand Btu per cubic feet</t>
  </si>
  <si>
    <t>NGMPP</t>
  </si>
  <si>
    <t>NGPZB</t>
  </si>
  <si>
    <t>Natural gas for pipeline and distribution use</t>
  </si>
  <si>
    <t>NGRCD</t>
  </si>
  <si>
    <t>Natural gas price in the residential sector (including supplemental gaseous fuels)</t>
  </si>
  <si>
    <t>NGRCP</t>
  </si>
  <si>
    <t>NGRCV</t>
  </si>
  <si>
    <t>Natural gas expenditures in the residential sector (including supplemental gaseous fuels)</t>
  </si>
  <si>
    <t>NGRFB</t>
  </si>
  <si>
    <t>Natural gas consumed as refinery fuel</t>
  </si>
  <si>
    <t>NGSCB</t>
  </si>
  <si>
    <t>Natural gas total consumption adjusted for process fuel</t>
  </si>
  <si>
    <t>NGTCB</t>
  </si>
  <si>
    <t>Natural gas total consumption (including supplemental gaseous fuels)</t>
  </si>
  <si>
    <t>NGTCD</t>
  </si>
  <si>
    <t>Natural gas average price, all sectors (including supplemental gaseous fuels)</t>
  </si>
  <si>
    <t>NGTCK</t>
  </si>
  <si>
    <t>Factor for converting natural gas total consumption from physical units to Btu</t>
  </si>
  <si>
    <t>NGTCP</t>
  </si>
  <si>
    <t>NGTCV</t>
  </si>
  <si>
    <t>Natural gas total expenditures (including supplemental gaseous fuels)</t>
  </si>
  <si>
    <t>NGTPB</t>
  </si>
  <si>
    <t>Natural gas total consumption (including supplemental gaseous fuels) per capita</t>
  </si>
  <si>
    <t>Million Btu</t>
  </si>
  <si>
    <t>NGTPP</t>
  </si>
  <si>
    <t>Thousand cubic feet</t>
  </si>
  <si>
    <t>NGTXB</t>
  </si>
  <si>
    <t>Natural gas total end-use consumption (including supplemental gaseous fuels)</t>
  </si>
  <si>
    <t>NGTXD</t>
  </si>
  <si>
    <t>Natural gas average price, all end-use sectors (including supplemental gaseous fuels)</t>
  </si>
  <si>
    <t>NGTXK</t>
  </si>
  <si>
    <t>Factor for converting natural gas used by end-use sectors from physical units to Btu</t>
  </si>
  <si>
    <t>NGTXP</t>
  </si>
  <si>
    <t>NGTXV</t>
  </si>
  <si>
    <t>Natural gas total end-use expenditures (including supplemental gaseous fuels)</t>
  </si>
  <si>
    <t>NNTCB</t>
  </si>
  <si>
    <t>Natural gas total consumption (excluding supplemental gaseous fuels)</t>
  </si>
  <si>
    <t>NTCAS</t>
  </si>
  <si>
    <t>Natural gas turbine generating units capacity factor</t>
  </si>
  <si>
    <t>NUCAS</t>
  </si>
  <si>
    <t>Nuclear generating units capacity factor</t>
  </si>
  <si>
    <t>NUEGB</t>
  </si>
  <si>
    <t>Nuclear energy consumed for electricity generation by the electric power sector</t>
  </si>
  <si>
    <t>NUEGD</t>
  </si>
  <si>
    <t>Nuclear fuel price in the electric power sector</t>
  </si>
  <si>
    <t>NUEGP</t>
  </si>
  <si>
    <t>Nuclear electricity net generation in the electric power sector</t>
  </si>
  <si>
    <t>NUEGV</t>
  </si>
  <si>
    <t>Nuclear fuel expenditures in the electric power sector</t>
  </si>
  <si>
    <t>NUETB</t>
  </si>
  <si>
    <t>Nuclear energy consumed for electricity generation, total</t>
  </si>
  <si>
    <t>NUETD</t>
  </si>
  <si>
    <t>Nuclear fuel average price, all sectors</t>
  </si>
  <si>
    <t>NUETK</t>
  </si>
  <si>
    <t>Factor for converting electricity generated from nuclear power from physical units to Btu</t>
  </si>
  <si>
    <t>NUETP</t>
  </si>
  <si>
    <t>Nuclear electricity total net generation</t>
  </si>
  <si>
    <t>NUETV</t>
  </si>
  <si>
    <t>Nuclear fuel total expenditures</t>
  </si>
  <si>
    <t>NUGBP</t>
  </si>
  <si>
    <t>Nuclear generating units net summer capacity in all sectors</t>
  </si>
  <si>
    <t>NYCAS</t>
  </si>
  <si>
    <t>Natural gas conventional steam generating units capacity factor</t>
  </si>
  <si>
    <t>OHICB</t>
  </si>
  <si>
    <t>Other hydrocarbon gas liquids (other than propane) consumed by the industrial sector</t>
  </si>
  <si>
    <t>OHICD</t>
  </si>
  <si>
    <t>Other hydrocarbon gas liquids (other than propane) price in the industrial sector</t>
  </si>
  <si>
    <t>OHICV</t>
  </si>
  <si>
    <t>Other hydrocarbon gas liquids (other than propane) expenditures in the industrial sector</t>
  </si>
  <si>
    <t>OJGBP</t>
  </si>
  <si>
    <t>Other gases generating units net summer capacity in all sectors</t>
  </si>
  <si>
    <t>OMTCB</t>
  </si>
  <si>
    <t>Other petroleum products consumption, excluding biofuels</t>
  </si>
  <si>
    <t>OPACB</t>
  </si>
  <si>
    <t>Other petroleum products consumed by the transportation sector</t>
  </si>
  <si>
    <t>OPACP</t>
  </si>
  <si>
    <t>OPCCB</t>
  </si>
  <si>
    <t>Other petroleum products consumed by the commercial sector</t>
  </si>
  <si>
    <t>OPCCP</t>
  </si>
  <si>
    <t>OPEIB</t>
  </si>
  <si>
    <t>Other petroleum products consumed by the electric power sector</t>
  </si>
  <si>
    <t>OPEIP</t>
  </si>
  <si>
    <t>OPICB</t>
  </si>
  <si>
    <t>Other petroleum products consumed by the industrial sector</t>
  </si>
  <si>
    <t>OPICD</t>
  </si>
  <si>
    <t>Other petroleum products average price in the industrial sector</t>
  </si>
  <si>
    <t>OPICP</t>
  </si>
  <si>
    <t>OPICV</t>
  </si>
  <si>
    <t>Other petroleum products total expenditures in the industrial sector</t>
  </si>
  <si>
    <t>OPISB</t>
  </si>
  <si>
    <t>Other petroleum products consumed by the industrial sector excluding refinery fuel and intermediate products</t>
  </si>
  <si>
    <t>OPRCP</t>
  </si>
  <si>
    <t>OPSCB</t>
  </si>
  <si>
    <t>Other petroleum products total consumption adjusted for refinery fuel and intermediate products</t>
  </si>
  <si>
    <t>OPTCB</t>
  </si>
  <si>
    <t>Other petroleum products total consumption</t>
  </si>
  <si>
    <t>OPTCD</t>
  </si>
  <si>
    <t>Other petroleum products average price, all sectors</t>
  </si>
  <si>
    <t>OPTCP</t>
  </si>
  <si>
    <t>OPTCV</t>
  </si>
  <si>
    <t>Other petroleum products total expenditures</t>
  </si>
  <si>
    <t>OPTXB</t>
  </si>
  <si>
    <t>Other petroleum products total end-use consumption</t>
  </si>
  <si>
    <t>OPTXD</t>
  </si>
  <si>
    <t>Other petroleum products average price, all end-use sectors</t>
  </si>
  <si>
    <t>OPTXP</t>
  </si>
  <si>
    <t>OPTXV</t>
  </si>
  <si>
    <t>Other petroleum products total end-use expenditures</t>
  </si>
  <si>
    <t>OTGBP</t>
  </si>
  <si>
    <t>Other generating units net summer capacity in all sectors</t>
  </si>
  <si>
    <t>P1ICB</t>
  </si>
  <si>
    <t>Asphalt and road oil, kerosene, lubricants, petroleum coke, and "other petroleum products" consumed by the industrial sector</t>
  </si>
  <si>
    <t>P1ICD</t>
  </si>
  <si>
    <t>Asphalt and road oil, kerosene, lubricants, petroleum coke, and "other petroleum products" average price in the  industrial sector</t>
  </si>
  <si>
    <t>P1ICP</t>
  </si>
  <si>
    <t>P1ICV</t>
  </si>
  <si>
    <t>Asphalt and road oil, kerosene, lubricants, petroleum coke, and "other petroleum products" expenditures in the  industrial sector</t>
  </si>
  <si>
    <t>P1ISB</t>
  </si>
  <si>
    <t>Asphalt and road oil, kerosene, lubricants, petroleum coke, and "other petroleum products" consumed by the industrial sector excluding refinery fuel and intermediate products</t>
  </si>
  <si>
    <t>P1SCB</t>
  </si>
  <si>
    <t>Asphalt and road oil, kerosene, lubricants, petroleum coke, and "other petroleum products" total consumption adjusted for process fuel and intermediate products</t>
  </si>
  <si>
    <t>P1TCB</t>
  </si>
  <si>
    <t>Asphalt and road oil, aviation gasoline, kerosene, lubricants, petroleum coke, and "other petroleum products" total consumption</t>
  </si>
  <si>
    <t>P1TCD</t>
  </si>
  <si>
    <t>Asphalt and road oil, aviation gasoline, kerosene, lubricants, petroleum coke, and "other petroleum products" average price, all sectors</t>
  </si>
  <si>
    <t>P1TCP</t>
  </si>
  <si>
    <t>P1TCV</t>
  </si>
  <si>
    <t>Asphalt and road oil, aviation gasoline, kerosene, lubricants, petroleum coke, and "other petroleum products" total expenditures</t>
  </si>
  <si>
    <t>P1TXB</t>
  </si>
  <si>
    <t>Asphalt and road oil, aviation gasoline, kerosene, lubricants, petroleum coke, and "other petroleum products" total end-use consumption</t>
  </si>
  <si>
    <t>P1TXD</t>
  </si>
  <si>
    <t>Asphalt and road oil, aviation gasoline, kerosene, lubricants, petroleum coke, and "other petroleum products" average price, all end-use sectors</t>
  </si>
  <si>
    <t>P1TXP</t>
  </si>
  <si>
    <t>P1TXV</t>
  </si>
  <si>
    <t>Asphalt and road oil, aviation gasoline, kerosene, lubricants, petroleum coke, and "other petroleum products" total end-use expenditures</t>
  </si>
  <si>
    <t>P5RFB</t>
  </si>
  <si>
    <t>Other petroleum products consumed as refinery fuel and intermediate products</t>
  </si>
  <si>
    <t>PAACB</t>
  </si>
  <si>
    <t>All petroleum products consumed by the transportation sector</t>
  </si>
  <si>
    <t>PAACD</t>
  </si>
  <si>
    <t>All petroleum products average price in the transportation sector</t>
  </si>
  <si>
    <t>PAACK</t>
  </si>
  <si>
    <t>Factor for converting all petroleum products consumed by the transportation sector from physical units to Btu for the United States</t>
  </si>
  <si>
    <t>PAACP</t>
  </si>
  <si>
    <t>PAACV</t>
  </si>
  <si>
    <t>All petroleum products total expenditures in the transportation sector</t>
  </si>
  <si>
    <t>PAASB</t>
  </si>
  <si>
    <t>All petroleum products consumed by the transportation sector excluding other biofuels product supplied for the United States</t>
  </si>
  <si>
    <t>PACAS</t>
  </si>
  <si>
    <t>Petroleum generating units capacity factor</t>
  </si>
  <si>
    <t>PACCB</t>
  </si>
  <si>
    <t>All petroleum products consumed by the commercial sector</t>
  </si>
  <si>
    <t>PACCD</t>
  </si>
  <si>
    <t>All petroleum products average price in the commercial sector</t>
  </si>
  <si>
    <t>PACCK</t>
  </si>
  <si>
    <t>Factor for converting all petroleum products consumed by the commercial sector from physical units to Btu for the United States</t>
  </si>
  <si>
    <t>PACCP</t>
  </si>
  <si>
    <t>PACCV</t>
  </si>
  <si>
    <t>All petroleum products total expenditures in the commercial sector</t>
  </si>
  <si>
    <t>PAEIB</t>
  </si>
  <si>
    <t>All petroleum products consumed by the electric power sector</t>
  </si>
  <si>
    <t>PAEID</t>
  </si>
  <si>
    <t>All petroleum products average price in the electric power sector</t>
  </si>
  <si>
    <t>PAEIK</t>
  </si>
  <si>
    <t>Factor for converting all petroleum products consumed by the electric power sector from physical units to Btu for the United States</t>
  </si>
  <si>
    <t>PAEIP</t>
  </si>
  <si>
    <t>PAEIV</t>
  </si>
  <si>
    <t>All petroleum products total expenditures in the electric power sector</t>
  </si>
  <si>
    <t>PAGBP</t>
  </si>
  <si>
    <t>Petroleum generating units net summer capacity in all sectors</t>
  </si>
  <si>
    <t>PAICB</t>
  </si>
  <si>
    <t>All petroleum products consumed by the industrial sector</t>
  </si>
  <si>
    <t>PAICD</t>
  </si>
  <si>
    <t>All petroleum products average price in the industrial sector</t>
  </si>
  <si>
    <t>PAICK</t>
  </si>
  <si>
    <t>Factor for converting all petroleum products consumed by the industrial sector from physical units to Btu for the United States</t>
  </si>
  <si>
    <t>PAICP</t>
  </si>
  <si>
    <t>PAICV</t>
  </si>
  <si>
    <t>All petroleum products total expenditures in the industrial sector</t>
  </si>
  <si>
    <t>PAISB</t>
  </si>
  <si>
    <t>All petroleum products consumed by the industrial sector excluding process fuel and intermediate products</t>
  </si>
  <si>
    <t>PAPRB</t>
  </si>
  <si>
    <t>Crude oil production (including lease condensate)</t>
  </si>
  <si>
    <t>PAPRP</t>
  </si>
  <si>
    <t>PARCD</t>
  </si>
  <si>
    <t>All petroleum products average price in the residential sector</t>
  </si>
  <si>
    <t>PARCK</t>
  </si>
  <si>
    <t>Factor for converting all petroleum products consumed by the residential sector from physical units to Btu for the United States</t>
  </si>
  <si>
    <t>PARCP</t>
  </si>
  <si>
    <t>PARCV</t>
  </si>
  <si>
    <t>All petroleum products total expenditures in the residential sector</t>
  </si>
  <si>
    <t>PASCB</t>
  </si>
  <si>
    <t>All petroleum products total consumption adjusted for process fuel and intermediate products</t>
  </si>
  <si>
    <t>PATCB</t>
  </si>
  <si>
    <t>All petroleum products total consumption</t>
  </si>
  <si>
    <t>PATCD</t>
  </si>
  <si>
    <t>All petroleum products average price, all sectors</t>
  </si>
  <si>
    <t>PATCK</t>
  </si>
  <si>
    <t>Factor for converting all petroleum products consumed by all sectors from physical units to Btu for the United States</t>
  </si>
  <si>
    <t>PATCP</t>
  </si>
  <si>
    <t>PATCV</t>
  </si>
  <si>
    <t>All petroleum products total expenditures</t>
  </si>
  <si>
    <t>PATPB</t>
  </si>
  <si>
    <t>All petroleum products total consumption per capita</t>
  </si>
  <si>
    <t>PATPP</t>
  </si>
  <si>
    <t>barrels</t>
  </si>
  <si>
    <t>PATXB</t>
  </si>
  <si>
    <t>All petroleum products total end-use consumption</t>
  </si>
  <si>
    <t>PATXD</t>
  </si>
  <si>
    <t>All petroleum products average price, all end-use sectors</t>
  </si>
  <si>
    <t>PATXP</t>
  </si>
  <si>
    <t>PATXV</t>
  </si>
  <si>
    <t>All petroleum products total end-use expenditures</t>
  </si>
  <si>
    <t>PCCCB</t>
  </si>
  <si>
    <t>Petroleum coke consumed by the commercial sector</t>
  </si>
  <si>
    <t>PCCCD</t>
  </si>
  <si>
    <t>Petroleum coke price in the commercial sector</t>
  </si>
  <si>
    <t>PCCCP</t>
  </si>
  <si>
    <t>PCCCV</t>
  </si>
  <si>
    <t>Petroleum coke expenditures in the commercial sector</t>
  </si>
  <si>
    <t>PCCTK</t>
  </si>
  <si>
    <t>Factor for converting petroleum coke, catalyst coke from physical units to Btu</t>
  </si>
  <si>
    <t>PCEIB</t>
  </si>
  <si>
    <t>Petroleum coke consumed by the electric power sector</t>
  </si>
  <si>
    <t>PCEID</t>
  </si>
  <si>
    <t>Petroleum coke price in the electric power sector</t>
  </si>
  <si>
    <t>PCEIP</t>
  </si>
  <si>
    <t>PCEIV</t>
  </si>
  <si>
    <t>Petroleum coke expenditures in the electric power sector</t>
  </si>
  <si>
    <t>PCICB</t>
  </si>
  <si>
    <t>Petroleum coke consumed in the industrial sector</t>
  </si>
  <si>
    <t>PCICD</t>
  </si>
  <si>
    <t>Petroleum coke price in the industrial sector</t>
  </si>
  <si>
    <t>PCICP</t>
  </si>
  <si>
    <t>PCICV</t>
  </si>
  <si>
    <t>Petroleum coke expenditures in the industrial sector</t>
  </si>
  <si>
    <t>PCISB</t>
  </si>
  <si>
    <t>Petroleum coke consumed by the industrial sector excluding refinery fuel</t>
  </si>
  <si>
    <t>PCMKK</t>
  </si>
  <si>
    <t>Factor for converting petroleum coke, marketable coke from physical units to Btu</t>
  </si>
  <si>
    <t>PCRFB</t>
  </si>
  <si>
    <t>Petroleum coke consumed as refinery fuel</t>
  </si>
  <si>
    <t>PCSCB</t>
  </si>
  <si>
    <t>Petroleum coke total consumption adjusted for process fuel</t>
  </si>
  <si>
    <t>PCTCB</t>
  </si>
  <si>
    <t>Petroleum coke total consumption</t>
  </si>
  <si>
    <t>PCTCD</t>
  </si>
  <si>
    <t>Petroleum coke average price, all sectors</t>
  </si>
  <si>
    <t>PCTCP</t>
  </si>
  <si>
    <t>PCTCV</t>
  </si>
  <si>
    <t>Petroleum coke total expenditures</t>
  </si>
  <si>
    <t>PCTXB</t>
  </si>
  <si>
    <t>Petroleum coke total end-use consumption</t>
  </si>
  <si>
    <t>PCTXD</t>
  </si>
  <si>
    <t>Petroleum coke average price, all end-use sectors</t>
  </si>
  <si>
    <t>PCTXP</t>
  </si>
  <si>
    <t>PCTXV</t>
  </si>
  <si>
    <t>Petroleum coke total end-use expenditures</t>
  </si>
  <si>
    <t>PEACD</t>
  </si>
  <si>
    <t>Primary energy average price in the transportation sector</t>
  </si>
  <si>
    <t>PEACV</t>
  </si>
  <si>
    <t>Primary energy total expenditures in the transportation sector</t>
  </si>
  <si>
    <t>PEASB</t>
  </si>
  <si>
    <t>Primary energy consumed by the transportation sector, adjusted for process fuel, intermediate products, and fuels with no direct cost</t>
  </si>
  <si>
    <t>PECCD</t>
  </si>
  <si>
    <t>Primary energy average price in the commercial sector</t>
  </si>
  <si>
    <t>PECCV</t>
  </si>
  <si>
    <t>Primary energy total expenditures in the commercial sector</t>
  </si>
  <si>
    <t>PECSB</t>
  </si>
  <si>
    <t>Primary energy consumed by the commercial sector, adjusted for process fuel, intermediate products, and fuels with no direct cost</t>
  </si>
  <si>
    <t>PEEID</t>
  </si>
  <si>
    <t>Primary energy average price in the electric power sector</t>
  </si>
  <si>
    <t>PEEIV</t>
  </si>
  <si>
    <t>Primary energy total expenditures in the electric power sector</t>
  </si>
  <si>
    <t>PEICD</t>
  </si>
  <si>
    <t>Primary energy average price in the industrial sector</t>
  </si>
  <si>
    <t>PEICV</t>
  </si>
  <si>
    <t>Primary energy total expenditures in the industrial sector</t>
  </si>
  <si>
    <t>PEISB</t>
  </si>
  <si>
    <t>Primary energy consumed by the industrial sector, adjusted for process fuel, intermediate products, and fuels with no direct cost</t>
  </si>
  <si>
    <t>PERCD</t>
  </si>
  <si>
    <t>Primary energy average price in the residential sector</t>
  </si>
  <si>
    <t>PERCV</t>
  </si>
  <si>
    <t>Primary energy total expenditures in the residential sector</t>
  </si>
  <si>
    <t>PERSB</t>
  </si>
  <si>
    <t>Primary energy consumed by the residential sector, adjusted for process fuel, intermediate products, and fuels with no direct cost</t>
  </si>
  <si>
    <t>PESCB</t>
  </si>
  <si>
    <t>Primary energy total consumption, adjusted for process fuel, intermediate products, and fuels with no direct cost</t>
  </si>
  <si>
    <t>PETCD</t>
  </si>
  <si>
    <t>Primary energy average price, all sectors</t>
  </si>
  <si>
    <t>PETCV</t>
  </si>
  <si>
    <t>Primary energy total expenditures</t>
  </si>
  <si>
    <t>PETXD</t>
  </si>
  <si>
    <t>Primary energy average price, all end-use sectors</t>
  </si>
  <si>
    <t>PETXV</t>
  </si>
  <si>
    <t>Primary energy total end-use expenditures</t>
  </si>
  <si>
    <t>PHVHN</t>
  </si>
  <si>
    <t>Plug-in hybrid electric vehicle (PHEV) light-duty stocks</t>
  </si>
  <si>
    <t>PHVHP</t>
  </si>
  <si>
    <t>Electricity consumed for plug-in hybrid electric vehicle (PHEV) use</t>
  </si>
  <si>
    <t>PLICB</t>
  </si>
  <si>
    <t>Plant condensate consumed by the industrial sector (through 1983)</t>
  </si>
  <si>
    <t>PLICP</t>
  </si>
  <si>
    <t>PMACB</t>
  </si>
  <si>
    <t>All petroleum products, excluding biofuels, consumed by the transportation sector</t>
  </si>
  <si>
    <t>PMCCB</t>
  </si>
  <si>
    <t>All petroleum products, excluding biofuels, consumed by the commercial sector</t>
  </si>
  <si>
    <t>PMEIB</t>
  </si>
  <si>
    <t>All petroleum products, excluding biofuels, consumed by the electric power sector</t>
  </si>
  <si>
    <t>PMICB</t>
  </si>
  <si>
    <t>All petroleum products, excluding biofuels, consumed by the industrial sector</t>
  </si>
  <si>
    <t>PMTCB</t>
  </si>
  <si>
    <t>All petroleum products, excluding biofuels, total consumption</t>
  </si>
  <si>
    <t>PPICB</t>
  </si>
  <si>
    <t>Natural gasoline (pentanes plus) consumed by the industrial sector</t>
  </si>
  <si>
    <t>PPICP</t>
  </si>
  <si>
    <t>PPTCB</t>
  </si>
  <si>
    <t>Natural gasoline (pentanes plus) total consumption</t>
  </si>
  <si>
    <t>PPTCP</t>
  </si>
  <si>
    <t>PQACB</t>
  </si>
  <si>
    <t>Propane consumed by the transportation sector</t>
  </si>
  <si>
    <t>PQACD</t>
  </si>
  <si>
    <t>Propane price in the transportation sector</t>
  </si>
  <si>
    <t>PQACP</t>
  </si>
  <si>
    <t>PQACV</t>
  </si>
  <si>
    <t>Propane expenditures in the transportation sector</t>
  </si>
  <si>
    <t>PQCCB</t>
  </si>
  <si>
    <t>Propane consumed by the commercial sector</t>
  </si>
  <si>
    <t>PQCCD</t>
  </si>
  <si>
    <t>Propane price in the commercial sector</t>
  </si>
  <si>
    <t>PQCCP</t>
  </si>
  <si>
    <t>PQCCV</t>
  </si>
  <si>
    <t>Propane expenditures in the commercial sector</t>
  </si>
  <si>
    <t>PQICB</t>
  </si>
  <si>
    <t>Propane consumed by the industrial sector</t>
  </si>
  <si>
    <t>PQICD</t>
  </si>
  <si>
    <t>Propane price in the industrial sector</t>
  </si>
  <si>
    <t>PQICP</t>
  </si>
  <si>
    <t>PQICV</t>
  </si>
  <si>
    <t>Propane expenditures in the industrial sector</t>
  </si>
  <si>
    <t>PQISB</t>
  </si>
  <si>
    <t>Propane consumed in the industrial sector excluding refinery fuel</t>
  </si>
  <si>
    <t>PQRCD</t>
  </si>
  <si>
    <t>Propane price in the residential sector</t>
  </si>
  <si>
    <t>PQRCP</t>
  </si>
  <si>
    <t>PQRCV</t>
  </si>
  <si>
    <t>Propane expenditures in the residential sector</t>
  </si>
  <si>
    <t>PQRFB</t>
  </si>
  <si>
    <t>Propane consumed as refinery fuel</t>
  </si>
  <si>
    <t>PQSCB</t>
  </si>
  <si>
    <t>Propane total consumption adjusted for process fuel</t>
  </si>
  <si>
    <t>PQTCB</t>
  </si>
  <si>
    <t>Propane total consumption</t>
  </si>
  <si>
    <t>PQTCD</t>
  </si>
  <si>
    <t>Propane average price, all sectors</t>
  </si>
  <si>
    <t>PQTCP</t>
  </si>
  <si>
    <t>PQTCV</t>
  </si>
  <si>
    <t>Propane total expenditures</t>
  </si>
  <si>
    <t>PQTXB</t>
  </si>
  <si>
    <t>Propane total end-use consumption</t>
  </si>
  <si>
    <t>PQTXD</t>
  </si>
  <si>
    <t>Propane average price, all end-use sectors</t>
  </si>
  <si>
    <t>PQTXP</t>
  </si>
  <si>
    <t>PQTXV</t>
  </si>
  <si>
    <t>Propane total end-use expenditures</t>
  </si>
  <si>
    <t>PYICB</t>
  </si>
  <si>
    <t>Propylene from refineries consumed by the industrial sector</t>
  </si>
  <si>
    <t>PYICP</t>
  </si>
  <si>
    <t>PYTCB</t>
  </si>
  <si>
    <t>Propylene from refineries total consumption</t>
  </si>
  <si>
    <t>PYTCP</t>
  </si>
  <si>
    <t>REACB</t>
  </si>
  <si>
    <t>Renewable energy sources consumed by the transportation sector</t>
  </si>
  <si>
    <t>RECCB</t>
  </si>
  <si>
    <t>Renewable energy sources consumed by the commercial sector</t>
  </si>
  <si>
    <t>REEIB</t>
  </si>
  <si>
    <t>Renewable energy sources consumed by the electric power sector</t>
  </si>
  <si>
    <t>REGBP</t>
  </si>
  <si>
    <t>Renewable energy total generating units net summer capacity in all sectors</t>
  </si>
  <si>
    <t>REICB</t>
  </si>
  <si>
    <t>Renewable energy sources consumed by the industrial sector</t>
  </si>
  <si>
    <t>REPRB</t>
  </si>
  <si>
    <t>Renewable energy production</t>
  </si>
  <si>
    <t>RETCB</t>
  </si>
  <si>
    <t>Renewable energy total consumption</t>
  </si>
  <si>
    <t>RFACB</t>
  </si>
  <si>
    <t>Residual fuel oil consumed by the transportation sector</t>
  </si>
  <si>
    <t>RFACD</t>
  </si>
  <si>
    <t>Residual fuel oil price in the transportation sector</t>
  </si>
  <si>
    <t>RFACP</t>
  </si>
  <si>
    <t>RFACV</t>
  </si>
  <si>
    <t>Residual fuel oil expenditures in the transportation sector</t>
  </si>
  <si>
    <t>RFCCB</t>
  </si>
  <si>
    <t>Residual fuel oil consumed by the commercial sector</t>
  </si>
  <si>
    <t>RFCCD</t>
  </si>
  <si>
    <t>Residual fuel oil price in the commercial sector</t>
  </si>
  <si>
    <t>RFCCP</t>
  </si>
  <si>
    <t>RFCCV</t>
  </si>
  <si>
    <t>Residual fuel oil expenditures in the commercial sector</t>
  </si>
  <si>
    <t>RFEIB</t>
  </si>
  <si>
    <t>Residual fuel oil consumed by the electric power sector</t>
  </si>
  <si>
    <t>RFEID</t>
  </si>
  <si>
    <t>Residual fuel oil price in the electric power sector</t>
  </si>
  <si>
    <t>RFEIP</t>
  </si>
  <si>
    <t>RFEIV</t>
  </si>
  <si>
    <t>Residual fuel oil expenditures in the electric power sector</t>
  </si>
  <si>
    <t>RFICB</t>
  </si>
  <si>
    <t>Residual fuel oil consumed by the industrial sector</t>
  </si>
  <si>
    <t>RFICD</t>
  </si>
  <si>
    <t>Residual fuel oil price in the industrial sector</t>
  </si>
  <si>
    <t>RFICP</t>
  </si>
  <si>
    <t>RFICV</t>
  </si>
  <si>
    <t>Residual fuel oil expenditures in the industrial sector</t>
  </si>
  <si>
    <t>RFISB</t>
  </si>
  <si>
    <t>Residual fuel oil consumed by the industrial sector excluding refinery fuel</t>
  </si>
  <si>
    <t>RFRFB</t>
  </si>
  <si>
    <t>Residual fuel oil consumed as refinery fuel</t>
  </si>
  <si>
    <t>RFSCB</t>
  </si>
  <si>
    <t>Residential fuel oil total consumption excluding process fuel</t>
  </si>
  <si>
    <t>RFTCB</t>
  </si>
  <si>
    <t>Residual fuel oil total consumption</t>
  </si>
  <si>
    <t>RFTCD</t>
  </si>
  <si>
    <t>Residual fuel oil average price, all sectors</t>
  </si>
  <si>
    <t>RFTCP</t>
  </si>
  <si>
    <t>RFTCV</t>
  </si>
  <si>
    <t>Residual fuel oil total expenditures</t>
  </si>
  <si>
    <t>RFTXB</t>
  </si>
  <si>
    <t>Residual fuel oil total end-use consumption</t>
  </si>
  <si>
    <t>RFTXD</t>
  </si>
  <si>
    <t>Residual fuel oil average price, all end-use sectors</t>
  </si>
  <si>
    <t>RFTXP</t>
  </si>
  <si>
    <t>RFTXV</t>
  </si>
  <si>
    <t>Residual fuel oil total end-use expenditures</t>
  </si>
  <si>
    <t>SFCCB</t>
  </si>
  <si>
    <t>Supplemental gaseous fuels consumed by the commercial sector</t>
  </si>
  <si>
    <t>SFEIB</t>
  </si>
  <si>
    <t>Supplemental gaseous fuels consumed by the electric power sector</t>
  </si>
  <si>
    <t>SFINB</t>
  </si>
  <si>
    <t>Supplemental gaseous fuels consumed by the industrial sector</t>
  </si>
  <si>
    <t>SFTCB</t>
  </si>
  <si>
    <t>Supplemental gaseous fuels total consumption</t>
  </si>
  <si>
    <t>SGICB</t>
  </si>
  <si>
    <t>Still gas consumed by the industrial sector</t>
  </si>
  <si>
    <t>SGICP</t>
  </si>
  <si>
    <t>SHCAS</t>
  </si>
  <si>
    <t>Solar thermal generating units capacity factor</t>
  </si>
  <si>
    <t>SNICB</t>
  </si>
  <si>
    <t>Special naphthas consumed by the industrial sector</t>
  </si>
  <si>
    <t>SNICD</t>
  </si>
  <si>
    <t>Special naphthas price in the industrial sector</t>
  </si>
  <si>
    <t>SNICP</t>
  </si>
  <si>
    <t>SNICV</t>
  </si>
  <si>
    <t>Special naphthas expenditures in the industrial sector</t>
  </si>
  <si>
    <t>SOCCB</t>
  </si>
  <si>
    <t>Solar energy consumed by the commercial sector</t>
  </si>
  <si>
    <t>SOCCP</t>
  </si>
  <si>
    <t>Solar thermal and photovoltaic electricity net generation in the commercial sector</t>
  </si>
  <si>
    <t>SOEGB</t>
  </si>
  <si>
    <t>Solar energy consumed for electricity generation by the electric power sector</t>
  </si>
  <si>
    <t>SOEGP</t>
  </si>
  <si>
    <t>Solar thermal and photovoltaic electricity net generation in the electric power sector</t>
  </si>
  <si>
    <t>SOGBP</t>
  </si>
  <si>
    <t>Solar generating units net summer capacity in all sectors</t>
  </si>
  <si>
    <t>SOICB</t>
  </si>
  <si>
    <t>Solar energy consumed by the industrial sector</t>
  </si>
  <si>
    <t>SOICP</t>
  </si>
  <si>
    <t>Solar thermal and photovoltaic electricity net generation in the industrial sector</t>
  </si>
  <si>
    <t>SOR7P</t>
  </si>
  <si>
    <t>Solar photovoltaic electricity generation by small-scale applications in the residential sector</t>
  </si>
  <si>
    <t>SOTCB</t>
  </si>
  <si>
    <t>Solar energy total consumption</t>
  </si>
  <si>
    <t>SOTGP</t>
  </si>
  <si>
    <t>Solar thermal and photovoltaic electricity total net generation</t>
  </si>
  <si>
    <t>SOTXB</t>
  </si>
  <si>
    <t>Solar energy total end-use consumption</t>
  </si>
  <si>
    <t>SPCAS</t>
  </si>
  <si>
    <t>Solar photovoltaic generating units capacity factor</t>
  </si>
  <si>
    <t>TEACB</t>
  </si>
  <si>
    <t>Total energy consumption in the transportation sector</t>
  </si>
  <si>
    <t>TEACD</t>
  </si>
  <si>
    <t>Total energy average price in the transportation sector</t>
  </si>
  <si>
    <t>TEACV</t>
  </si>
  <si>
    <t>Total energy expenditures in the transportation sector</t>
  </si>
  <si>
    <t>TEAPB</t>
  </si>
  <si>
    <t>Total energy consumption per capita in the transportation sector</t>
  </si>
  <si>
    <t>TECCB</t>
  </si>
  <si>
    <t>Total energy consumption in the commercial sector</t>
  </si>
  <si>
    <t>TECCD</t>
  </si>
  <si>
    <t>Total energy average price in the commercial sector</t>
  </si>
  <si>
    <t>TECCV</t>
  </si>
  <si>
    <t>Total energy expenditures in the commercial sector</t>
  </si>
  <si>
    <t>TECPB</t>
  </si>
  <si>
    <t>Total energy consumption per capita in the commercial sector</t>
  </si>
  <si>
    <t>TEEIB</t>
  </si>
  <si>
    <t>Total energy consumption in the electric power sector plus net imports of electricity into the United States</t>
  </si>
  <si>
    <t>TEGDS</t>
  </si>
  <si>
    <t>Energy expenditures as percent of current-dollar GDP</t>
  </si>
  <si>
    <t>TEICB</t>
  </si>
  <si>
    <t>Total energy consumption in the industrial sector</t>
  </si>
  <si>
    <t>TEICD</t>
  </si>
  <si>
    <t>Total energy average price in the industrial sector</t>
  </si>
  <si>
    <t>TEICV</t>
  </si>
  <si>
    <t>Total energy expenditures in the industrial sector</t>
  </si>
  <si>
    <t>TEIPB</t>
  </si>
  <si>
    <t>Total energy consumption per capita in the industrial sector</t>
  </si>
  <si>
    <t>TEPFB</t>
  </si>
  <si>
    <t>Total energy used as process fuel and other consumption that has no direct fuel costs</t>
  </si>
  <si>
    <t>TEPRB</t>
  </si>
  <si>
    <t>Total primary energy production</t>
  </si>
  <si>
    <t>TERCD</t>
  </si>
  <si>
    <t>Total energy average price in the residential sector</t>
  </si>
  <si>
    <t>TERCV</t>
  </si>
  <si>
    <t>Total energy expenditures in the residential sector</t>
  </si>
  <si>
    <t>TERFB</t>
  </si>
  <si>
    <t>Total energy used as refinery fuel and intermediate products</t>
  </si>
  <si>
    <t>TERPB</t>
  </si>
  <si>
    <t>Total energy consumption per capita in the residential sector</t>
  </si>
  <si>
    <t>TETCB</t>
  </si>
  <si>
    <t>Total energy consumption</t>
  </si>
  <si>
    <t>TETCD</t>
  </si>
  <si>
    <t>Total energy average price</t>
  </si>
  <si>
    <t>TETCV</t>
  </si>
  <si>
    <t>Total energy expenditures</t>
  </si>
  <si>
    <t>TETGR</t>
  </si>
  <si>
    <t>Total energy consumption per dollar of real gross domestic product (GDP)</t>
  </si>
  <si>
    <t>Thousand Btu per chained (2017) dollar</t>
  </si>
  <si>
    <t>TETPB</t>
  </si>
  <si>
    <t>Total energy consumption per capita</t>
  </si>
  <si>
    <t>TETPV</t>
  </si>
  <si>
    <t>Total energy expenditures per capita</t>
  </si>
  <si>
    <t>TETXB</t>
  </si>
  <si>
    <t>Total end-use sector energy consumption</t>
  </si>
  <si>
    <t>TETXD</t>
  </si>
  <si>
    <t>Total end-use energy average price</t>
  </si>
  <si>
    <t>TETXV</t>
  </si>
  <si>
    <t>Total end-use energy expenditures</t>
  </si>
  <si>
    <t>TNACB</t>
  </si>
  <si>
    <t>End-use energy consumption in the transportation sector</t>
  </si>
  <si>
    <t>TNASB</t>
  </si>
  <si>
    <t>Total net energy consumed by the transportation sector, adjusted for process fuel, intermediate products, and fuels with no direct cost</t>
  </si>
  <si>
    <t>TNCCB</t>
  </si>
  <si>
    <t>End-use energy consumption in the commercial sector</t>
  </si>
  <si>
    <t>TNCSB</t>
  </si>
  <si>
    <t>Total net energy consumed by the commercial sector, adjusted for process fuel, intermediate products, and fuels with no direct cost</t>
  </si>
  <si>
    <t>TNICB</t>
  </si>
  <si>
    <t>End-use energy consumption in the industrial sector</t>
  </si>
  <si>
    <t>TNISB</t>
  </si>
  <si>
    <t>Total net energy consumed by the industrial sector, adjusted for process fuel, intermediate products, and fuels with no direct cost</t>
  </si>
  <si>
    <t>TNRSB</t>
  </si>
  <si>
    <t>Total net energy consumed by the residential sector, adjusted for process fuel, intermediate products, and fuels with no direct cost</t>
  </si>
  <si>
    <t>TNSCB</t>
  </si>
  <si>
    <t>Total net energy consumption, adjusted for process fuel, intermediate products, and fuels with no direct cost</t>
  </si>
  <si>
    <t>TNTCB</t>
  </si>
  <si>
    <t>Total end-use energy consumption</t>
  </si>
  <si>
    <t>TPOPP</t>
  </si>
  <si>
    <t>Resident population including Armed Forces</t>
  </si>
  <si>
    <t>Thousand</t>
  </si>
  <si>
    <t>UOICB</t>
  </si>
  <si>
    <t>Unfinished oils consumed by the industrial sector</t>
  </si>
  <si>
    <t>UOICP</t>
  </si>
  <si>
    <t>USICB</t>
  </si>
  <si>
    <t>Unfractionated streams consumed by the industrial sector (through 1983)</t>
  </si>
  <si>
    <t>USICP</t>
  </si>
  <si>
    <t>WDCCB</t>
  </si>
  <si>
    <t>Wood energy consumed by the commercial sector</t>
  </si>
  <si>
    <t>WDEIB</t>
  </si>
  <si>
    <t>Wood consumed by the electric power sector</t>
  </si>
  <si>
    <t>WDEXB</t>
  </si>
  <si>
    <t>Densified biomass exports (available for 2016 forward)</t>
  </si>
  <si>
    <t>WDGBP</t>
  </si>
  <si>
    <t>Wood generating units net summer capacity in all sectors</t>
  </si>
  <si>
    <t>WDICB</t>
  </si>
  <si>
    <t>Wood energy consumed by the industrial sector</t>
  </si>
  <si>
    <t>WDPRB</t>
  </si>
  <si>
    <t>Wood energy production</t>
  </si>
  <si>
    <t>WDRCD</t>
  </si>
  <si>
    <t>Wood price in the residential sector</t>
  </si>
  <si>
    <t>WDRCV</t>
  </si>
  <si>
    <t>Wood expenditures in the residential sector</t>
  </si>
  <si>
    <t>WDRSB</t>
  </si>
  <si>
    <t>Wood energy consumed in the residential sector at a cost</t>
  </si>
  <si>
    <t>WDRXB</t>
  </si>
  <si>
    <t>Wood energy consumed in the residential sector at no cost</t>
  </si>
  <si>
    <t>WDTCB</t>
  </si>
  <si>
    <t>Wood energy total consumption</t>
  </si>
  <si>
    <t>WSCCB</t>
  </si>
  <si>
    <t>Waste energy consumed by the commercial sector</t>
  </si>
  <si>
    <t>WSEIB</t>
  </si>
  <si>
    <t>Waste consumed by the electric power sector</t>
  </si>
  <si>
    <t>WSGBP</t>
  </si>
  <si>
    <t>Waste generating units net summer capacity in all sectors</t>
  </si>
  <si>
    <t>WSICB</t>
  </si>
  <si>
    <t>Waste energy consumed by the industrial sector</t>
  </si>
  <si>
    <t>WSTCB</t>
  </si>
  <si>
    <t>Waste energy total consumption</t>
  </si>
  <si>
    <t>WWCCB</t>
  </si>
  <si>
    <t>Wood and waste consumed in the commercial sector</t>
  </si>
  <si>
    <t>WWCCD</t>
  </si>
  <si>
    <t>Wood and waste price in the commercial sector</t>
  </si>
  <si>
    <t>WWCCV</t>
  </si>
  <si>
    <t>Wood and waste expenditures in the commercial sector</t>
  </si>
  <si>
    <t>WWCSB</t>
  </si>
  <si>
    <t>Wood and waste energy consumed in the commercial sector at a cost</t>
  </si>
  <si>
    <t>WWCXB</t>
  </si>
  <si>
    <t>Wood and waste energy consumed in the commercial sector at no cost</t>
  </si>
  <si>
    <t>WWEIB</t>
  </si>
  <si>
    <t>Wood and waste consumed by the electric power sector</t>
  </si>
  <si>
    <t>WWEID</t>
  </si>
  <si>
    <t>Wood and waste price in the electric power sector</t>
  </si>
  <si>
    <t>WWEIV</t>
  </si>
  <si>
    <t>Wood and waste expenditures in the electric power sector</t>
  </si>
  <si>
    <t>WWICB</t>
  </si>
  <si>
    <t>Wood and waste consumed in the industrial sector</t>
  </si>
  <si>
    <t>WWICD</t>
  </si>
  <si>
    <t>Wood and waste price in the industrial sector</t>
  </si>
  <si>
    <t>WWICV</t>
  </si>
  <si>
    <t>Wood and waste expenditures in the industrial sector</t>
  </si>
  <si>
    <t>WWISB</t>
  </si>
  <si>
    <t>Wood and waste energy consumed in the industrial sector at a cost</t>
  </si>
  <si>
    <t>WWIXB</t>
  </si>
  <si>
    <t>Wood and waste energy consumed in the industrial sector at no cost</t>
  </si>
  <si>
    <t>WWPRB</t>
  </si>
  <si>
    <t>Wood and waste energy production</t>
  </si>
  <si>
    <t>WWSCB</t>
  </si>
  <si>
    <t>Wood and waste energy total consumption, adjusted for fuels with no direct cost</t>
  </si>
  <si>
    <t>WWTCB</t>
  </si>
  <si>
    <t>Wood and waste total consumption</t>
  </si>
  <si>
    <t>WWTCD</t>
  </si>
  <si>
    <t>Wood and waste average price, all sectors</t>
  </si>
  <si>
    <t>WWTCV</t>
  </si>
  <si>
    <t>Wood and waste total expenditures</t>
  </si>
  <si>
    <t>WWTXB</t>
  </si>
  <si>
    <t>Wood and waste total end-use consumption</t>
  </si>
  <si>
    <t>WWTXD</t>
  </si>
  <si>
    <t>Wood and waste average price, all end-use sectors</t>
  </si>
  <si>
    <t>WWTXV</t>
  </si>
  <si>
    <t>Wood and waste total end-use expenditures</t>
  </si>
  <si>
    <t>WXICB</t>
  </si>
  <si>
    <t>Waxes consumed by the industrial sector</t>
  </si>
  <si>
    <t>WXICD</t>
  </si>
  <si>
    <t>Waxes price in the industrial sector</t>
  </si>
  <si>
    <t>WXICP</t>
  </si>
  <si>
    <t>WXICV</t>
  </si>
  <si>
    <t>Waxes expenditures in the industrial sector</t>
  </si>
  <si>
    <t>WYCAS</t>
  </si>
  <si>
    <t>Wind generating units capacity factor</t>
  </si>
  <si>
    <t>WYCCB</t>
  </si>
  <si>
    <t>Wind energy consumed by the commercial sector</t>
  </si>
  <si>
    <t>WYCCP</t>
  </si>
  <si>
    <t>Wind electricity net generation in the commercial sector</t>
  </si>
  <si>
    <t>WYEGB</t>
  </si>
  <si>
    <t>Wind energy consumed for electricity generation by the electric power sector</t>
  </si>
  <si>
    <t>WYEGP</t>
  </si>
  <si>
    <t>Wind electricity net generation in the electric power sector</t>
  </si>
  <si>
    <t>WYGBP</t>
  </si>
  <si>
    <t>Wind generating units net summer capacity in all sectors</t>
  </si>
  <si>
    <t>WYICB</t>
  </si>
  <si>
    <t>Wind energy consumed by the industrial sector</t>
  </si>
  <si>
    <t>WYICP</t>
  </si>
  <si>
    <t>Wind electricity net generation in the industrial sector</t>
  </si>
  <si>
    <t>WYTCB</t>
  </si>
  <si>
    <t>Wind energy total consumption</t>
  </si>
  <si>
    <t>WYTCP</t>
  </si>
  <si>
    <t>Wind electricity total net generation</t>
  </si>
  <si>
    <t>WYTXB</t>
  </si>
  <si>
    <t>Wind energy total end-use consumption</t>
  </si>
  <si>
    <t>WYTXP</t>
  </si>
  <si>
    <t>Wind energy total end-use net generation</t>
  </si>
  <si>
    <t>WZEIB</t>
  </si>
  <si>
    <t>Waste, excluding biodiesel, consumed by the electric power sector</t>
  </si>
  <si>
    <t>WZTCB</t>
  </si>
  <si>
    <t>Waste, excluding biodiesel, total consumption</t>
  </si>
  <si>
    <t>ZWCDP</t>
  </si>
  <si>
    <t>Cooling degree days (CDD)</t>
  </si>
  <si>
    <t>Days</t>
  </si>
  <si>
    <t>ZWHDP</t>
  </si>
  <si>
    <t>Heating degree days (HDD)</t>
  </si>
  <si>
    <t>This spreadsheet compliments an MS Access database (filename SEDS_P25) which is contains all time series from the Energy Information Administration's State Energy Data System updated as of March 28, 2025, downloaded on April 7, 2025</t>
  </si>
  <si>
    <t>Substrings</t>
  </si>
  <si>
    <t>https://www.eia.gov/state/seds/seds-technical-notes-complete.php#Data%20File%20Documentation</t>
  </si>
  <si>
    <t>https://www.eia.gov/state/seds/CDF/Codes_and_Descriptions.xlsx</t>
  </si>
  <si>
    <t>https://www.eia.gov/state/seds/sep_prices/notes/pr_csv_doc.pdf</t>
  </si>
  <si>
    <t xml:space="preserve">Consumption: </t>
  </si>
  <si>
    <t>https://www.eia.gov/state/seds/sep_use/notes/use_csv_doc.pdf</t>
  </si>
  <si>
    <t>Expenditure and Prices:</t>
  </si>
  <si>
    <t>https://www.eia.gov/state/seds/sep_prod/prod_csv_doc.pdf</t>
  </si>
  <si>
    <t>Production:</t>
  </si>
  <si>
    <t>Indicators:</t>
  </si>
  <si>
    <t>https://www.eia.gov/state/seds/sep_indicators/ei_csv_doc.pdf</t>
  </si>
  <si>
    <t xml:space="preserve">https://www.eia.gov/state/seds/sep_use/notes/use_guide.pdf </t>
  </si>
  <si>
    <t>For decode of letter components see:</t>
  </si>
  <si>
    <t>Propane</t>
  </si>
  <si>
    <t>Diesel and Home Heating Fuel (Distillate Fuel Oil)</t>
  </si>
  <si>
    <t>Kerosene</t>
  </si>
  <si>
    <t>Coal (All types)</t>
  </si>
  <si>
    <t>Natural Gas</t>
  </si>
  <si>
    <t>Finished Motor Gasoline</t>
  </si>
  <si>
    <t>Residual Heating Fuel (Businesses only)</t>
  </si>
  <si>
    <t>Other transportation fuels</t>
  </si>
  <si>
    <t>Jet Fuel</t>
  </si>
  <si>
    <t>Industrial fuels and others not listed above</t>
  </si>
  <si>
    <t>Petroleum coke</t>
  </si>
  <si>
    <t>Nonfuel uses</t>
  </si>
  <si>
    <t>Asphalt and Road Oil</t>
  </si>
  <si>
    <t>Lubricants</t>
  </si>
  <si>
    <t>Naphthas for Petrochemical Feedstock Use</t>
  </si>
  <si>
    <t>Other Oils for Petrochemical Feedstock Use</t>
  </si>
  <si>
    <t>Special Naphthas (solvents)</t>
  </si>
  <si>
    <t>Coals by type</t>
  </si>
  <si>
    <t>Anthracite</t>
  </si>
  <si>
    <t>Bituminous</t>
  </si>
  <si>
    <t>Subbituminous</t>
  </si>
  <si>
    <t>Lignite</t>
  </si>
  <si>
    <t>Coke</t>
  </si>
  <si>
    <t>Other fuels</t>
  </si>
  <si>
    <t>Geothermal (steam)</t>
  </si>
  <si>
    <t>NA</t>
  </si>
  <si>
    <t>Geothermal (binary cycle)</t>
  </si>
  <si>
    <t>For homes and businesses</t>
  </si>
  <si>
    <t>Carbon Dioxide Emissions Coefficients</t>
  </si>
  <si>
    <r>
      <t>Release Date:</t>
    </r>
    <r>
      <rPr>
        <sz val="11"/>
        <color theme="1"/>
        <rFont val="Aptos Narrow"/>
        <family val="2"/>
        <scheme val="minor"/>
      </rPr>
      <t xml:space="preserve"> September 18, 2024, downloaded April 8, 2025</t>
    </r>
  </si>
  <si>
    <t>Category</t>
  </si>
  <si>
    <t>Fuel</t>
  </si>
  <si>
    <r>
      <t xml:space="preserve">Data source: Carbon factors provided by the U.S. Environmental Protection Agency, </t>
    </r>
    <r>
      <rPr>
        <b/>
        <i/>
        <sz val="9"/>
        <color indexed="8"/>
        <rFont val="Calibri"/>
        <family val="2"/>
      </rPr>
      <t>Inventory of U.S. Greenhouse Gas Emissions and Sinks: 1990-2022</t>
    </r>
    <r>
      <rPr>
        <b/>
        <sz val="9"/>
        <color indexed="8"/>
        <rFont val="Calibri"/>
        <family val="2"/>
      </rPr>
      <t>, Tables A-20, A-25, A-32, and A-226</t>
    </r>
  </si>
  <si>
    <r>
      <rPr>
        <b/>
        <vertAlign val="superscript"/>
        <sz val="9"/>
        <color indexed="8"/>
        <rFont val="Calibri"/>
        <family val="2"/>
      </rPr>
      <t xml:space="preserve">a </t>
    </r>
    <r>
      <rPr>
        <b/>
        <sz val="9"/>
        <color indexed="8"/>
        <rFont val="Calibri"/>
        <family val="2"/>
      </rPr>
      <t>Excludes fuel ethanol blended into motor gasoline. The fuel ethanol component of finished motor gasoline is treated as nonemissive. See methodology documentation for further details on calculations.</t>
    </r>
  </si>
  <si>
    <r>
      <rPr>
        <b/>
        <vertAlign val="superscript"/>
        <sz val="9"/>
        <color indexed="8"/>
        <rFont val="Calibri"/>
        <family val="2"/>
      </rPr>
      <t xml:space="preserve">b </t>
    </r>
    <r>
      <rPr>
        <b/>
        <sz val="9"/>
        <color indexed="8"/>
        <rFont val="Calibri"/>
        <family val="2"/>
      </rPr>
      <t xml:space="preserve">Carbon factors for municipal solid waste, tire-derived fuel, and waste oil are provided by the U.S. Environmental Protection Agency, </t>
    </r>
    <r>
      <rPr>
        <b/>
        <i/>
        <sz val="9"/>
        <color indexed="8"/>
        <rFont val="Calibri"/>
        <family val="2"/>
      </rPr>
      <t>Greenhouse Gas Emissions Factor Hub</t>
    </r>
  </si>
  <si>
    <r>
      <rPr>
        <b/>
        <vertAlign val="superscript"/>
        <sz val="9"/>
        <color indexed="8"/>
        <rFont val="Calibri"/>
        <family val="2"/>
      </rPr>
      <t xml:space="preserve">c </t>
    </r>
    <r>
      <rPr>
        <b/>
        <sz val="9"/>
        <color indexed="8"/>
        <rFont val="Calibri"/>
        <family val="2"/>
      </rPr>
      <t>The carbon factor for municipal solid waste has been adjusted to apply both to biogenic and non-biogenic waste</t>
    </r>
  </si>
  <si>
    <t>Note: To convert to carbon equivalents multiply by 12/44.</t>
  </si>
  <si>
    <t>Coefficients may vary slightly with estimation method and across time.</t>
  </si>
  <si>
    <r>
      <t>Coefficients are based on data from 2022. EIA uses these coefficients for estimating 2023, and more recent, energy-related CO</t>
    </r>
    <r>
      <rPr>
        <b/>
        <vertAlign val="subscript"/>
        <sz val="9"/>
        <color indexed="8"/>
        <rFont val="Calibri"/>
        <family val="2"/>
      </rPr>
      <t>2</t>
    </r>
    <r>
      <rPr>
        <b/>
        <sz val="9"/>
        <color indexed="8"/>
        <rFont val="Calibri"/>
        <family val="2"/>
      </rPr>
      <t xml:space="preserve"> emissions. </t>
    </r>
  </si>
  <si>
    <t>Carbon Dioxide Emissions Coefficients by Fuel</t>
  </si>
  <si>
    <r>
      <t>Pounds CO</t>
    </r>
    <r>
      <rPr>
        <b/>
        <vertAlign val="subscript"/>
        <sz val="9"/>
        <color indexed="8"/>
        <rFont val="Calibri"/>
        <family val="2"/>
      </rPr>
      <t>2</t>
    </r>
    <r>
      <rPr>
        <b/>
        <sz val="9"/>
        <color indexed="8"/>
        <rFont val="Calibri"/>
        <family val="2"/>
      </rPr>
      <t xml:space="preserve"> </t>
    </r>
  </si>
  <si>
    <r>
      <t>Kilograms CO</t>
    </r>
    <r>
      <rPr>
        <b/>
        <vertAlign val="subscript"/>
        <sz val="9"/>
        <color indexed="8"/>
        <rFont val="Calibri"/>
        <family val="2"/>
      </rPr>
      <t>2</t>
    </r>
  </si>
  <si>
    <r>
      <t>Pounds CO</t>
    </r>
    <r>
      <rPr>
        <b/>
        <vertAlign val="subscript"/>
        <sz val="9"/>
        <color indexed="8"/>
        <rFont val="Calibri"/>
        <family val="2"/>
      </rPr>
      <t>2</t>
    </r>
  </si>
  <si>
    <r>
      <t>Carbon Dioxide (CO</t>
    </r>
    <r>
      <rPr>
        <b/>
        <vertAlign val="subscript"/>
        <sz val="9"/>
        <color indexed="8"/>
        <rFont val="Calibri"/>
        <family val="2"/>
      </rPr>
      <t>2</t>
    </r>
    <r>
      <rPr>
        <b/>
        <sz val="9"/>
        <color indexed="8"/>
        <rFont val="Calibri"/>
        <family val="2"/>
      </rPr>
      <t xml:space="preserve">) Factors: </t>
    </r>
  </si>
  <si>
    <t>Per Unit of Volume or Mass</t>
  </si>
  <si>
    <t>Per Million Btu</t>
  </si>
  <si>
    <t>gallon</t>
  </si>
  <si>
    <t>short ton</t>
  </si>
  <si>
    <t>thousand cubic feet</t>
  </si>
  <si>
    <r>
      <t>Motor Gasoline</t>
    </r>
    <r>
      <rPr>
        <vertAlign val="superscript"/>
        <sz val="9"/>
        <color theme="1"/>
        <rFont val="Aptos Narrow"/>
        <family val="2"/>
        <scheme val="minor"/>
      </rPr>
      <t>a</t>
    </r>
  </si>
  <si>
    <t>Aviation Gasoline</t>
  </si>
  <si>
    <t xml:space="preserve">Waxes </t>
  </si>
  <si>
    <r>
      <t>Municipal Solid Waste</t>
    </r>
    <r>
      <rPr>
        <vertAlign val="superscript"/>
        <sz val="9"/>
        <color indexed="8"/>
        <rFont val="Calibri"/>
        <family val="2"/>
      </rPr>
      <t>b,c</t>
    </r>
  </si>
  <si>
    <r>
      <t>Tire-derived fuel</t>
    </r>
    <r>
      <rPr>
        <vertAlign val="superscript"/>
        <sz val="9"/>
        <color indexed="8"/>
        <rFont val="Calibri"/>
        <family val="2"/>
      </rPr>
      <t>b</t>
    </r>
  </si>
  <si>
    <r>
      <t>Waste oil</t>
    </r>
    <r>
      <rPr>
        <vertAlign val="superscript"/>
        <sz val="9"/>
        <color indexed="8"/>
        <rFont val="Calibri"/>
        <family val="2"/>
      </rPr>
      <t>b</t>
    </r>
  </si>
  <si>
    <t>https://www.eia.gov/environment/emissions/xls/co2_vol_mass.xlsx</t>
  </si>
  <si>
    <t>https://www.epa.gov/system/files/documents/2024-04/us-ghg-inventory-2024-annex-2-emissions-fossil-fuel-combustion.pdf</t>
  </si>
  <si>
    <t>Table A-21 offers additional values for BTU</t>
  </si>
  <si>
    <t>HGL (Energy Use)</t>
  </si>
  <si>
    <t>https://www.epa.gov/ghgemissions/inventory-us-greenhouse-gas-emissions-and-sinks-1990-2022</t>
  </si>
  <si>
    <t>https://www.epa.gov/ghgemissions/inventory-us-greenhouse-gas-emissions-and-sinks</t>
  </si>
  <si>
    <t>Compare to BTU Table from EPA 1990-2022 Inventory Report</t>
  </si>
  <si>
    <t>PQ</t>
  </si>
  <si>
    <t>DF</t>
  </si>
  <si>
    <t>KS</t>
  </si>
  <si>
    <t>CL</t>
  </si>
  <si>
    <t>NG</t>
  </si>
  <si>
    <t>NG Includes Supplemental Gaseous fuels, assume at same btu?</t>
  </si>
  <si>
    <t>MG</t>
  </si>
  <si>
    <t>JF</t>
  </si>
  <si>
    <t>SN</t>
  </si>
  <si>
    <t>Includes ethanol</t>
  </si>
  <si>
    <t>MM</t>
  </si>
  <si>
    <t>SS</t>
  </si>
  <si>
    <t>CC</t>
  </si>
  <si>
    <t>Unfinished, excluding fuel ethanol</t>
  </si>
  <si>
    <t>RF</t>
  </si>
  <si>
    <t>AB</t>
  </si>
  <si>
    <t>PC</t>
  </si>
  <si>
    <t>AR</t>
  </si>
  <si>
    <t>LU</t>
  </si>
  <si>
    <t>FN</t>
  </si>
  <si>
    <t>petrochemical feedstocks, naphtha less than 401˚F</t>
  </si>
  <si>
    <t>petrochemical feedstocks, other oils equal to or greater</t>
  </si>
  <si>
    <t>than 401˚F</t>
  </si>
  <si>
    <t>FO</t>
  </si>
  <si>
    <t>WX</t>
  </si>
  <si>
    <t>GE</t>
  </si>
  <si>
    <t>WS</t>
  </si>
  <si>
    <t>MSN Code</t>
  </si>
  <si>
    <t>Table CT4. Residential sector energy consumption estimates, 1960-2022, Massachusetts</t>
  </si>
  <si>
    <t>Year</t>
  </si>
  <si>
    <r>
      <t xml:space="preserve">Coal </t>
    </r>
    <r>
      <rPr>
        <b/>
        <vertAlign val="superscript"/>
        <sz val="11"/>
        <color theme="1"/>
        <rFont val="Aptos Narrow"/>
        <family val="2"/>
        <scheme val="minor"/>
      </rPr>
      <t>a</t>
    </r>
  </si>
  <si>
    <t>Natural</t>
  </si>
  <si>
    <r>
      <t xml:space="preserve">gas </t>
    </r>
    <r>
      <rPr>
        <b/>
        <vertAlign val="superscript"/>
        <sz val="11"/>
        <color theme="1"/>
        <rFont val="Aptos Narrow"/>
        <family val="2"/>
        <scheme val="minor"/>
      </rPr>
      <t>b</t>
    </r>
  </si>
  <si>
    <t>Petroleum</t>
  </si>
  <si>
    <t>Biomass</t>
  </si>
  <si>
    <r>
      <t xml:space="preserve">Geothermal </t>
    </r>
    <r>
      <rPr>
        <b/>
        <vertAlign val="superscript"/>
        <sz val="11"/>
        <color theme="1"/>
        <rFont val="Aptos Narrow"/>
        <family val="2"/>
        <scheme val="minor"/>
      </rPr>
      <t>e</t>
    </r>
  </si>
  <si>
    <r>
      <t xml:space="preserve">Solar </t>
    </r>
    <r>
      <rPr>
        <b/>
        <vertAlign val="superscript"/>
        <sz val="11"/>
        <color theme="1"/>
        <rFont val="Aptos Narrow"/>
        <family val="2"/>
        <scheme val="minor"/>
      </rPr>
      <t>e,f</t>
    </r>
  </si>
  <si>
    <r>
      <t xml:space="preserve">Electricity </t>
    </r>
    <r>
      <rPr>
        <b/>
        <vertAlign val="superscript"/>
        <sz val="11"/>
        <color theme="1"/>
        <rFont val="Aptos Narrow"/>
        <family val="2"/>
        <scheme val="minor"/>
      </rPr>
      <t>g</t>
    </r>
  </si>
  <si>
    <t>End</t>
  </si>
  <si>
    <r>
      <t xml:space="preserve">use </t>
    </r>
    <r>
      <rPr>
        <b/>
        <vertAlign val="superscript"/>
        <sz val="11"/>
        <color theme="1"/>
        <rFont val="Aptos Narrow"/>
        <family val="2"/>
        <scheme val="minor"/>
      </rPr>
      <t>e,h</t>
    </r>
  </si>
  <si>
    <t>Electrical</t>
  </si>
  <si>
    <t>system</t>
  </si>
  <si>
    <t>energy</t>
  </si>
  <si>
    <r>
      <t xml:space="preserve">losses </t>
    </r>
    <r>
      <rPr>
        <b/>
        <vertAlign val="superscript"/>
        <sz val="11"/>
        <color theme="1"/>
        <rFont val="Aptos Narrow"/>
        <family val="2"/>
        <scheme val="minor"/>
      </rPr>
      <t>i</t>
    </r>
  </si>
  <si>
    <r>
      <t xml:space="preserve">Total </t>
    </r>
    <r>
      <rPr>
        <b/>
        <vertAlign val="superscript"/>
        <sz val="11"/>
        <color theme="1"/>
        <rFont val="Aptos Narrow"/>
        <family val="2"/>
        <scheme val="minor"/>
      </rPr>
      <t>e,h</t>
    </r>
  </si>
  <si>
    <t>Distillate</t>
  </si>
  <si>
    <t>fuel oil</t>
  </si>
  <si>
    <r>
      <t xml:space="preserve">HGL </t>
    </r>
    <r>
      <rPr>
        <b/>
        <vertAlign val="superscript"/>
        <sz val="11"/>
        <color theme="1"/>
        <rFont val="Aptos Narrow"/>
        <family val="2"/>
        <scheme val="minor"/>
      </rPr>
      <t>c</t>
    </r>
  </si>
  <si>
    <t>Total</t>
  </si>
  <si>
    <r>
      <t xml:space="preserve">Wood </t>
    </r>
    <r>
      <rPr>
        <b/>
        <vertAlign val="superscript"/>
        <sz val="11"/>
        <color theme="1"/>
        <rFont val="Aptos Narrow"/>
        <family val="2"/>
        <scheme val="minor"/>
      </rPr>
      <t>d</t>
    </r>
  </si>
  <si>
    <t>short tons</t>
  </si>
  <si>
    <t>Billion</t>
  </si>
  <si>
    <t>cubic feet</t>
  </si>
  <si>
    <t>Million</t>
  </si>
  <si>
    <t>kilowatthours</t>
  </si>
  <si>
    <t>– –</t>
  </si>
  <si>
    <t>[R ]</t>
  </si>
  <si>
    <t>Trillion Btu</t>
  </si>
  <si>
    <t>(s)</t>
  </si>
  <si>
    <t>https://www.eia.gov/state/seds/data.php?incfile=/state/seds/sep_use/res/use_res_MA.html&amp;sid=MA</t>
  </si>
  <si>
    <t>HL</t>
  </si>
  <si>
    <t>hydrocarbon liquids asssumed to be propane in table CT-4, note C</t>
  </si>
  <si>
    <t>Char34</t>
  </si>
  <si>
    <t>Char5</t>
  </si>
  <si>
    <t>StateCode</t>
  </si>
  <si>
    <t>P</t>
  </si>
  <si>
    <t>MA</t>
  </si>
  <si>
    <t>SERIES DECODE</t>
  </si>
  <si>
    <t>YEAR</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</si>
  <si>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</si>
  <si>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</si>
  <si>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</si>
  <si>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</si>
  <si>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</si>
  <si>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</si>
  <si>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</si>
  <si>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</si>
  <si>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</si>
  <si>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</si>
  <si>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</si>
  <si>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</si>
  <si>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</si>
  <si>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</si>
  <si>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</si>
  <si>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</si>
  <si>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</si>
  <si>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</si>
  <si>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</si>
  <si>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</si>
  <si>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</si>
  <si>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</si>
  <si>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</si>
  <si>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</si>
  <si>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</si>
  <si>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</si>
  <si>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</si>
  <si>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</si>
  <si>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</si>
  <si>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</si>
  <si>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</si>
  <si>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</si>
  <si>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</si>
  <si>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</si>
  <si>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</si>
  <si>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</si>
  <si>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</si>
  <si>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</si>
  <si>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</si>
  <si>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</si>
  <si>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</si>
  <si>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</si>
  <si>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</si>
  <si>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</si>
  <si>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</si>
  <si>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</si>
  <si>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</si>
  <si>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</si>
  <si>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</si>
  <si>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</si>
  <si>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</si>
  <si>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</si>
  <si>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</si>
  <si>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</si>
  <si>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</si>
  <si>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</si>
  <si>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</si>
  <si>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</si>
  <si>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</si>
  <si>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</si>
  <si>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</si>
  <si>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</si>
  <si>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</si>
  <si>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</si>
  <si>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Zero Always</t>
  </si>
  <si>
    <t>Coal Match</t>
  </si>
  <si>
    <t>Natural Gas Match</t>
  </si>
  <si>
    <t>Distillate Fuel Oil Match</t>
  </si>
  <si>
    <t>HGL Match</t>
  </si>
  <si>
    <t>Kerosene Match</t>
  </si>
  <si>
    <t>Electricity sales match</t>
  </si>
  <si>
    <t>Total Petroleum Match</t>
  </si>
  <si>
    <t>PROPANE SERIES SAME HL SERIES FOR YEARS PRESENT</t>
  </si>
  <si>
    <t>This sheet checks reproduction of table ct-4 from series IN PHYSICAL UNITS</t>
  </si>
  <si>
    <t>This sheet checks reproduction of table ct-4 from series IN ENERGY PRODUCED UNITS</t>
  </si>
  <si>
    <t>DF Match</t>
  </si>
  <si>
    <t>NG Match</t>
  </si>
  <si>
    <t>HL Match</t>
  </si>
  <si>
    <t>KS Match</t>
  </si>
  <si>
    <t>PA Match</t>
  </si>
  <si>
    <t>WD Match</t>
  </si>
  <si>
    <t>GE Match</t>
  </si>
  <si>
    <t>SO Match</t>
  </si>
  <si>
    <t>ES Match</t>
  </si>
  <si>
    <t>TN Match</t>
  </si>
  <si>
    <t>TE Match</t>
  </si>
  <si>
    <t>LO Match</t>
  </si>
  <si>
    <t>Check SUM TE v TN</t>
  </si>
  <si>
    <t>Check Sum TN</t>
  </si>
  <si>
    <t>Check Sum PA</t>
  </si>
  <si>
    <t>Check Sum RE</t>
  </si>
  <si>
    <t>MMTons CO2 Emissions</t>
  </si>
  <si>
    <t>NOTE:  Must back out SFRCB double counted, but rounding error since 1990</t>
  </si>
  <si>
    <t>MMTCO2</t>
  </si>
  <si>
    <t>Residential</t>
  </si>
  <si>
    <t>Coal</t>
  </si>
  <si>
    <t xml:space="preserve">              -  </t>
  </si>
  <si>
    <t xml:space="preserve">                  -  </t>
  </si>
  <si>
    <t xml:space="preserve">             -  </t>
  </si>
  <si>
    <t xml:space="preserve">                 -  </t>
  </si>
  <si>
    <t xml:space="preserve">               -  </t>
  </si>
  <si>
    <t>Comparison Values from DEP Inventory</t>
  </si>
  <si>
    <t>https://www.mass.gov/lists/massdep-emissions-inventories</t>
  </si>
  <si>
    <t>Appendix C: Massachusetts Annual Greenhouse Gas Emissions Inventory: 1990-2021, with Partial 2022 &amp; 2023 Data</t>
  </si>
  <si>
    <t>https://www.mass.gov/doc/appendix-c-massachusetts-annual-greenhouse-gas-emissions-inventory-1990-2021-with-partial-2022-2023-data/download</t>
  </si>
  <si>
    <t>Downloaded on April 8, 2025</t>
  </si>
  <si>
    <t>Check vs Generated</t>
  </si>
  <si>
    <t>Unit Conversion Factors from Emission Table Units to Series Units (Scale up)</t>
  </si>
  <si>
    <t xml:space="preserve">DF </t>
  </si>
  <si>
    <t>Spreadsheet of computations and notes</t>
  </si>
  <si>
    <t>https://willbrownsberger.com/how-much-is-the-efficiency-of-the-existing-housing-stock-improving/</t>
  </si>
  <si>
    <t>Comparison to previously downloaded Table CT4 (9/23)</t>
  </si>
  <si>
    <t>https://www.epa.gov/climateleadership/ghg-emission-factors-hub</t>
  </si>
  <si>
    <t>GHG Emission Factors Hub</t>
  </si>
  <si>
    <t>Natural Gas kgCO2 per SCF</t>
  </si>
  <si>
    <t>Stationary combustion 202</t>
  </si>
  <si>
    <t>Natural Gas mmBtu per scf</t>
  </si>
  <si>
    <t>Natural Gas kgCO2 per MMBTU</t>
  </si>
  <si>
    <t>Distillate Fuel #4 kgCO2 per gallon</t>
  </si>
  <si>
    <t>Distillate Fuel  #4 mmBTU per gallon</t>
  </si>
  <si>
    <t>Distiallate Fuel #4 kgCO2 per MMBTU</t>
  </si>
  <si>
    <t>Comparison points Emission Factors, past few generations from EPA, downloaded as of April 8. 2025</t>
  </si>
  <si>
    <t>2023 Version last modified on 12 September 2023</t>
  </si>
  <si>
    <t>2024 Version last modified on January 5, 2024</t>
  </si>
  <si>
    <t>2025 Version last modified on January 15, 2025</t>
  </si>
  <si>
    <t>NOTE: Differences in conversion factors -- by date of publication, by date of applicability -- do occur.These appear to contribute to differences in computed emissions.  Physical volume does not appear to have been updated -- the current volumes appear to be the same as reported in 9/23 for prior years.  So, differences in chosen emissions factors account for the differences in generated emissions from DEP inventory.  These differences are under 1.5% in any given year with the BTU computations closer than physical computations.</t>
  </si>
  <si>
    <r>
      <t>State Inventory Tool</t>
    </r>
    <r>
      <rPr>
        <b/>
        <sz val="14"/>
        <color rgb="FF000080"/>
        <rFont val="Comic Sans MS"/>
        <family val="4"/>
      </rPr>
      <t xml:space="preserve"> - </t>
    </r>
    <r>
      <rPr>
        <b/>
        <i/>
        <sz val="14"/>
        <color rgb="FF000080"/>
        <rFont val="Comic Sans MS"/>
        <family val="4"/>
      </rPr>
      <t>Direct</t>
    </r>
    <r>
      <rPr>
        <b/>
        <sz val="14"/>
        <color rgb="FF000080"/>
        <rFont val="Comic Sans MS"/>
        <family val="4"/>
      </rPr>
      <t xml:space="preserve"> </t>
    </r>
    <r>
      <rPr>
        <b/>
        <i/>
        <sz val="14"/>
        <color rgb="FF000080"/>
        <rFont val="Comic Sans MS"/>
        <family val="4"/>
      </rPr>
      <t>CO</t>
    </r>
    <r>
      <rPr>
        <b/>
        <i/>
        <vertAlign val="subscript"/>
        <sz val="14"/>
        <color rgb="FF000080"/>
        <rFont val="Comic Sans MS"/>
        <family val="4"/>
      </rPr>
      <t>2</t>
    </r>
    <r>
      <rPr>
        <b/>
        <i/>
        <sz val="14"/>
        <color rgb="FF000080"/>
        <rFont val="Comic Sans MS"/>
        <family val="4"/>
      </rPr>
      <t xml:space="preserve"> Emissions from Combustion of Fossil Fuels</t>
    </r>
    <r>
      <rPr>
        <b/>
        <i/>
        <sz val="11"/>
        <color rgb="FF000080"/>
        <rFont val="Comic Sans MS"/>
        <family val="4"/>
      </rPr>
      <t xml:space="preserve">
Version 2023.2</t>
    </r>
  </si>
  <si>
    <t>https://www.epa.gov/statelocalenergy/download-state-inventory-and-projection-tool</t>
  </si>
  <si>
    <t>Always using default values</t>
  </si>
  <si>
    <t>MMTCO2E from Summary Tab 10 for Residential Sector</t>
  </si>
  <si>
    <t>EST 2021</t>
  </si>
  <si>
    <t>CT</t>
  </si>
  <si>
    <t>ME</t>
  </si>
  <si>
    <t>NH</t>
  </si>
  <si>
    <t>NY</t>
  </si>
  <si>
    <t>RI</t>
  </si>
  <si>
    <t>VT</t>
  </si>
  <si>
    <t>Memo: MA from DEP</t>
  </si>
  <si>
    <t>Memo: MA SGIT less DEP</t>
  </si>
  <si>
    <t>Note:  This includes only coal, petroleum and natural gas -- no other (all zero for all 7 states) and wood excluded as biogenic renewable.</t>
  </si>
  <si>
    <t xml:space="preserve"> Sgit emissions factors (lbs C/million BTU) -- Same for all seven states for 2021; same for 2020 (checked only VT)</t>
  </si>
  <si>
    <t>Distillate Fuel</t>
  </si>
  <si>
    <t>lbsC/million BTU</t>
  </si>
  <si>
    <t xml:space="preserve"> </t>
  </si>
  <si>
    <t>Estimates for 2021 and check numbers for 2019 and 2020</t>
  </si>
  <si>
    <t>Diff as % of Sgit</t>
  </si>
  <si>
    <t>Abs Diff as % of SGIT</t>
  </si>
  <si>
    <r>
      <t xml:space="preserve">RESULTS DIRECTLY FROM 2023 SEDS </t>
    </r>
    <r>
      <rPr>
        <sz val="11"/>
        <color theme="1"/>
        <rFont val="Aptos Narrow"/>
        <family val="2"/>
        <scheme val="minor"/>
      </rPr>
      <t>with EIA Emissions Factors</t>
    </r>
  </si>
  <si>
    <t>NJ</t>
  </si>
  <si>
    <t>PA</t>
  </si>
  <si>
    <t>HDD Series ZWHDP</t>
  </si>
  <si>
    <t>1960 through 1997: Alaska, District of Columbia, and Hawaii from
the National Oceanic and Atmospheric Administration (NOAA)
Climate Prediction Center (CPC) https://www.cpc.ncep.noaa.gov/
products/analysis_monitoring/cdus/degree_days/. All other states
from NOAA National Climatic Data Center (NCDC) ftp://ftp.ncdc.
noaa.gov/pub/data/cirs/climdiv/ (use Microsoft Edge "Internet
Explorer mode").</t>
  </si>
  <si>
    <t>1998 forward: all states from the National Oceanic and
Atmospheric Administration (NOAA) National Climatic Data
Center (NCDC) ftp://ftp.ncdc.noaa.gov/pub/data/cirs/climdiv/ (use
Microsoft Edge "Internet Explorer mode").</t>
  </si>
  <si>
    <t>https://www.eia.gov/state/seds/sep_fuel/notes/ei_indicators.pdf</t>
  </si>
  <si>
    <t>Fossil BTU</t>
  </si>
  <si>
    <t>Computed Emissions based on SEDS</t>
  </si>
  <si>
    <r>
      <t>TRANSFORM</t>
    </r>
    <r>
      <rPr>
        <sz val="9"/>
        <color rgb="FF000000"/>
        <rFont val="Segoe UI"/>
        <family val="2"/>
      </rPr>
      <t xml:space="preserve"> </t>
    </r>
    <r>
      <rPr>
        <sz val="9"/>
        <color rgb="FFC700C7"/>
        <rFont val="Segoe UI"/>
        <family val="2"/>
      </rPr>
      <t>Sum</t>
    </r>
    <r>
      <rPr>
        <sz val="9"/>
        <color rgb="FF000000"/>
        <rFont val="Segoe UI"/>
        <family val="2"/>
      </rPr>
      <t xml:space="preserve">(Complete_SEDS_update.data) </t>
    </r>
    <r>
      <rPr>
        <sz val="9"/>
        <color rgb="FF0088FF"/>
        <rFont val="Segoe UI"/>
        <family val="2"/>
      </rPr>
      <t>AS</t>
    </r>
    <r>
      <rPr>
        <sz val="9"/>
        <color rgb="FF000000"/>
        <rFont val="Segoe UI"/>
        <family val="2"/>
      </rPr>
      <t xml:space="preserve"> MMBTU</t>
    </r>
  </si>
  <si>
    <r>
      <t>SELECT</t>
    </r>
    <r>
      <rPr>
        <sz val="9"/>
        <color rgb="FF000000"/>
        <rFont val="Segoe UI"/>
        <family val="2"/>
      </rPr>
      <t xml:space="preserve"> Complete_SEDS_update.StateCode</t>
    </r>
  </si>
  <si>
    <r>
      <t>FROM</t>
    </r>
    <r>
      <rPr>
        <sz val="9"/>
        <color rgb="FF000000"/>
        <rFont val="Segoe UI"/>
        <family val="2"/>
      </rPr>
      <t xml:space="preserve"> Complete_SEDS_update </t>
    </r>
    <r>
      <rPr>
        <sz val="9"/>
        <color rgb="FF0088FF"/>
        <rFont val="Segoe UI"/>
        <family val="2"/>
      </rPr>
      <t>INNER</t>
    </r>
    <r>
      <rPr>
        <sz val="9"/>
        <color rgb="FF000000"/>
        <rFont val="Segoe UI"/>
        <family val="2"/>
      </rPr>
      <t xml:space="preserve"> </t>
    </r>
    <r>
      <rPr>
        <sz val="9"/>
        <color rgb="FF0088FF"/>
        <rFont val="Segoe UI"/>
        <family val="2"/>
      </rPr>
      <t>JOIN</t>
    </r>
    <r>
      <rPr>
        <sz val="9"/>
        <color rgb="FF000000"/>
        <rFont val="Segoe UI"/>
        <family val="2"/>
      </rPr>
      <t xml:space="preserve"> [MSN Desc] </t>
    </r>
    <r>
      <rPr>
        <sz val="9"/>
        <color rgb="FF0088FF"/>
        <rFont val="Segoe UI"/>
        <family val="2"/>
      </rPr>
      <t>ON</t>
    </r>
    <r>
      <rPr>
        <sz val="9"/>
        <color rgb="FF000000"/>
        <rFont val="Segoe UI"/>
        <family val="2"/>
      </rPr>
      <t xml:space="preserve"> Complete_SEDS_update.MSN </t>
    </r>
    <r>
      <rPr>
        <sz val="9"/>
        <color rgb="FF0088FF"/>
        <rFont val="Segoe UI"/>
        <family val="2"/>
      </rPr>
      <t>=</t>
    </r>
    <r>
      <rPr>
        <sz val="9"/>
        <color rgb="FF000000"/>
        <rFont val="Segoe UI"/>
        <family val="2"/>
      </rPr>
      <t xml:space="preserve"> [MSN Desc].MSN</t>
    </r>
  </si>
  <si>
    <r>
      <t>WHERE</t>
    </r>
    <r>
      <rPr>
        <sz val="9"/>
        <color rgb="FF000000"/>
        <rFont val="Segoe UI"/>
        <family val="2"/>
      </rPr>
      <t xml:space="preserve"> (((Complete_SEDS_update.</t>
    </r>
    <r>
      <rPr>
        <sz val="9"/>
        <color rgb="FFC700C7"/>
        <rFont val="Segoe UI"/>
        <family val="2"/>
      </rPr>
      <t>Year</t>
    </r>
    <r>
      <rPr>
        <sz val="9"/>
        <color rgb="FF000000"/>
        <rFont val="Segoe UI"/>
        <family val="2"/>
      </rPr>
      <t>)</t>
    </r>
    <r>
      <rPr>
        <sz val="9"/>
        <color rgb="FF0088FF"/>
        <rFont val="Segoe UI"/>
        <family val="2"/>
      </rPr>
      <t>&gt;</t>
    </r>
    <r>
      <rPr>
        <sz val="9"/>
        <color rgb="FF000000"/>
        <rFont val="Segoe UI"/>
        <family val="2"/>
      </rPr>
      <t xml:space="preserve">"1989") </t>
    </r>
    <r>
      <rPr>
        <sz val="9"/>
        <color rgb="FF0088FF"/>
        <rFont val="Segoe UI"/>
        <family val="2"/>
      </rPr>
      <t>AND</t>
    </r>
    <r>
      <rPr>
        <sz val="9"/>
        <color rgb="FF000000"/>
        <rFont val="Segoe UI"/>
        <family val="2"/>
      </rPr>
      <t xml:space="preserve"> (([MSN Desc].Char34)</t>
    </r>
    <r>
      <rPr>
        <sz val="9"/>
        <color rgb="FF0088FF"/>
        <rFont val="Segoe UI"/>
        <family val="2"/>
      </rPr>
      <t>=</t>
    </r>
    <r>
      <rPr>
        <sz val="9"/>
        <color rgb="FF000000"/>
        <rFont val="Segoe UI"/>
        <family val="2"/>
      </rPr>
      <t xml:space="preserve">"rc") </t>
    </r>
    <r>
      <rPr>
        <sz val="9"/>
        <color rgb="FF0088FF"/>
        <rFont val="Segoe UI"/>
        <family val="2"/>
      </rPr>
      <t>AND</t>
    </r>
    <r>
      <rPr>
        <sz val="9"/>
        <color rgb="FF000000"/>
        <rFont val="Segoe UI"/>
        <family val="2"/>
      </rPr>
      <t xml:space="preserve"> (([MSN Desc].Char5)</t>
    </r>
    <r>
      <rPr>
        <sz val="9"/>
        <color rgb="FF0088FF"/>
        <rFont val="Segoe UI"/>
        <family val="2"/>
      </rPr>
      <t>=</t>
    </r>
    <r>
      <rPr>
        <sz val="9"/>
        <color rgb="FF000000"/>
        <rFont val="Segoe UI"/>
        <family val="2"/>
      </rPr>
      <t xml:space="preserve">"b") </t>
    </r>
    <r>
      <rPr>
        <sz val="9"/>
        <color rgb="FF0088FF"/>
        <rFont val="Segoe UI"/>
        <family val="2"/>
      </rPr>
      <t>AND</t>
    </r>
    <r>
      <rPr>
        <sz val="9"/>
        <color rgb="FF000000"/>
        <rFont val="Segoe UI"/>
        <family val="2"/>
      </rPr>
      <t xml:space="preserve"> ((Complete_SEDS_update.StateCode)</t>
    </r>
    <r>
      <rPr>
        <sz val="9"/>
        <color rgb="FF0088FF"/>
        <rFont val="Segoe UI"/>
        <family val="2"/>
      </rPr>
      <t>=</t>
    </r>
    <r>
      <rPr>
        <sz val="9"/>
        <color rgb="FF000000"/>
        <rFont val="Segoe UI"/>
        <family val="2"/>
      </rPr>
      <t xml:space="preserve">"Ma"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"me"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"nh"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"ct"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"ri"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"vt"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"ny"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"nj"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"pa") </t>
    </r>
    <r>
      <rPr>
        <sz val="9"/>
        <color rgb="FF0088FF"/>
        <rFont val="Segoe UI"/>
        <family val="2"/>
      </rPr>
      <t>AND</t>
    </r>
    <r>
      <rPr>
        <sz val="9"/>
        <color rgb="FF000000"/>
        <rFont val="Segoe UI"/>
        <family val="2"/>
      </rPr>
      <t xml:space="preserve"> (([MSN Desc].char12)</t>
    </r>
    <r>
      <rPr>
        <sz val="9"/>
        <color rgb="FF0088FF"/>
        <rFont val="Segoe UI"/>
        <family val="2"/>
      </rPr>
      <t>=</t>
    </r>
    <r>
      <rPr>
        <sz val="9"/>
        <color rgb="FF000000"/>
        <rFont val="Segoe UI"/>
        <family val="2"/>
      </rPr>
      <t xml:space="preserve">"cl"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"df"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"hl"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"ks"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"ng"))</t>
    </r>
  </si>
  <si>
    <r>
      <t>GROUP</t>
    </r>
    <r>
      <rPr>
        <sz val="9"/>
        <color rgb="FF000000"/>
        <rFont val="Segoe UI"/>
        <family val="2"/>
      </rPr>
      <t xml:space="preserve"> </t>
    </r>
    <r>
      <rPr>
        <sz val="9"/>
        <color rgb="FF0088FF"/>
        <rFont val="Segoe UI"/>
        <family val="2"/>
      </rPr>
      <t>BY</t>
    </r>
    <r>
      <rPr>
        <sz val="9"/>
        <color rgb="FF000000"/>
        <rFont val="Segoe UI"/>
        <family val="2"/>
      </rPr>
      <t xml:space="preserve"> Complete_SEDS_update.StateCode</t>
    </r>
  </si>
  <si>
    <r>
      <t>PIVOT</t>
    </r>
    <r>
      <rPr>
        <sz val="9"/>
        <color rgb="FF000000"/>
        <rFont val="Segoe UI"/>
        <family val="2"/>
      </rPr>
      <t xml:space="preserve"> Complete_SEDS_update.</t>
    </r>
    <r>
      <rPr>
        <sz val="9"/>
        <color rgb="FFC700C7"/>
        <rFont val="Segoe UI"/>
        <family val="2"/>
      </rPr>
      <t>Year</t>
    </r>
    <r>
      <rPr>
        <sz val="9"/>
        <color rgb="FF000000"/>
        <rFont val="Segoe UI"/>
        <family val="2"/>
      </rPr>
      <t>;</t>
    </r>
  </si>
  <si>
    <t>Computed SEDS BBTU</t>
  </si>
  <si>
    <t>Min</t>
  </si>
  <si>
    <t>2023 v Min</t>
  </si>
  <si>
    <t>Max</t>
  </si>
  <si>
    <t>2023 v Max</t>
  </si>
  <si>
    <t>Regression on year and HDD Day MA</t>
  </si>
  <si>
    <t>year</t>
  </si>
  <si>
    <t>MA BTU</t>
  </si>
  <si>
    <t>MA HDD</t>
  </si>
  <si>
    <r>
      <t>TRANSFORM</t>
    </r>
    <r>
      <rPr>
        <sz val="9"/>
        <color rgb="FF000000"/>
        <rFont val="Segoe UI"/>
        <family val="2"/>
      </rPr>
      <t xml:space="preserve"> </t>
    </r>
    <r>
      <rPr>
        <sz val="9"/>
        <color rgb="FFC700C7"/>
        <rFont val="Segoe UI"/>
        <family val="2"/>
      </rPr>
      <t>Avg</t>
    </r>
    <r>
      <rPr>
        <sz val="9"/>
        <color rgb="FF000000"/>
        <rFont val="Segoe UI"/>
        <family val="2"/>
      </rPr>
      <t xml:space="preserve">(Complete_SEDS_update.data) </t>
    </r>
    <r>
      <rPr>
        <sz val="9"/>
        <color rgb="FF0088FF"/>
        <rFont val="Segoe UI"/>
        <family val="2"/>
      </rPr>
      <t>AS</t>
    </r>
    <r>
      <rPr>
        <sz val="9"/>
        <color rgb="FF000000"/>
        <rFont val="Segoe UI"/>
        <family val="2"/>
      </rPr>
      <t xml:space="preserve"> AvgOfdata</t>
    </r>
  </si>
  <si>
    <r>
      <t>TRANSFORM</t>
    </r>
    <r>
      <rPr>
        <sz val="9"/>
        <color rgb="FF000000"/>
        <rFont val="Segoe UI"/>
        <family val="2"/>
      </rPr>
      <t xml:space="preserve"> </t>
    </r>
    <r>
      <rPr>
        <sz val="9"/>
        <color rgb="FFC700C7"/>
        <rFont val="Segoe UI"/>
        <family val="2"/>
      </rPr>
      <t>Sum</t>
    </r>
    <r>
      <rPr>
        <sz val="9"/>
        <color rgb="FF000000"/>
        <rFont val="Segoe UI"/>
        <family val="2"/>
      </rPr>
      <t>([DATA]</t>
    </r>
    <r>
      <rPr>
        <sz val="9"/>
        <color rgb="FF0088FF"/>
        <rFont val="Segoe UI"/>
        <family val="2"/>
      </rPr>
      <t>*</t>
    </r>
    <r>
      <rPr>
        <sz val="9"/>
        <color rgb="FF000000"/>
        <rFont val="Segoe UI"/>
        <family val="2"/>
      </rPr>
      <t>[kilograms co2 per unit]</t>
    </r>
    <r>
      <rPr>
        <sz val="9"/>
        <color rgb="FF0088FF"/>
        <rFont val="Segoe UI"/>
        <family val="2"/>
      </rPr>
      <t>*</t>
    </r>
    <r>
      <rPr>
        <sz val="9"/>
        <color rgb="FFC700C7"/>
        <rFont val="Segoe UI"/>
        <family val="2"/>
      </rPr>
      <t>IIf</t>
    </r>
    <r>
      <rPr>
        <sz val="9"/>
        <color rgb="FF000000"/>
        <rFont val="Segoe UI"/>
        <family val="2"/>
      </rPr>
      <t>([char12]</t>
    </r>
    <r>
      <rPr>
        <sz val="9"/>
        <color rgb="FF0088FF"/>
        <rFont val="Segoe UI"/>
        <family val="2"/>
      </rPr>
      <t>=</t>
    </r>
    <r>
      <rPr>
        <sz val="9"/>
        <color rgb="FF000000"/>
        <rFont val="Segoe UI"/>
        <family val="2"/>
      </rPr>
      <t>"CL",</t>
    </r>
    <r>
      <rPr>
        <sz val="9"/>
        <color rgb="FF098658"/>
        <rFont val="Segoe UI"/>
        <family val="2"/>
      </rPr>
      <t>1</t>
    </r>
    <r>
      <rPr>
        <sz val="9"/>
        <color rgb="FF000000"/>
        <rFont val="Segoe UI"/>
        <family val="2"/>
      </rPr>
      <t>,</t>
    </r>
    <r>
      <rPr>
        <sz val="9"/>
        <color rgb="FFC700C7"/>
        <rFont val="Segoe UI"/>
        <family val="2"/>
      </rPr>
      <t>IIf</t>
    </r>
    <r>
      <rPr>
        <sz val="9"/>
        <color rgb="FF000000"/>
        <rFont val="Segoe UI"/>
        <family val="2"/>
      </rPr>
      <t>([char12]</t>
    </r>
    <r>
      <rPr>
        <sz val="9"/>
        <color rgb="FF0088FF"/>
        <rFont val="Segoe UI"/>
        <family val="2"/>
      </rPr>
      <t>=</t>
    </r>
    <r>
      <rPr>
        <sz val="9"/>
        <color rgb="FF000000"/>
        <rFont val="Segoe UI"/>
        <family val="2"/>
      </rPr>
      <t>"NG",</t>
    </r>
    <r>
      <rPr>
        <sz val="9"/>
        <color rgb="FF098658"/>
        <rFont val="Segoe UI"/>
        <family val="2"/>
      </rPr>
      <t>1000</t>
    </r>
    <r>
      <rPr>
        <sz val="9"/>
        <color rgb="FF000000"/>
        <rFont val="Segoe UI"/>
        <family val="2"/>
      </rPr>
      <t>,</t>
    </r>
    <r>
      <rPr>
        <sz val="9"/>
        <color rgb="FF098658"/>
        <rFont val="Segoe UI"/>
        <family val="2"/>
      </rPr>
      <t>42000</t>
    </r>
    <r>
      <rPr>
        <sz val="9"/>
        <color rgb="FF000000"/>
        <rFont val="Segoe UI"/>
        <family val="2"/>
      </rPr>
      <t>))</t>
    </r>
    <r>
      <rPr>
        <sz val="9"/>
        <color rgb="FF0088FF"/>
        <rFont val="Segoe UI"/>
        <family val="2"/>
      </rPr>
      <t>*</t>
    </r>
    <r>
      <rPr>
        <sz val="9"/>
        <color rgb="FF098658"/>
        <rFont val="Segoe UI"/>
        <family val="2"/>
      </rPr>
      <t>0.000000001</t>
    </r>
    <r>
      <rPr>
        <sz val="9"/>
        <color rgb="FF000000"/>
        <rFont val="Segoe UI"/>
        <family val="2"/>
      </rPr>
      <t xml:space="preserve">) </t>
    </r>
    <r>
      <rPr>
        <sz val="9"/>
        <color rgb="FF0088FF"/>
        <rFont val="Segoe UI"/>
        <family val="2"/>
      </rPr>
      <t>AS</t>
    </r>
    <r>
      <rPr>
        <sz val="9"/>
        <color rgb="FF000000"/>
        <rFont val="Segoe UI"/>
        <family val="2"/>
      </rPr>
      <t xml:space="preserve"> Emissions</t>
    </r>
  </si>
  <si>
    <r>
      <t>FROM</t>
    </r>
    <r>
      <rPr>
        <sz val="9"/>
        <color rgb="FF000000"/>
        <rFont val="Segoe UI"/>
        <family val="2"/>
      </rPr>
      <t xml:space="preserve"> (Complete_SEDS_update </t>
    </r>
    <r>
      <rPr>
        <sz val="9"/>
        <color rgb="FF0088FF"/>
        <rFont val="Segoe UI"/>
        <family val="2"/>
      </rPr>
      <t>INNER</t>
    </r>
    <r>
      <rPr>
        <sz val="9"/>
        <color rgb="FF000000"/>
        <rFont val="Segoe UI"/>
        <family val="2"/>
      </rPr>
      <t xml:space="preserve"> </t>
    </r>
    <r>
      <rPr>
        <sz val="9"/>
        <color rgb="FF0088FF"/>
        <rFont val="Segoe UI"/>
        <family val="2"/>
      </rPr>
      <t>JOIN</t>
    </r>
    <r>
      <rPr>
        <sz val="9"/>
        <color rgb="FF000000"/>
        <rFont val="Segoe UI"/>
        <family val="2"/>
      </rPr>
      <t xml:space="preserve"> [MSN Desc] </t>
    </r>
    <r>
      <rPr>
        <sz val="9"/>
        <color rgb="FF0088FF"/>
        <rFont val="Segoe UI"/>
        <family val="2"/>
      </rPr>
      <t>ON</t>
    </r>
    <r>
      <rPr>
        <sz val="9"/>
        <color rgb="FF000000"/>
        <rFont val="Segoe UI"/>
        <family val="2"/>
      </rPr>
      <t xml:space="preserve"> Complete_SEDS_update.MSN </t>
    </r>
    <r>
      <rPr>
        <sz val="9"/>
        <color rgb="FF0088FF"/>
        <rFont val="Segoe UI"/>
        <family val="2"/>
      </rPr>
      <t>=</t>
    </r>
    <r>
      <rPr>
        <sz val="9"/>
        <color rgb="FF000000"/>
        <rFont val="Segoe UI"/>
        <family val="2"/>
      </rPr>
      <t xml:space="preserve"> [MSN Desc].MSN) </t>
    </r>
    <r>
      <rPr>
        <sz val="9"/>
        <color rgb="FF0088FF"/>
        <rFont val="Segoe UI"/>
        <family val="2"/>
      </rPr>
      <t>INNER</t>
    </r>
    <r>
      <rPr>
        <sz val="9"/>
        <color rgb="FF000000"/>
        <rFont val="Segoe UI"/>
        <family val="2"/>
      </rPr>
      <t xml:space="preserve"> </t>
    </r>
    <r>
      <rPr>
        <sz val="9"/>
        <color rgb="FF0088FF"/>
        <rFont val="Segoe UI"/>
        <family val="2"/>
      </rPr>
      <t>JOIN</t>
    </r>
    <r>
      <rPr>
        <sz val="9"/>
        <color rgb="FF000000"/>
        <rFont val="Segoe UI"/>
        <family val="2"/>
      </rPr>
      <t xml:space="preserve"> Emissions </t>
    </r>
    <r>
      <rPr>
        <sz val="9"/>
        <color rgb="FF0088FF"/>
        <rFont val="Segoe UI"/>
        <family val="2"/>
      </rPr>
      <t>ON</t>
    </r>
    <r>
      <rPr>
        <sz val="9"/>
        <color rgb="FF000000"/>
        <rFont val="Segoe UI"/>
        <family val="2"/>
      </rPr>
      <t xml:space="preserve"> [MSN Desc].Char12 </t>
    </r>
    <r>
      <rPr>
        <sz val="9"/>
        <color rgb="FF0088FF"/>
        <rFont val="Segoe UI"/>
        <family val="2"/>
      </rPr>
      <t>=</t>
    </r>
    <r>
      <rPr>
        <sz val="9"/>
        <color rgb="FF000000"/>
        <rFont val="Segoe UI"/>
        <family val="2"/>
      </rPr>
      <t xml:space="preserve"> Emissions.[MSN Code]</t>
    </r>
  </si>
  <si>
    <r>
      <t>TRANSFORM</t>
    </r>
    <r>
      <rPr>
        <sz val="9"/>
        <color rgb="FF000000"/>
        <rFont val="Segoe UI"/>
        <family val="2"/>
      </rPr>
      <t xml:space="preserve"> </t>
    </r>
    <r>
      <rPr>
        <sz val="9"/>
        <color rgb="FFC700C7"/>
        <rFont val="Segoe UI"/>
        <family val="2"/>
      </rPr>
      <t>Sum</t>
    </r>
    <r>
      <rPr>
        <sz val="9"/>
        <color rgb="FF000000"/>
        <rFont val="Segoe UI"/>
        <family val="2"/>
      </rPr>
      <t xml:space="preserve">(Complete_SEDS_update.DATA) </t>
    </r>
    <r>
      <rPr>
        <sz val="9"/>
        <color rgb="FF0088FF"/>
        <rFont val="Segoe UI"/>
        <family val="2"/>
      </rPr>
      <t>AS</t>
    </r>
    <r>
      <rPr>
        <sz val="9"/>
        <color rgb="FF000000"/>
        <rFont val="Segoe UI"/>
        <family val="2"/>
      </rPr>
      <t xml:space="preserve"> SumOfDATA</t>
    </r>
  </si>
  <si>
    <r>
      <t>SELECT</t>
    </r>
    <r>
      <rPr>
        <sz val="9"/>
        <color rgb="FF000000"/>
        <rFont val="Segoe UI"/>
        <family val="2"/>
      </rPr>
      <t xml:space="preserve"> Complete_SEDS_update.</t>
    </r>
    <r>
      <rPr>
        <sz val="9"/>
        <color rgb="FFC700C7"/>
        <rFont val="Segoe UI"/>
        <family val="2"/>
      </rPr>
      <t>Year</t>
    </r>
  </si>
  <si>
    <r>
      <t>WHERE</t>
    </r>
    <r>
      <rPr>
        <sz val="9"/>
        <color rgb="FF000000"/>
        <rFont val="Segoe UI"/>
        <family val="2"/>
      </rPr>
      <t xml:space="preserve"> ((([MSN Desc].Char34)</t>
    </r>
    <r>
      <rPr>
        <sz val="9"/>
        <color rgb="FF0088FF"/>
        <rFont val="Segoe UI"/>
        <family val="2"/>
      </rPr>
      <t>=</t>
    </r>
    <r>
      <rPr>
        <sz val="9"/>
        <color rgb="FF000000"/>
        <rFont val="Segoe UI"/>
        <family val="2"/>
      </rPr>
      <t xml:space="preserve">"rc") </t>
    </r>
    <r>
      <rPr>
        <sz val="9"/>
        <color rgb="FF0088FF"/>
        <rFont val="Segoe UI"/>
        <family val="2"/>
      </rPr>
      <t>AND</t>
    </r>
    <r>
      <rPr>
        <sz val="9"/>
        <color rgb="FF000000"/>
        <rFont val="Segoe UI"/>
        <family val="2"/>
      </rPr>
      <t xml:space="preserve"> (([MSN Desc].Char5)</t>
    </r>
    <r>
      <rPr>
        <sz val="9"/>
        <color rgb="FF0088FF"/>
        <rFont val="Segoe UI"/>
        <family val="2"/>
      </rPr>
      <t>=</t>
    </r>
    <r>
      <rPr>
        <sz val="9"/>
        <color rgb="FF000000"/>
        <rFont val="Segoe UI"/>
        <family val="2"/>
      </rPr>
      <t xml:space="preserve">"P") </t>
    </r>
    <r>
      <rPr>
        <sz val="9"/>
        <color rgb="FF0088FF"/>
        <rFont val="Segoe UI"/>
        <family val="2"/>
      </rPr>
      <t>AND</t>
    </r>
    <r>
      <rPr>
        <sz val="9"/>
        <color rgb="FF000000"/>
        <rFont val="Segoe UI"/>
        <family val="2"/>
      </rPr>
      <t xml:space="preserve"> ((Complete_SEDS_update.StateCode)</t>
    </r>
    <r>
      <rPr>
        <sz val="9"/>
        <color rgb="FF0088FF"/>
        <rFont val="Segoe UI"/>
        <family val="2"/>
      </rPr>
      <t>=</t>
    </r>
    <r>
      <rPr>
        <sz val="9"/>
        <color rgb="FF000000"/>
        <rFont val="Segoe UI"/>
        <family val="2"/>
      </rPr>
      <t>"Ma"))</t>
    </r>
  </si>
  <si>
    <r>
      <t>GROUP</t>
    </r>
    <r>
      <rPr>
        <sz val="9"/>
        <color rgb="FF000000"/>
        <rFont val="Segoe UI"/>
        <family val="2"/>
      </rPr>
      <t xml:space="preserve"> </t>
    </r>
    <r>
      <rPr>
        <sz val="9"/>
        <color rgb="FF0088FF"/>
        <rFont val="Segoe UI"/>
        <family val="2"/>
      </rPr>
      <t>BY</t>
    </r>
    <r>
      <rPr>
        <sz val="9"/>
        <color rgb="FF000000"/>
        <rFont val="Segoe UI"/>
        <family val="2"/>
      </rPr>
      <t xml:space="preserve"> Complete_SEDS_update.</t>
    </r>
    <r>
      <rPr>
        <sz val="9"/>
        <color rgb="FFC700C7"/>
        <rFont val="Segoe UI"/>
        <family val="2"/>
      </rPr>
      <t>Year</t>
    </r>
  </si>
  <si>
    <r>
      <t>PIVOT</t>
    </r>
    <r>
      <rPr>
        <sz val="9"/>
        <color rgb="FF000000"/>
        <rFont val="Segoe UI"/>
        <family val="2"/>
      </rPr>
      <t xml:space="preserve"> Complete_SEDS_update.MSN;</t>
    </r>
  </si>
  <si>
    <r>
      <t>WHERE</t>
    </r>
    <r>
      <rPr>
        <sz val="9"/>
        <color rgb="FF000000"/>
        <rFont val="Segoe UI"/>
        <family val="2"/>
      </rPr>
      <t xml:space="preserve"> ((([MSN Desc].Char34)</t>
    </r>
    <r>
      <rPr>
        <sz val="9"/>
        <color rgb="FF0088FF"/>
        <rFont val="Segoe UI"/>
        <family val="2"/>
      </rPr>
      <t>=</t>
    </r>
    <r>
      <rPr>
        <sz val="9"/>
        <color rgb="FF000000"/>
        <rFont val="Segoe UI"/>
        <family val="2"/>
      </rPr>
      <t xml:space="preserve">"rc") </t>
    </r>
    <r>
      <rPr>
        <sz val="9"/>
        <color rgb="FF0088FF"/>
        <rFont val="Segoe UI"/>
        <family val="2"/>
      </rPr>
      <t>AND</t>
    </r>
    <r>
      <rPr>
        <sz val="9"/>
        <color rgb="FF000000"/>
        <rFont val="Segoe UI"/>
        <family val="2"/>
      </rPr>
      <t xml:space="preserve"> (([MSN Desc].Char5)</t>
    </r>
    <r>
      <rPr>
        <sz val="9"/>
        <color rgb="FF0088FF"/>
        <rFont val="Segoe UI"/>
        <family val="2"/>
      </rPr>
      <t>=</t>
    </r>
    <r>
      <rPr>
        <sz val="9"/>
        <color rgb="FF000000"/>
        <rFont val="Segoe UI"/>
        <family val="2"/>
      </rPr>
      <t xml:space="preserve">"B") </t>
    </r>
    <r>
      <rPr>
        <sz val="9"/>
        <color rgb="FF0088FF"/>
        <rFont val="Segoe UI"/>
        <family val="2"/>
      </rPr>
      <t>AND</t>
    </r>
    <r>
      <rPr>
        <sz val="9"/>
        <color rgb="FF000000"/>
        <rFont val="Segoe UI"/>
        <family val="2"/>
      </rPr>
      <t xml:space="preserve"> ((Complete_SEDS_update.StateCode)</t>
    </r>
    <r>
      <rPr>
        <sz val="9"/>
        <color rgb="FF0088FF"/>
        <rFont val="Segoe UI"/>
        <family val="2"/>
      </rPr>
      <t>=</t>
    </r>
    <r>
      <rPr>
        <sz val="9"/>
        <color rgb="FF000000"/>
        <rFont val="Segoe UI"/>
        <family val="2"/>
      </rPr>
      <t>"Ma"))</t>
    </r>
  </si>
  <si>
    <r>
      <t>TRANSFORM</t>
    </r>
    <r>
      <rPr>
        <sz val="9"/>
        <color rgb="FF000000"/>
        <rFont val="Segoe UI"/>
        <family val="2"/>
      </rPr>
      <t xml:space="preserve"> </t>
    </r>
    <r>
      <rPr>
        <sz val="9"/>
        <color rgb="FFC700C7"/>
        <rFont val="Segoe UI"/>
        <family val="2"/>
      </rPr>
      <t>Sum</t>
    </r>
    <r>
      <rPr>
        <sz val="9"/>
        <color rgb="FF000000"/>
        <rFont val="Segoe UI"/>
        <family val="2"/>
      </rPr>
      <t>([DATA]</t>
    </r>
    <r>
      <rPr>
        <sz val="9"/>
        <color rgb="FF0088FF"/>
        <rFont val="Segoe UI"/>
        <family val="2"/>
      </rPr>
      <t>*</t>
    </r>
    <r>
      <rPr>
        <sz val="9"/>
        <color rgb="FF000000"/>
        <rFont val="Segoe UI"/>
        <family val="2"/>
      </rPr>
      <t xml:space="preserve">[kilograms co2 per unit]) </t>
    </r>
    <r>
      <rPr>
        <sz val="9"/>
        <color rgb="FF0088FF"/>
        <rFont val="Segoe UI"/>
        <family val="2"/>
      </rPr>
      <t>AS</t>
    </r>
    <r>
      <rPr>
        <sz val="9"/>
        <color rgb="FF000000"/>
        <rFont val="Segoe UI"/>
        <family val="2"/>
      </rPr>
      <t xml:space="preserve"> Expr1</t>
    </r>
  </si>
  <si>
    <r>
      <t>TRANSFORM</t>
    </r>
    <r>
      <rPr>
        <sz val="9"/>
        <color rgb="FF000000"/>
        <rFont val="Segoe UI"/>
        <family val="2"/>
      </rPr>
      <t xml:space="preserve"> </t>
    </r>
    <r>
      <rPr>
        <sz val="9"/>
        <color rgb="FFC700C7"/>
        <rFont val="Segoe UI"/>
        <family val="2"/>
      </rPr>
      <t>Sum</t>
    </r>
    <r>
      <rPr>
        <sz val="9"/>
        <color rgb="FF000000"/>
        <rFont val="Segoe UI"/>
        <family val="2"/>
      </rPr>
      <t>([DATA]</t>
    </r>
    <r>
      <rPr>
        <sz val="9"/>
        <color rgb="FF0088FF"/>
        <rFont val="Segoe UI"/>
        <family val="2"/>
      </rPr>
      <t>*</t>
    </r>
    <r>
      <rPr>
        <sz val="9"/>
        <color rgb="FF000000"/>
        <rFont val="Segoe UI"/>
        <family val="2"/>
      </rPr>
      <t xml:space="preserve">[kg co2 per mmbtu]) </t>
    </r>
    <r>
      <rPr>
        <sz val="9"/>
        <color rgb="FF0088FF"/>
        <rFont val="Segoe UI"/>
        <family val="2"/>
      </rPr>
      <t>AS</t>
    </r>
    <r>
      <rPr>
        <sz val="9"/>
        <color rgb="FF000000"/>
        <rFont val="Segoe UI"/>
        <family val="2"/>
      </rPr>
      <t xml:space="preserve"> Expr1</t>
    </r>
  </si>
  <si>
    <t>SUMMARY OUTPUT</t>
  </si>
  <si>
    <t>Regression Statistics</t>
  </si>
  <si>
    <t>Multiple R</t>
  </si>
  <si>
    <t>R Square</t>
  </si>
  <si>
    <t>Adjusted R Square</t>
  </si>
  <si>
    <t>Standard Error</t>
  </si>
  <si>
    <t>Observations</t>
  </si>
  <si>
    <t>ANOVA</t>
  </si>
  <si>
    <t>Regression</t>
  </si>
  <si>
    <t>Residual</t>
  </si>
  <si>
    <t>Intercept</t>
  </si>
  <si>
    <t>df</t>
  </si>
  <si>
    <t>MS</t>
  </si>
  <si>
    <t>F</t>
  </si>
  <si>
    <t>Significance F</t>
  </si>
  <si>
    <t>Coefficients</t>
  </si>
  <si>
    <t>t Stat</t>
  </si>
  <si>
    <t>P-value</t>
  </si>
  <si>
    <t>Lower 95%</t>
  </si>
  <si>
    <t>Upper 95%</t>
  </si>
  <si>
    <t>Lower 95.0%</t>
  </si>
  <si>
    <t>Upper 95.0%</t>
  </si>
  <si>
    <t>RESIDUAL OUTPUT</t>
  </si>
  <si>
    <t>Observation</t>
  </si>
  <si>
    <t>Predicted MA BTU</t>
  </si>
  <si>
    <t>Residuals</t>
  </si>
  <si>
    <t>Standard Residuals</t>
  </si>
  <si>
    <t>PROBABILITY OUTPUT</t>
  </si>
  <si>
    <t>Percentile</t>
  </si>
  <si>
    <t>SUMMARY OUTPUT: 2010 on</t>
  </si>
  <si>
    <t>X Variable 1</t>
  </si>
  <si>
    <t>X Variable 2</t>
  </si>
  <si>
    <t>Predicted Y</t>
  </si>
  <si>
    <t>Y</t>
  </si>
  <si>
    <r>
      <t>WHERE</t>
    </r>
    <r>
      <rPr>
        <sz val="9"/>
        <color rgb="FF000000"/>
        <rFont val="Segoe UI"/>
        <family val="2"/>
      </rPr>
      <t xml:space="preserve"> (((Complete_SEDS_update.</t>
    </r>
    <r>
      <rPr>
        <sz val="9"/>
        <color rgb="FFC700C7"/>
        <rFont val="Segoe UI"/>
        <family val="2"/>
      </rPr>
      <t>Year</t>
    </r>
    <r>
      <rPr>
        <sz val="9"/>
        <color rgb="FF000000"/>
        <rFont val="Segoe UI"/>
        <family val="2"/>
      </rPr>
      <t>)</t>
    </r>
    <r>
      <rPr>
        <sz val="9"/>
        <color rgb="FF0088FF"/>
        <rFont val="Segoe UI"/>
        <family val="2"/>
      </rPr>
      <t>&gt;</t>
    </r>
    <r>
      <rPr>
        <sz val="9"/>
        <color rgb="FF000000"/>
        <rFont val="Segoe UI"/>
        <family val="2"/>
      </rPr>
      <t xml:space="preserve">"1989") </t>
    </r>
    <r>
      <rPr>
        <sz val="9"/>
        <color rgb="FF0088FF"/>
        <rFont val="Segoe UI"/>
        <family val="2"/>
      </rPr>
      <t>AND</t>
    </r>
    <r>
      <rPr>
        <sz val="9"/>
        <color rgb="FF000000"/>
        <rFont val="Segoe UI"/>
        <family val="2"/>
      </rPr>
      <t xml:space="preserve"> (([MSN Desc].Char34)</t>
    </r>
    <r>
      <rPr>
        <sz val="9"/>
        <color rgb="FF0088FF"/>
        <rFont val="Segoe UI"/>
        <family val="2"/>
      </rPr>
      <t>=</t>
    </r>
    <r>
      <rPr>
        <sz val="9"/>
        <color rgb="FF000000"/>
        <rFont val="Segoe UI"/>
        <family val="2"/>
      </rPr>
      <t xml:space="preserve">"rc") </t>
    </r>
    <r>
      <rPr>
        <sz val="9"/>
        <color rgb="FF0088FF"/>
        <rFont val="Segoe UI"/>
        <family val="2"/>
      </rPr>
      <t>AND</t>
    </r>
    <r>
      <rPr>
        <sz val="9"/>
        <color rgb="FF000000"/>
        <rFont val="Segoe UI"/>
        <family val="2"/>
      </rPr>
      <t xml:space="preserve"> (([MSN Desc].Char5)</t>
    </r>
    <r>
      <rPr>
        <sz val="9"/>
        <color rgb="FF0088FF"/>
        <rFont val="Segoe UI"/>
        <family val="2"/>
      </rPr>
      <t>=</t>
    </r>
    <r>
      <rPr>
        <sz val="9"/>
        <color rgb="FF000000"/>
        <rFont val="Segoe UI"/>
        <family val="2"/>
      </rPr>
      <t xml:space="preserve">"P") </t>
    </r>
    <r>
      <rPr>
        <sz val="9"/>
        <color rgb="FF0088FF"/>
        <rFont val="Segoe UI"/>
        <family val="2"/>
      </rPr>
      <t>AND</t>
    </r>
    <r>
      <rPr>
        <sz val="9"/>
        <color rgb="FF000000"/>
        <rFont val="Segoe UI"/>
        <family val="2"/>
      </rPr>
      <t xml:space="preserve"> ((Complete_SEDS_update.StateCode)</t>
    </r>
    <r>
      <rPr>
        <sz val="9"/>
        <color rgb="FF0088FF"/>
        <rFont val="Segoe UI"/>
        <family val="2"/>
      </rPr>
      <t>=</t>
    </r>
    <r>
      <rPr>
        <sz val="9"/>
        <color rgb="FF000000"/>
        <rFont val="Segoe UI"/>
        <family val="2"/>
      </rPr>
      <t xml:space="preserve">"Ma"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"me"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"nh"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"ct"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"ri"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"vt"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"ny"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"nj"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"pa") </t>
    </r>
    <r>
      <rPr>
        <sz val="9"/>
        <color rgb="FF0088FF"/>
        <rFont val="Segoe UI"/>
        <family val="2"/>
      </rPr>
      <t>AND</t>
    </r>
    <r>
      <rPr>
        <sz val="9"/>
        <color rgb="FF000000"/>
        <rFont val="Segoe UI"/>
        <family val="2"/>
      </rPr>
      <t xml:space="preserve"> (([MSN Desc].char12)</t>
    </r>
    <r>
      <rPr>
        <sz val="9"/>
        <color rgb="FF0088FF"/>
        <rFont val="Segoe UI"/>
        <family val="2"/>
      </rPr>
      <t>=</t>
    </r>
    <r>
      <rPr>
        <sz val="9"/>
        <color rgb="FF000000"/>
        <rFont val="Segoe UI"/>
        <family val="2"/>
      </rPr>
      <t xml:space="preserve">"cl"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"df"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"hl"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 xml:space="preserve">"ks" </t>
    </r>
    <r>
      <rPr>
        <sz val="9"/>
        <color rgb="FF0088FF"/>
        <rFont val="Segoe UI"/>
        <family val="2"/>
      </rPr>
      <t>Or</t>
    </r>
    <r>
      <rPr>
        <sz val="9"/>
        <color rgb="FF000000"/>
        <rFont val="Segoe UI"/>
        <family val="2"/>
      </rPr>
      <t xml:space="preserve"> ([MSN Desc].char12)</t>
    </r>
    <r>
      <rPr>
        <sz val="9"/>
        <color rgb="FF0088FF"/>
        <rFont val="Segoe UI"/>
        <family val="2"/>
      </rPr>
      <t>=</t>
    </r>
    <r>
      <rPr>
        <sz val="9"/>
        <color rgb="FF000000"/>
        <rFont val="Segoe UI"/>
        <family val="2"/>
      </rPr>
      <t>"ng"))</t>
    </r>
  </si>
  <si>
    <t>Diff from physical</t>
  </si>
  <si>
    <r>
      <t>WHERE</t>
    </r>
    <r>
      <rPr>
        <sz val="9"/>
        <color rgb="FF000000"/>
        <rFont val="Segoe UI"/>
        <family val="2"/>
      </rPr>
      <t xml:space="preserve"> (((Complete_SEDS_update.</t>
    </r>
    <r>
      <rPr>
        <sz val="9"/>
        <color rgb="FFC700C7"/>
        <rFont val="Segoe UI"/>
        <family val="2"/>
      </rPr>
      <t>Year</t>
    </r>
    <r>
      <rPr>
        <sz val="9"/>
        <color rgb="FF000000"/>
        <rFont val="Segoe UI"/>
        <family val="2"/>
      </rPr>
      <t>)</t>
    </r>
    <r>
      <rPr>
        <sz val="9"/>
        <color rgb="FF0088FF"/>
        <rFont val="Segoe UI"/>
        <family val="2"/>
      </rPr>
      <t>&gt;</t>
    </r>
    <r>
      <rPr>
        <sz val="9"/>
        <color rgb="FF000000"/>
        <rFont val="Segoe UI"/>
        <family val="2"/>
      </rPr>
      <t xml:space="preserve">"1989") </t>
    </r>
    <r>
      <rPr>
        <sz val="9"/>
        <color rgb="FF0088FF"/>
        <rFont val="Segoe UI"/>
        <family val="2"/>
      </rPr>
      <t>AND</t>
    </r>
    <r>
      <rPr>
        <sz val="9"/>
        <color rgb="FF000000"/>
        <rFont val="Segoe UI"/>
        <family val="2"/>
      </rPr>
      <t xml:space="preserve"> ((Complete_SEDS_update.StateCode)</t>
    </r>
    <r>
      <rPr>
        <sz val="9"/>
        <color rgb="FF0088FF"/>
        <rFont val="Segoe UI"/>
        <family val="2"/>
      </rPr>
      <t>=</t>
    </r>
    <r>
      <rPr>
        <sz val="9"/>
        <color rgb="FF000000"/>
        <rFont val="Segoe UI"/>
        <family val="2"/>
      </rPr>
      <t xml:space="preserve">"Ma"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"me"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"nh"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"ct"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"ri"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"vt"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"ny"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"nj" </t>
    </r>
    <r>
      <rPr>
        <sz val="9"/>
        <color rgb="FF0088FF"/>
        <rFont val="Segoe UI"/>
        <family val="2"/>
      </rPr>
      <t>Or</t>
    </r>
    <r>
      <rPr>
        <sz val="9"/>
        <color rgb="FF000000"/>
        <rFont val="Segoe UI"/>
        <family val="2"/>
      </rPr>
      <t xml:space="preserve"> (Complete_SEDS_update.StateCode)</t>
    </r>
    <r>
      <rPr>
        <sz val="9"/>
        <color rgb="FF0088FF"/>
        <rFont val="Segoe UI"/>
        <family val="2"/>
      </rPr>
      <t>=</t>
    </r>
    <r>
      <rPr>
        <sz val="9"/>
        <color rgb="FF000000"/>
        <rFont val="Segoe UI"/>
        <family val="2"/>
      </rPr>
      <t xml:space="preserve">"pa") </t>
    </r>
    <r>
      <rPr>
        <sz val="9"/>
        <color rgb="FF0088FF"/>
        <rFont val="Segoe UI"/>
        <family val="2"/>
      </rPr>
      <t>AND</t>
    </r>
    <r>
      <rPr>
        <sz val="9"/>
        <color rgb="FF000000"/>
        <rFont val="Segoe UI"/>
        <family val="2"/>
      </rPr>
      <t xml:space="preserve"> (([MSN Desc].msn)</t>
    </r>
    <r>
      <rPr>
        <sz val="9"/>
        <color rgb="FF0088FF"/>
        <rFont val="Segoe UI"/>
        <family val="2"/>
      </rPr>
      <t>=</t>
    </r>
    <r>
      <rPr>
        <sz val="9"/>
        <color rgb="FF000000"/>
        <rFont val="Segoe UI"/>
        <family val="2"/>
      </rPr>
      <t>"ZWHDP"))</t>
    </r>
  </si>
  <si>
    <t>Corr to Hdd</t>
  </si>
  <si>
    <t>Compare Linest</t>
  </si>
  <si>
    <t>Modeled results based on linear regression to HDD only</t>
  </si>
  <si>
    <t>Coefficient</t>
  </si>
  <si>
    <t>Residuals from modeled results</t>
  </si>
  <si>
    <t>Year Index</t>
  </si>
  <si>
    <t>Res Slope</t>
  </si>
  <si>
    <t>90-23</t>
  </si>
  <si>
    <t>90-09</t>
  </si>
  <si>
    <t>10-23</t>
  </si>
  <si>
    <t>Slope</t>
  </si>
  <si>
    <t>SE-S</t>
  </si>
  <si>
    <t>SE Int</t>
  </si>
  <si>
    <t>R2</t>
  </si>
  <si>
    <t>SEY</t>
  </si>
  <si>
    <t>ssreg</t>
  </si>
  <si>
    <t>ssresid</t>
  </si>
  <si>
    <t>https://support.microsoft.com/en-us/office/linest-function-84d7d0d9-6e50-4101-977a-fa7abf772b6d</t>
  </si>
  <si>
    <t>https://www.youtube.com/watch?v=0aWvpHPswC8</t>
  </si>
  <si>
    <t>recomputation of result variance</t>
  </si>
  <si>
    <t>explained variation share</t>
  </si>
  <si>
    <t>t-value</t>
  </si>
  <si>
    <t>t^2</t>
  </si>
  <si>
    <t>explained</t>
  </si>
  <si>
    <t>residual</t>
  </si>
  <si>
    <t>correlation</t>
  </si>
  <si>
    <t>https://www.youtube.com/watch?v=sOYd08zChZY</t>
  </si>
  <si>
    <t>df exp ss = k-1 (in our case, result 1)</t>
  </si>
  <si>
    <t>df res ss = n-k (in our case 31)</t>
  </si>
  <si>
    <t>total df = 31</t>
  </si>
  <si>
    <t>mean sum of squares = ess/</t>
  </si>
  <si>
    <t>Anova</t>
  </si>
  <si>
    <t>TSS</t>
  </si>
  <si>
    <t>MSS</t>
  </si>
  <si>
    <t>R2/(1-r2)</t>
  </si>
  <si>
    <t>dfrss/dfess</t>
  </si>
  <si>
    <t>Critical F</t>
  </si>
  <si>
    <t>P from F</t>
  </si>
  <si>
    <t>Estimate</t>
  </si>
  <si>
    <t>Pvalue</t>
  </si>
  <si>
    <t>Scratch to test function working</t>
  </si>
  <si>
    <t>Char12</t>
  </si>
  <si>
    <t>BD</t>
  </si>
  <si>
    <t>DA</t>
  </si>
  <si>
    <t>DM</t>
  </si>
  <si>
    <t>EN</t>
  </si>
  <si>
    <t>ES</t>
  </si>
  <si>
    <t>HY</t>
  </si>
  <si>
    <t>OP</t>
  </si>
  <si>
    <t>SO</t>
  </si>
  <si>
    <t>WY</t>
  </si>
  <si>
    <r>
      <t xml:space="preserve">gas </t>
    </r>
    <r>
      <rPr>
        <b/>
        <vertAlign val="superscript"/>
        <sz val="11"/>
        <color theme="1"/>
        <rFont val="Aptos Narrow"/>
        <family val="2"/>
        <scheme val="minor"/>
      </rPr>
      <t>a</t>
    </r>
  </si>
  <si>
    <t>Hydro-</t>
  </si>
  <si>
    <t>electric</t>
  </si>
  <si>
    <r>
      <t xml:space="preserve">power </t>
    </r>
    <r>
      <rPr>
        <b/>
        <vertAlign val="superscript"/>
        <sz val="11"/>
        <color theme="1"/>
        <rFont val="Aptos Narrow"/>
        <family val="2"/>
        <scheme val="minor"/>
      </rPr>
      <t>e,f</t>
    </r>
  </si>
  <si>
    <r>
      <t xml:space="preserve">Geothermal </t>
    </r>
    <r>
      <rPr>
        <b/>
        <vertAlign val="superscript"/>
        <sz val="11"/>
        <color theme="1"/>
        <rFont val="Aptos Narrow"/>
        <family val="2"/>
        <scheme val="minor"/>
      </rPr>
      <t>f</t>
    </r>
  </si>
  <si>
    <r>
      <t xml:space="preserve">Solar </t>
    </r>
    <r>
      <rPr>
        <b/>
        <vertAlign val="superscript"/>
        <sz val="11"/>
        <color theme="1"/>
        <rFont val="Aptos Narrow"/>
        <family val="2"/>
        <scheme val="minor"/>
      </rPr>
      <t>f,h</t>
    </r>
  </si>
  <si>
    <r>
      <t xml:space="preserve">Electricity </t>
    </r>
    <r>
      <rPr>
        <b/>
        <vertAlign val="superscript"/>
        <sz val="11"/>
        <color theme="1"/>
        <rFont val="Aptos Narrow"/>
        <family val="2"/>
        <scheme val="minor"/>
      </rPr>
      <t>i</t>
    </r>
  </si>
  <si>
    <r>
      <t xml:space="preserve">use </t>
    </r>
    <r>
      <rPr>
        <b/>
        <vertAlign val="superscript"/>
        <sz val="11"/>
        <color theme="1"/>
        <rFont val="Aptos Narrow"/>
        <family val="2"/>
        <scheme val="minor"/>
      </rPr>
      <t>f,j</t>
    </r>
  </si>
  <si>
    <r>
      <t xml:space="preserve">losses </t>
    </r>
    <r>
      <rPr>
        <b/>
        <vertAlign val="superscript"/>
        <sz val="11"/>
        <color theme="1"/>
        <rFont val="Aptos Narrow"/>
        <family val="2"/>
        <scheme val="minor"/>
      </rPr>
      <t>k</t>
    </r>
  </si>
  <si>
    <r>
      <t xml:space="preserve">Total </t>
    </r>
    <r>
      <rPr>
        <b/>
        <vertAlign val="superscript"/>
        <sz val="11"/>
        <color theme="1"/>
        <rFont val="Aptos Narrow"/>
        <family val="2"/>
        <scheme val="minor"/>
      </rPr>
      <t>f,j</t>
    </r>
  </si>
  <si>
    <r>
      <t xml:space="preserve">HGL </t>
    </r>
    <r>
      <rPr>
        <b/>
        <vertAlign val="superscript"/>
        <sz val="11"/>
        <color theme="1"/>
        <rFont val="Aptos Narrow"/>
        <family val="2"/>
        <scheme val="minor"/>
      </rPr>
      <t>b</t>
    </r>
  </si>
  <si>
    <t>Motor</t>
  </si>
  <si>
    <r>
      <t xml:space="preserve">gasoline </t>
    </r>
    <r>
      <rPr>
        <b/>
        <vertAlign val="superscript"/>
        <sz val="11"/>
        <color theme="1"/>
        <rFont val="Aptos Narrow"/>
        <family val="2"/>
        <scheme val="minor"/>
      </rPr>
      <t>c</t>
    </r>
  </si>
  <si>
    <r>
      <t xml:space="preserve">Total </t>
    </r>
    <r>
      <rPr>
        <b/>
        <vertAlign val="superscript"/>
        <sz val="11"/>
        <color theme="1"/>
        <rFont val="Aptos Narrow"/>
        <family val="2"/>
        <scheme val="minor"/>
      </rPr>
      <t>d</t>
    </r>
  </si>
  <si>
    <t>Wood</t>
  </si>
  <si>
    <t>and</t>
  </si>
  <si>
    <r>
      <t xml:space="preserve">waste </t>
    </r>
    <r>
      <rPr>
        <b/>
        <vertAlign val="superscript"/>
        <sz val="11"/>
        <color theme="1"/>
        <rFont val="Aptos Narrow"/>
        <family val="2"/>
        <scheme val="minor"/>
      </rPr>
      <t>f,g</t>
    </r>
  </si>
  <si>
    <t>Chek Sum PCACCP</t>
  </si>
  <si>
    <t xml:space="preserve"> Tot 1</t>
  </si>
  <si>
    <t>All Petroleum</t>
  </si>
  <si>
    <t>Commercial**</t>
  </si>
  <si>
    <t>Other</t>
  </si>
  <si>
    <t>CO2_FFC Commercial Tab from Appendix C Infentory</t>
  </si>
  <si>
    <t>Tot 2</t>
  </si>
  <si>
    <t>Comparison to SEDS Method (SEDS less DEP)</t>
  </si>
  <si>
    <t>Commercial Sector Computed Emissions Based on SEDS</t>
  </si>
  <si>
    <t>Industrial Sector Computed Emissions Based on SEDS</t>
  </si>
  <si>
    <t>fuel</t>
  </si>
  <si>
    <t>unit</t>
  </si>
  <si>
    <t>KG CO2 per MMBTU</t>
  </si>
  <si>
    <t>AV</t>
  </si>
  <si>
    <t/>
  </si>
  <si>
    <t>B1</t>
  </si>
  <si>
    <t>BO</t>
  </si>
  <si>
    <t>https://www.eia.gov/state/seds/data.php?incfile=/state/seds/sep_use/tra/use_tra_MA.html&amp;sid=MA</t>
  </si>
  <si>
    <t>AC</t>
  </si>
  <si>
    <t>Consumed by the transportation sector</t>
  </si>
  <si>
    <t xml:space="preserve">Aviation gasoline </t>
  </si>
  <si>
    <t xml:space="preserve">Renewable diesel </t>
  </si>
  <si>
    <t xml:space="preserve">Biodiesel </t>
  </si>
  <si>
    <t xml:space="preserve">Other biofuels  for the United States </t>
  </si>
  <si>
    <t xml:space="preserve">Coal </t>
  </si>
  <si>
    <t xml:space="preserve">Distillate fuel oil, biodiesel, and renewable diesel </t>
  </si>
  <si>
    <t xml:space="preserve">Distillate fuel oil </t>
  </si>
  <si>
    <t xml:space="preserve">Distillate fuel oil, excluding biodiesel and renewable diesel, </t>
  </si>
  <si>
    <t xml:space="preserve">Fuel ethanol, including denaturant, </t>
  </si>
  <si>
    <t xml:space="preserve">Hydrocarbon gas liquids </t>
  </si>
  <si>
    <t xml:space="preserve">Jet fuel </t>
  </si>
  <si>
    <t xml:space="preserve">Lubricants </t>
  </si>
  <si>
    <t xml:space="preserve">Motor gasoline </t>
  </si>
  <si>
    <t xml:space="preserve">Natural gas </t>
  </si>
  <si>
    <t xml:space="preserve">Other petroleum products </t>
  </si>
  <si>
    <t xml:space="preserve">All petroleum products </t>
  </si>
  <si>
    <t xml:space="preserve">Propane </t>
  </si>
  <si>
    <t xml:space="preserve">Residual fuel oil </t>
  </si>
  <si>
    <r>
      <t xml:space="preserve">Electricity </t>
    </r>
    <r>
      <rPr>
        <b/>
        <vertAlign val="superscript"/>
        <sz val="11"/>
        <color theme="1"/>
        <rFont val="Aptos Narrow"/>
        <family val="2"/>
        <scheme val="minor"/>
      </rPr>
      <t>f</t>
    </r>
  </si>
  <si>
    <r>
      <t xml:space="preserve">use </t>
    </r>
    <r>
      <rPr>
        <b/>
        <vertAlign val="superscript"/>
        <sz val="11"/>
        <color theme="1"/>
        <rFont val="Aptos Narrow"/>
        <family val="2"/>
        <scheme val="minor"/>
      </rPr>
      <t>g,h</t>
    </r>
  </si>
  <si>
    <r>
      <t xml:space="preserve">Total </t>
    </r>
    <r>
      <rPr>
        <b/>
        <vertAlign val="superscript"/>
        <sz val="11"/>
        <color theme="1"/>
        <rFont val="Aptos Narrow"/>
        <family val="2"/>
        <scheme val="minor"/>
      </rPr>
      <t>g,h</t>
    </r>
  </si>
  <si>
    <t>Aviation</t>
  </si>
  <si>
    <t>gasoline</t>
  </si>
  <si>
    <r>
      <t xml:space="preserve">fuel oil </t>
    </r>
    <r>
      <rPr>
        <b/>
        <vertAlign val="superscript"/>
        <sz val="11"/>
        <color theme="1"/>
        <rFont val="Aptos Narrow"/>
        <family val="2"/>
        <scheme val="minor"/>
      </rPr>
      <t>b</t>
    </r>
  </si>
  <si>
    <t>Jet</t>
  </si>
  <si>
    <r>
      <t xml:space="preserve">fuel </t>
    </r>
    <r>
      <rPr>
        <b/>
        <vertAlign val="superscript"/>
        <sz val="11"/>
        <color theme="1"/>
        <rFont val="Aptos Narrow"/>
        <family val="2"/>
        <scheme val="minor"/>
      </rPr>
      <t>d</t>
    </r>
  </si>
  <si>
    <r>
      <t xml:space="preserve">gasoline </t>
    </r>
    <r>
      <rPr>
        <b/>
        <vertAlign val="superscript"/>
        <sz val="11"/>
        <color theme="1"/>
        <rFont val="Aptos Narrow"/>
        <family val="2"/>
        <scheme val="minor"/>
      </rPr>
      <t>e</t>
    </r>
  </si>
  <si>
    <t>Assume included in hydrocarbon liquids</t>
  </si>
  <si>
    <t>Assume included in gas (finished), MG</t>
  </si>
  <si>
    <t>OMIT, not included in CT7 and only 2 years small</t>
  </si>
  <si>
    <t>Total Scale</t>
  </si>
  <si>
    <t>Sum</t>
  </si>
  <si>
    <t>Diff</t>
  </si>
  <si>
    <t xml:space="preserve">NOTE: SEDS is the ultimate source for MA Greenhouse Gas Inventory </t>
  </si>
  <si>
    <t>https://www.mass.gov/doc/statewide-greenhouse-gas-emissions-level-1990-baseline-2020-business-as-usual-projection-july-2009-0/download</t>
  </si>
  <si>
    <t>1990 Baseline and 2020 Business As Usual Projection</t>
  </si>
  <si>
    <t>1990 Baseline and 2020 Business As Usual Projection, Page 9</t>
  </si>
  <si>
    <t>https://www.mass.gov/doc/statewide-greenhouse-gas-emissions-baseline-projection-update-including-appendices-a-b-july-2016/download</t>
  </si>
  <si>
    <t>https://www.mass.gov/doc/statewide-greenhouse-gas-emissions-level-proposed-1990-baseline-update-including-appendices-a-b-may-2021/download</t>
  </si>
  <si>
    <t>Statewide Greenhouse Gas Emissions Level July 16 Revision, Page 12</t>
  </si>
  <si>
    <t>Statewide Greenhouse Gas Emissions Level: 1990 Baseline Update, 2021</t>
  </si>
  <si>
    <t>2. Data Sources and Methodologies
State and federal air pollution control programs have traditionally estimated air emissions of a
wide variety of pollutants by applying pollutant-specific emission factors to measures of
activities conducted by industrial sectors. EPA has developed a State GHG Inventory Tool
(SGIT) which employs this methodology to estimate GHG emissions from sectors of concern in
each state, based on the activities in key sectors in the state’s economy. SGIT consists of a series
of modules, or spreadsheets, which calculate emissions from the various sources of GHGs. Gases
included in the inventory are carbon dioxide (CO2), methane (CH4), nitrous oxide (N2O),
hydrofluorocarbons (HFC), perfluorocarbons (PFC), sulfur hexafluoride (SF6), and nitrogen
trifluoride (NF3).
The SGIT default data set provided the original basis for estimating and reporting annual GHG
emissions by sector and is still the primary tool used for fossil fuel combustion. For example, one
sector is electricity generation plants in Massachusetts. The EPA SGIT methodology uses
Massachusetts electric generator fuel use data (from the U.S. Department of Energy’s Energy
Information Administration (EIA)’s State Energy Data System (SEDS)13) to calculate the
electricity sector GHG emissions from fuel combustion. The SGIT is updated by EPA at least
once per year. Each year, at the end of June, EIA releases updates of the data that SGIT uses to
calculate CO2, CH4 and N2O emissions from fossil fuel and some biomass combustion (except
transportation sector CH4 and N2O, which SGIT calculates from other data). MassDEP continues
to use SGIT’s estimates of GHG emissions from fossil fuel combustion for most sectors of the
inventory (as detailed below).</t>
  </si>
  <si>
    <t>Notes on updates to methodology</t>
  </si>
  <si>
    <t>New Facility Level Information on Green House Gases Tool (FLIGHT) for  industrial processes and solid waste sectors</t>
  </si>
  <si>
    <t>Natural gas leaks</t>
  </si>
  <si>
    <t>Natural gas in the transportation sector: The EIA vehicle consumption value is subtracted from the SEDS natural
gas transportation consumption value, to assign the remaining natural gas (used by the natural
gas industry as heating fuel) to the industrial sector.</t>
  </si>
  <si>
    <t>Fossil Fuel Combustion – Transportation and Residential sectors. State-level biodiesel
consumption data became available from SEDS beginning in 2018 and extending back to 2010.
SEDS considers biodiesel to be a transportation sector fuel; however, Massachusetts has a
growing biofuel program for heating fuel, primarily for the residential sector. Therefore,
MassDEP’s inventory divides biodiesel equally between the transportation and residential
sectors. Biodiesel is subtracted from distillate for the transportation and residential sectors as per
EPA guidance, parallel to the way ethanol is subtracted from motor gas for the transportation
sector.</t>
  </si>
  <si>
    <t>Fossil Fuel Use by Fuel Cells – Commercial sector. MassDEP has moved the natural gas used by
fuel cells from the fossil fuel combustion sector to this new category.</t>
  </si>
  <si>
    <t>Natural gas leaks and distribution</t>
  </si>
  <si>
    <t>Biogenic -- ethanol, biodiesel, computed separately</t>
  </si>
  <si>
    <t>Not included in fossil fuel projections (need to be backed out)</t>
  </si>
  <si>
    <t>With the exception of electricity sector emissions
(discussed in section 3 above), emissions that occur during the out-of-state manufacture of
products used in Massachusetts are not included in this inventory.</t>
  </si>
  <si>
    <t>https://www.mass.gov/doc/response-to-comments-on-the-statewide-greenhouse-gas-emissions-level-1990-baseline-update-and-addendum-and-2nd-addendum-to-the-update-december-2022/download</t>
  </si>
  <si>
    <t>Comments and responses 2022</t>
  </si>
  <si>
    <t>Focus on gas leaks</t>
  </si>
  <si>
    <t>Split of biofuels between commercial and residential, but then accounted for as biogenic, not FF</t>
  </si>
  <si>
    <t>EIA’s SEDS now provides an annual biodiesel consumption value, assigning it solely
as a transportation fuel. The SEDS Technical Notes18 state that beginning with 2011, SEDS
calculates state estimates by apportioning EIA’s U.S. total biodiesel consumption using various
district- and state-level values. From 2001 to 2010, to estimate state-level consumption, SEDS
uses the 2011 state shares applied to the U.S. total biodiesel consumption for each year. The
Technical Notes also state that while EIA is aware that other sectors consume some amount of
biodiesel, SEDS “assigns all biodiesel consumption to the transportation sector because there is
not enough information to allocate consumption to the other sectors.”</t>
  </si>
  <si>
    <t>SEE PRIOR SPREADSHEET ON NEIGHBORING STATES</t>
  </si>
  <si>
    <t>https://willbrownsberger.com/wp-content/uploads/2023/12/neighboring-states-emissions1.xlsx</t>
  </si>
  <si>
    <t>Transportation</t>
  </si>
  <si>
    <t>Natural Gas (EIA Natural Gas Consumption)</t>
  </si>
  <si>
    <t>Values from Inventory</t>
  </si>
  <si>
    <t>Use this, credit renewables in emissions analysis (3% lower in 2023); repored as biogenic</t>
  </si>
  <si>
    <t>Unit Conversion Factors from Series Units to Emission (Scale up)</t>
  </si>
  <si>
    <t>Individual components for comparison</t>
  </si>
  <si>
    <t>Note:  MG includesethanol, back out EN and scale up emissions by ratio of unfinished to finished</t>
  </si>
  <si>
    <t>Ethanol is computed here as having same emissions as finished gas, allowing it to be backed out proportionally</t>
  </si>
  <si>
    <t>Memo: AV+Coal+HL+LU+NG+RF</t>
  </si>
  <si>
    <t>DF+MMAdj only</t>
  </si>
  <si>
    <t>Abs Diff</t>
  </si>
  <si>
    <t>Average</t>
  </si>
  <si>
    <t>% Diff</t>
  </si>
  <si>
    <t>Serial Trend in HDD</t>
  </si>
  <si>
    <t xml:space="preserve">Index </t>
  </si>
  <si>
    <t>SERIES TPOPP, POPULATION IN THOUSANDS</t>
  </si>
  <si>
    <t>Emissions per capita (MMCO2 per million population</t>
  </si>
  <si>
    <t>Slope of per capita without weather adjust</t>
  </si>
  <si>
    <t>Emissions Indexed to 202</t>
  </si>
  <si>
    <t>sssss</t>
  </si>
  <si>
    <t>Emissions indexed to 2010</t>
  </si>
  <si>
    <t>https://www.statology.org/confidence-interval-for-regression-coefficient-in-excel/</t>
  </si>
  <si>
    <t>Confidence interval</t>
  </si>
  <si>
    <t>linest values for 10-23 slope</t>
  </si>
  <si>
    <t>tinv</t>
  </si>
  <si>
    <t>lower</t>
  </si>
  <si>
    <t>upper</t>
  </si>
  <si>
    <t>slope</t>
  </si>
  <si>
    <t>SE slope</t>
  </si>
  <si>
    <t>Scaled Intervals by mean</t>
  </si>
  <si>
    <t>lineset values for slope of emissions vs hdd 1990 to 2023</t>
  </si>
  <si>
    <t xml:space="preserve"> Scaled</t>
  </si>
  <si>
    <t>Commercial trend using data analysis pak</t>
  </si>
  <si>
    <t>Comm CO2</t>
  </si>
  <si>
    <t>Predicted Comm CO2</t>
  </si>
  <si>
    <t>TRANSFORM Sum([DATA]*[kilograms co2 per unit]*IIf([char12]="CL",1,IIf([char12]="NG",1000,42000))*0.000000001) AS Emissions</t>
  </si>
  <si>
    <t>SELECT Complete_SEDS_update.StateCode</t>
  </si>
  <si>
    <t>FROM (Complete_SEDS_update INNER JOIN [MSN Desc] ON Complete_SEDS_update.MSN = [MSN Desc].MSN) INNER JOIN Emissions ON [MSN Desc].Char12 = Emissions.[MSN Code]</t>
  </si>
  <si>
    <t>WHERE (((Complete_SEDS_update.Year)&gt;"1989") AND (([MSN Desc].Char34)="cc") AND (([MSN Desc].Char5)="P") AND ((Complete_SEDS_update.StateCode)="Ma" Or (Complete_SEDS_update.StateCode)="me" Or (Complete_SEDS_update.StateCode)="nh" Or (Complete_SEDS_update.StateCode)="ct" Or (Complete_SEDS_update.StateCode)="ri" Or (Complete_SEDS_update.StateCode)="vt" Or (Complete_SEDS_update.StateCode)="ny" Or (Complete_SEDS_update.StateCode)="nj" Or (Complete_SEDS_update.StateCode)="pa") AND (([MSN Desc].char12)="cl" Or ([MSN Desc].char12)="df" Or ([MSN Desc].char12)="hl" Or ([MSN Desc].char12)="ks" Or ([MSN Desc].char12)="ng" Or ([MSN Desc].char12)="mg" Or ([MSN Desc].char12)="rf"))</t>
  </si>
  <si>
    <t>GROUP BY Complete_SEDS_update.StateCode</t>
  </si>
  <si>
    <t>PIVOT Complete_SEDS_update.Year;</t>
  </si>
  <si>
    <t>WHERE (((Complete_SEDS_update.Year)&gt;"1989") AND (([MSN Desc].Char34)="ic") AND (([MSN Desc].Char5)="P") AND ((Complete_SEDS_update.StateCode)="Ma" Or (Complete_SEDS_update.StateCode)="me" Or (Complete_SEDS_update.StateCode)="nh" Or (Complete_SEDS_update.StateCode)="ct" Or (Complete_SEDS_update.StateCode)="ri" Or (Complete_SEDS_update.StateCode)="vt" Or (Complete_SEDS_update.StateCode)="ny" Or (Complete_SEDS_update.StateCode)="nj" Or (Complete_SEDS_update.StateCode)="pa") AND (([MSN Desc].char12)="cl" Or ([MSN Desc].char12)="df" Or ([MSN Desc].char12)="hl" Or ([MSN Desc].char12)="ks" Or ([MSN Desc].char12)="ng" Or ([MSN Desc].char12)="mg" Or ([MSN Desc].char12)="rf"))</t>
  </si>
  <si>
    <t>Combined RCI Emit</t>
  </si>
  <si>
    <t>Building Consumption</t>
  </si>
  <si>
    <t>MA Building Consumption</t>
  </si>
  <si>
    <t>Residential Other Gases</t>
  </si>
  <si>
    <t>Commercial Other Gases</t>
  </si>
  <si>
    <t>Industrial Other Gases</t>
  </si>
  <si>
    <t>CO2e from Energy</t>
  </si>
  <si>
    <t>Residential CO2e from Fuel Combustion</t>
  </si>
  <si>
    <t>Residential CO2</t>
  </si>
  <si>
    <t>Commercial CO2e from Fuel Combustion</t>
  </si>
  <si>
    <t>Commercial CO2</t>
  </si>
  <si>
    <t>Commercial CO2 from Fossil Fuel Use by Fuel Cells</t>
  </si>
  <si>
    <t>Industrial CO2e from Fuel Combustion</t>
  </si>
  <si>
    <t>Industrial CO2</t>
  </si>
  <si>
    <t>Industrial from MSW (CO2, CH4 &amp; N2O)</t>
  </si>
  <si>
    <t>Industrial from Nat Gas System (CO2, CH4 &amp; N2O)</t>
  </si>
  <si>
    <t>Check sum building consumption</t>
  </si>
  <si>
    <t>Partial Data</t>
  </si>
  <si>
    <t>Emissions (MMTCO2E)</t>
  </si>
  <si>
    <t>Compare total to SEDS Fossil</t>
  </si>
  <si>
    <t>Industrial*</t>
  </si>
  <si>
    <t>CO2_FFC Tab Total Building</t>
  </si>
  <si>
    <t xml:space="preserve">                   vs SEDS Fossil</t>
  </si>
  <si>
    <t>[ignoring fuel cell hundredths of ton]</t>
  </si>
  <si>
    <t xml:space="preserve">                 vs summary Tab Building</t>
  </si>
  <si>
    <t>Check Check sum</t>
  </si>
  <si>
    <t>From Process Tab (Detail) and Summmary Tab (Building Consumption) of GHG Inventory</t>
  </si>
  <si>
    <t>Absolute value of diff</t>
  </si>
  <si>
    <t>Average:</t>
  </si>
  <si>
    <t>TOTAL</t>
  </si>
  <si>
    <t>MA CO2_ffc</t>
  </si>
  <si>
    <t>SS Dev</t>
  </si>
  <si>
    <t>Std Error</t>
  </si>
  <si>
    <t>https://onlinestatbook.com/2/regression/accuracy.html</t>
  </si>
  <si>
    <t>Res Emit</t>
  </si>
  <si>
    <t>1990+B2:AB2:AI2</t>
  </si>
  <si>
    <t>Notes</t>
  </si>
  <si>
    <t>Tab</t>
  </si>
  <si>
    <t>Sources and methods links</t>
  </si>
  <si>
    <t>CO2</t>
  </si>
  <si>
    <t>Emissions Factors</t>
  </si>
  <si>
    <t>State Energy Data System series identifiers</t>
  </si>
  <si>
    <t>NE Res Emit</t>
  </si>
  <si>
    <t>NE Residential Emissions</t>
  </si>
  <si>
    <t>NE C Emit</t>
  </si>
  <si>
    <t>R1</t>
  </si>
  <si>
    <t>Chart R1: MA Residential CO2 Emissions (MMTCO2) from Fossil Fuel Combustion
vs Heating Degree Days: 1990-2023</t>
  </si>
  <si>
    <t>NE Commercial Emissions</t>
  </si>
  <si>
    <t>R3</t>
  </si>
  <si>
    <t>Chart R2: Residential CO2 emissions in Northeast States -- MMTCO2 indexed to 2010 level (MA shown as bars, other states as lines)</t>
  </si>
  <si>
    <t>Chart R3: Residential CO2 emissions in Northeast States -- MMTCO2 trends from 2010 to 2023 normalized to the mean for each state (none statistically significant at p&lt;.05 level)</t>
  </si>
  <si>
    <t>C1</t>
  </si>
  <si>
    <t>C2</t>
  </si>
  <si>
    <t>C3</t>
  </si>
  <si>
    <t>Chart C1: MA Commercial CO2 Emissions (MMTCO2) from Fossil Fuel Combustion vs Heating Degree Days: 1990-2023</t>
  </si>
  <si>
    <t>Chart C2: Commercial CO2 emissions in Northeast States -- MMTCO2 indexed to 2010 level (MA shown as bars, other states as lines)</t>
  </si>
  <si>
    <t>Chart C3: Commercial CO2 emissions in Northeast States -- MMTCO2 annual change rates from 2010 to 2023 normalized to the mean for each state (only New Jersey had statistically significant decline)</t>
  </si>
  <si>
    <t>NI I Emit</t>
  </si>
  <si>
    <t>NE Industrial Emissions</t>
  </si>
  <si>
    <t>I1</t>
  </si>
  <si>
    <t>I2</t>
  </si>
  <si>
    <t>I3</t>
  </si>
  <si>
    <t>Chart I1: MA Industrial CO2 Emissions (MMTCO2) from Fossil Fuel Combustion
vs Heating Degree Days: 1990-2023</t>
  </si>
  <si>
    <t>Chart I2: Industrial CO2 emissions in Northeast States -- MMTCO2 indexed to 2010 level (MA shown as bars, other states as lines)</t>
  </si>
  <si>
    <t>Chart I3: Industrial CO2 emissions in Northeast States -- MMTCO2 annual change rates from 2010 to 2023 normalized to the mean for each state (only CT, VT, ME, had statistically significant declines)</t>
  </si>
  <si>
    <t>NE RCI Emit</t>
  </si>
  <si>
    <t>NE combined building sector emissions</t>
  </si>
  <si>
    <t>MA RCI Compare</t>
  </si>
  <si>
    <t>Check sums to MA Emissions Reporting</t>
  </si>
  <si>
    <t>RCI2</t>
  </si>
  <si>
    <t>RCI3</t>
  </si>
  <si>
    <t>RCI1</t>
  </si>
  <si>
    <t>Chart RCI1: MA CO2 Emissions (MMTCO2) from Fossil Fuel Combustion in Buildings -- Residential, Commercial, Industrial</t>
  </si>
  <si>
    <t>Chart RCI2 CO2 Emissions (MMTCO2) from Fossil Fuel Combustion in Buildings -- Northeast States, 2010 to 2023</t>
  </si>
  <si>
    <t>Chart RCI3: CO2 emissions from Buildings in Northeast States -- MMTCO2 annual change rates from 2010 to 2023 normalized to the mean for each state (only Maine has statistically significant decline)</t>
  </si>
  <si>
    <t>NE BTU</t>
  </si>
  <si>
    <t>Northeastern States Fossil BTU</t>
  </si>
  <si>
    <t>NE Pop</t>
  </si>
  <si>
    <t>Northeastern States Population</t>
  </si>
  <si>
    <t>NE HDD</t>
  </si>
  <si>
    <t>Northeastern States Heating Degree Days</t>
  </si>
  <si>
    <t>Linest Test</t>
  </si>
  <si>
    <t>Verification of operation of Excel Linest Function</t>
  </si>
  <si>
    <t>CT-4</t>
  </si>
  <si>
    <t>GCT4P</t>
  </si>
  <si>
    <t>GCG4B</t>
  </si>
  <si>
    <t>GCT5B</t>
  </si>
  <si>
    <t>Gct7B</t>
  </si>
  <si>
    <t>GMACO2P</t>
  </si>
  <si>
    <t>GMA CO2B</t>
  </si>
  <si>
    <t>Misc tables doing test comparisons of State Energy Data System online to downloaded series for verification and interpretation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</si>
</sst>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4" formatCode="_(&quot;$&quot;* #,##0.00_);_(&quot;$&quot;* \(#,##0.00\);_(&quot;$&quot;* &quot;-&quot;??_);_(@_)"/>
    <numFmt numFmtId="43" formatCode="_(* #,##0.00_);_(* \(#,##0.00\);_(* &quot;-&quot;??_);_(@_)"/>
    <numFmt numFmtId="164" formatCode="[$-409]mmm\-yy;@"/>
    <numFmt numFmtId="165" formatCode="0.000"/>
    <numFmt numFmtId="166" formatCode="0.0"/>
    <numFmt numFmtId="167" formatCode="_(* #,##0.000_);_(* \(#,##0.000\);_(* &quot;-&quot;??_);_(@_)"/>
    <numFmt numFmtId="168" formatCode="0.00000"/>
    <numFmt numFmtId="169" formatCode="0.0%"/>
    <numFmt numFmtId="170" formatCode="_(* #,##0.00000_);_(* \(#,##0.00000\);_(* &quot;-&quot;??_);_(@_)"/>
    <numFmt numFmtId="171" formatCode="_(* #,##0.000000_);_(* \(#,##0.000000\);_(* &quot;-&quot;??_);_(@_)"/>
    <numFmt numFmtId="172" formatCode="[=0]&quot;(Z) &quot;;[&gt;99]&quot;(A) &quot;;#\ ;&quot;(A) &quot;"/>
    <numFmt numFmtId="175" formatCode="0.000000"/>
    <numFmt numFmtId="177" formatCode="#,##0.0"/>
  </numFmts>
  <fonts count="77" x14ac:knownFonts="1">
    <font>
      <sz val="11"/>
      <color theme="1"/>
      <name val="Aptos Narrow"/>
      <family val="2"/>
      <scheme val="minor"/>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u/>
      <sz val="11"/>
      <color theme="10"/>
      <name val="Aptos Narrow"/>
      <family val="2"/>
      <scheme val="minor"/>
    </font>
    <font>
      <sz val="10"/>
      <name val="Aptos Narrow"/>
      <family val="2"/>
      <scheme val="minor"/>
    </font>
    <font>
      <b/>
      <sz val="16"/>
      <name val="Aptos Narrow"/>
      <family val="2"/>
      <scheme val="minor"/>
    </font>
    <font>
      <b/>
      <sz val="12"/>
      <name val="Aptos Narrow"/>
      <family val="2"/>
      <scheme val="minor"/>
    </font>
    <font>
      <sz val="10"/>
      <name val="Arial"/>
      <family val="2"/>
    </font>
    <font>
      <sz val="10"/>
      <color indexed="8"/>
      <name val="Arial"/>
      <family val="2"/>
    </font>
    <font>
      <u/>
      <sz val="10"/>
      <color indexed="12"/>
      <name val="Arial"/>
      <family val="2"/>
    </font>
    <font>
      <b/>
      <sz val="18"/>
      <color theme="1"/>
      <name val="Aptos Narrow"/>
      <family val="2"/>
      <scheme val="minor"/>
    </font>
    <font>
      <b/>
      <sz val="9"/>
      <color indexed="8"/>
      <name val="Calibri"/>
      <family val="2"/>
    </font>
    <font>
      <b/>
      <i/>
      <sz val="9"/>
      <color indexed="8"/>
      <name val="Calibri"/>
      <family val="2"/>
    </font>
    <font>
      <b/>
      <vertAlign val="superscript"/>
      <sz val="9"/>
      <color indexed="8"/>
      <name val="Calibri"/>
      <family val="2"/>
    </font>
    <font>
      <vertAlign val="superscript"/>
      <sz val="9"/>
      <color indexed="8"/>
      <name val="Calibri"/>
      <family val="2"/>
    </font>
    <font>
      <b/>
      <vertAlign val="subscript"/>
      <sz val="9"/>
      <color indexed="8"/>
      <name val="Calibri"/>
      <family val="2"/>
    </font>
    <font>
      <sz val="10"/>
      <name val="Verdana"/>
      <family val="2"/>
    </font>
    <font>
      <u/>
      <sz val="10"/>
      <color indexed="12"/>
      <name val="Verdana"/>
      <family val="2"/>
    </font>
    <font>
      <sz val="9"/>
      <color theme="1"/>
      <name val="Aptos Narrow"/>
      <family val="2"/>
      <scheme val="minor"/>
    </font>
    <font>
      <u/>
      <sz val="11"/>
      <color theme="6"/>
      <name val="Calibri"/>
      <family val="2"/>
    </font>
    <font>
      <b/>
      <sz val="9"/>
      <color theme="1"/>
      <name val="Aptos Narrow"/>
      <family val="2"/>
      <scheme val="minor"/>
    </font>
    <font>
      <u/>
      <sz val="10"/>
      <color theme="4"/>
      <name val="Aptos Narrow"/>
      <family val="2"/>
      <scheme val="minor"/>
    </font>
    <font>
      <b/>
      <sz val="12"/>
      <color theme="4"/>
      <name val="Aptos Narrow"/>
      <family val="2"/>
      <scheme val="minor"/>
    </font>
    <font>
      <vertAlign val="superscript"/>
      <sz val="9"/>
      <color theme="1"/>
      <name val="Aptos Narrow"/>
      <family val="2"/>
      <scheme val="minor"/>
    </font>
    <font>
      <b/>
      <vertAlign val="superscript"/>
      <sz val="11"/>
      <color theme="1"/>
      <name val="Aptos Narrow"/>
      <family val="2"/>
      <scheme val="minor"/>
    </font>
    <font>
      <sz val="11"/>
      <color indexed="8"/>
      <name val="Calibri"/>
      <family val="2"/>
    </font>
    <font>
      <sz val="11"/>
      <color rgb="FFFF0000"/>
      <name val="Calibri"/>
      <family val="2"/>
    </font>
    <font>
      <sz val="10"/>
      <color rgb="FFFF0000"/>
      <name val="Arial"/>
      <family val="2"/>
    </font>
    <font>
      <sz val="8"/>
      <name val="Comic Sans MS"/>
      <family val="4"/>
    </font>
    <font>
      <b/>
      <sz val="8"/>
      <name val="Comic Sans MS"/>
      <family val="4"/>
    </font>
    <font>
      <b/>
      <sz val="10"/>
      <name val="Arial"/>
      <family val="2"/>
    </font>
    <font>
      <b/>
      <sz val="11"/>
      <color indexed="8"/>
      <name val="Calibri"/>
      <family val="2"/>
    </font>
    <font>
      <u/>
      <sz val="11"/>
      <color indexed="12"/>
      <name val="Calibri"/>
      <family val="2"/>
    </font>
    <font>
      <sz val="8"/>
      <color rgb="FFFF0000"/>
      <name val="Comic Sans MS"/>
      <family val="4"/>
    </font>
    <font>
      <sz val="11"/>
      <color rgb="FF000000"/>
      <name val="Aptos Narrow"/>
      <family val="2"/>
      <scheme val="minor"/>
    </font>
    <font>
      <b/>
      <sz val="18"/>
      <color theme="3"/>
      <name val="Aptos Display"/>
      <family val="2"/>
      <scheme val="major"/>
    </font>
    <font>
      <sz val="11"/>
      <color rgb="FF9C6500"/>
      <name val="Aptos Narrow"/>
      <family val="2"/>
      <scheme val="minor"/>
    </font>
    <font>
      <u/>
      <sz val="11"/>
      <color rgb="FF0066AA"/>
      <name val="Aptos Narrow"/>
      <family val="2"/>
      <scheme val="minor"/>
    </font>
    <font>
      <u/>
      <sz val="11"/>
      <color rgb="FF004488"/>
      <name val="Aptos Narrow"/>
      <family val="2"/>
      <scheme val="minor"/>
    </font>
    <font>
      <b/>
      <u/>
      <sz val="14"/>
      <color rgb="FF000080"/>
      <name val="Comic Sans MS"/>
      <family val="4"/>
    </font>
    <font>
      <b/>
      <sz val="14"/>
      <color rgb="FF000080"/>
      <name val="Comic Sans MS"/>
      <family val="4"/>
    </font>
    <font>
      <b/>
      <i/>
      <sz val="14"/>
      <color rgb="FF000080"/>
      <name val="Comic Sans MS"/>
      <family val="4"/>
    </font>
    <font>
      <b/>
      <i/>
      <vertAlign val="subscript"/>
      <sz val="14"/>
      <color rgb="FF000080"/>
      <name val="Comic Sans MS"/>
      <family val="4"/>
    </font>
    <font>
      <b/>
      <i/>
      <sz val="11"/>
      <color rgb="FF000080"/>
      <name val="Comic Sans MS"/>
      <family val="4"/>
    </font>
    <font>
      <sz val="9"/>
      <color rgb="FF000000"/>
      <name val="Segoe UI"/>
      <family val="2"/>
    </font>
    <font>
      <sz val="9"/>
      <color rgb="FF0088FF"/>
      <name val="Segoe UI"/>
      <family val="2"/>
    </font>
    <font>
      <sz val="9"/>
      <color rgb="FFC700C7"/>
      <name val="Segoe UI"/>
      <family val="2"/>
    </font>
    <font>
      <sz val="9"/>
      <color rgb="FF098658"/>
      <name val="Segoe UI"/>
      <family val="2"/>
    </font>
    <font>
      <sz val="11"/>
      <color indexed="8"/>
      <name val="Aptos"/>
      <family val="2"/>
    </font>
    <font>
      <b/>
      <sz val="11"/>
      <color rgb="FF006100"/>
      <name val="Aptos Narrow"/>
      <family val="2"/>
      <scheme val="minor"/>
    </font>
    <font>
      <sz val="8"/>
      <name val="Arial"/>
      <family val="2"/>
    </font>
    <font>
      <sz val="8"/>
      <color rgb="FFFF0000"/>
      <name val="Arial"/>
      <family val="2"/>
    </font>
    <font>
      <b/>
      <sz val="9"/>
      <color indexed="8"/>
      <name val="Comic Sans MS"/>
      <family val="4"/>
    </font>
    <font>
      <sz val="8"/>
      <color indexed="8"/>
      <name val="Comic Sans MS"/>
      <family val="4"/>
    </font>
    <font>
      <sz val="8"/>
      <color theme="1"/>
      <name val="Comic Sans MS"/>
      <family val="4"/>
    </font>
    <font>
      <b/>
      <sz val="10"/>
      <color rgb="FFFF0000"/>
      <name val="Arial"/>
      <family val="2"/>
    </font>
    <font>
      <b/>
      <sz val="10"/>
      <color theme="1"/>
      <name val="Aptos Narrow"/>
      <family val="2"/>
      <scheme val="minor"/>
    </font>
    <font>
      <b/>
      <sz val="11"/>
      <color rgb="FFFF0000"/>
      <name val="Aptos Narrow"/>
      <family val="2"/>
      <scheme val="minor"/>
    </font>
    <font>
      <sz val="11"/>
      <color theme="3" tint="0.39997558519241921"/>
      <name val="Aptos Narrow"/>
      <family val="2"/>
      <scheme val="minor"/>
    </font>
    <font>
      <b/>
      <sz val="8"/>
      <color indexed="8"/>
      <name val="Comic Sans MS"/>
      <family val="4"/>
    </font>
    <font>
      <b/>
      <sz val="8"/>
      <color theme="1"/>
      <name val="Comic Sans MS"/>
      <family val="4"/>
    </font>
    <font>
      <b/>
      <u/>
      <sz val="11"/>
      <color theme="1"/>
      <name val="Aptos Narrow"/>
      <family val="2"/>
      <scheme val="minor"/>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9"/>
        <bgColor indexed="22"/>
      </patternFill>
    </fill>
    <fill>
      <patternFill patternType="solid">
        <fgColor theme="0" tint="-0.14999847407452621"/>
        <bgColor indexed="64"/>
      </patternFill>
    </fill>
    <fill>
      <patternFill patternType="solid">
        <fgColor indexed="22"/>
        <bgColor indexed="0"/>
      </patternFill>
    </fill>
    <fill>
      <patternFill patternType="solid">
        <fgColor theme="0" tint="-0.249977111117893"/>
        <bgColor indexed="0"/>
      </patternFill>
    </fill>
    <fill>
      <patternFill patternType="solid">
        <fgColor theme="0" tint="-0.249977111117893"/>
        <bgColor indexed="64"/>
      </patternFill>
    </fill>
    <fill>
      <patternFill patternType="solid">
        <fgColor theme="0"/>
        <bgColor indexed="0"/>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6" tint="0.79998168889431442"/>
        <bgColor indexed="0"/>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0"/>
      </patternFill>
    </fill>
    <fill>
      <patternFill patternType="solid">
        <fgColor theme="0" tint="-0.14999847407452621"/>
        <bgColor indexed="0"/>
      </patternFill>
    </fill>
    <fill>
      <patternFill patternType="solid">
        <fgColor theme="3" tint="0.89999084444715716"/>
        <bgColor indexed="64"/>
      </patternFill>
    </fill>
    <fill>
      <patternFill patternType="solid">
        <fgColor rgb="FFFFFFCC"/>
        <bgColor indexed="64"/>
      </patternFill>
    </fill>
    <fill>
      <patternFill patternType="solid">
        <fgColor theme="8" tint="0.59999389629810485"/>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indexed="64"/>
      </left>
      <right style="thin">
        <color indexed="64"/>
      </right>
      <top/>
      <bottom/>
      <diagonal/>
    </border>
    <border>
      <left style="thin">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ck">
        <color indexed="64"/>
      </left>
      <right/>
      <top style="thick">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thick">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ashed">
        <color theme="0" tint="-0.24994659260841701"/>
      </bottom>
      <diagonal/>
    </border>
    <border>
      <left/>
      <right/>
      <top style="medium">
        <color theme="4"/>
      </top>
      <bottom/>
      <diagonal/>
    </border>
    <border>
      <left style="thick">
        <color theme="0"/>
      </left>
      <right style="thick">
        <color theme="0"/>
      </right>
      <top/>
      <bottom style="thin">
        <color theme="0" tint="-0.24994659260841701"/>
      </bottom>
      <diagonal/>
    </border>
    <border>
      <left/>
      <right/>
      <top/>
      <bottom style="thin">
        <color theme="0" tint="-0.249977111117893"/>
      </bottom>
      <diagonal/>
    </border>
    <border>
      <left/>
      <right/>
      <top style="thin">
        <color theme="4"/>
      </top>
      <bottom style="dashed">
        <color theme="0" tint="-0.24994659260841701"/>
      </bottom>
      <diagonal/>
    </border>
    <border>
      <left/>
      <right/>
      <top style="thin">
        <color theme="4"/>
      </top>
      <bottom style="thin">
        <color theme="0" tint="-0.24994659260841701"/>
      </bottom>
      <diagonal/>
    </border>
    <border>
      <left style="medium">
        <color indexed="64"/>
      </left>
      <right/>
      <top style="medium">
        <color indexed="64"/>
      </top>
      <bottom/>
      <diagonal/>
    </border>
    <border>
      <left/>
      <right/>
      <top style="medium">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style="thin">
        <color indexed="8"/>
      </left>
      <right style="thin">
        <color indexed="8"/>
      </right>
      <top/>
      <bottom/>
      <diagonal/>
    </border>
    <border>
      <left/>
      <right/>
      <top style="medium">
        <color indexed="64"/>
      </top>
      <bottom style="thin">
        <color indexed="64"/>
      </bottom>
      <diagonal/>
    </border>
    <border>
      <left style="thin">
        <color indexed="8"/>
      </left>
      <right/>
      <top/>
      <bottom/>
      <diagonal/>
    </border>
    <border>
      <left style="thin">
        <color indexed="22"/>
      </left>
      <right/>
      <top/>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s>
  <cellStyleXfs count="115">
    <xf numFmtId="0" fontId="0" fillId="0" borderId="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4" applyNumberFormat="0" applyAlignment="0" applyProtection="0"/>
    <xf numFmtId="0" fontId="9" fillId="6" borderId="5" applyNumberFormat="0" applyAlignment="0" applyProtection="0"/>
    <xf numFmtId="0" fontId="10" fillId="6" borderId="4" applyNumberFormat="0" applyAlignment="0" applyProtection="0"/>
    <xf numFmtId="0" fontId="11" fillId="0" borderId="6" applyNumberFormat="0" applyFill="0" applyAlignment="0" applyProtection="0"/>
    <xf numFmtId="0" fontId="12" fillId="7" borderId="7" applyNumberFormat="0" applyAlignment="0" applyProtection="0"/>
    <xf numFmtId="0" fontId="13" fillId="0" borderId="0" applyNumberFormat="0" applyFill="0" applyBorder="0" applyAlignment="0" applyProtection="0"/>
    <xf numFmtId="0" fontId="1" fillId="8" borderId="8" applyNumberFormat="0" applyFont="0" applyAlignment="0" applyProtection="0"/>
    <xf numFmtId="0" fontId="14" fillId="0" borderId="0" applyNumberFormat="0" applyFill="0" applyBorder="0" applyAlignment="0" applyProtection="0"/>
    <xf numFmtId="0" fontId="15" fillId="0" borderId="9" applyNumberFormat="0" applyFill="0" applyAlignment="0" applyProtection="0"/>
    <xf numFmtId="0" fontId="16"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0" borderId="0" applyNumberFormat="0" applyFill="0" applyBorder="0" applyAlignment="0" applyProtection="0"/>
    <xf numFmtId="0" fontId="22" fillId="0" borderId="0"/>
    <xf numFmtId="0" fontId="24" fillId="0" borderId="0" applyNumberFormat="0" applyFill="0" applyBorder="0" applyAlignment="0" applyProtection="0">
      <alignment vertical="top"/>
      <protection locked="0"/>
    </xf>
    <xf numFmtId="0" fontId="33" fillId="0" borderId="28" applyNumberFormat="0" applyFont="0" applyProtection="0">
      <alignment wrapText="1"/>
    </xf>
    <xf numFmtId="43" fontId="31" fillId="0" borderId="0" applyFont="0" applyFill="0" applyBorder="0" applyAlignment="0" applyProtection="0"/>
    <xf numFmtId="43" fontId="31" fillId="0" borderId="0" applyFont="0" applyFill="0" applyBorder="0" applyAlignment="0" applyProtection="0"/>
    <xf numFmtId="0" fontId="34" fillId="0" borderId="0" applyNumberFormat="0" applyFill="0" applyBorder="0" applyAlignment="0" applyProtection="0">
      <alignment vertical="top"/>
      <protection locked="0"/>
    </xf>
    <xf numFmtId="0" fontId="33" fillId="0" borderId="0" applyNumberFormat="0" applyFill="0" applyBorder="0" applyAlignment="0" applyProtection="0"/>
    <xf numFmtId="0" fontId="33" fillId="0" borderId="0" applyNumberFormat="0" applyProtection="0">
      <alignment vertical="top" wrapText="1"/>
    </xf>
    <xf numFmtId="0" fontId="33" fillId="0" borderId="29" applyNumberFormat="0" applyProtection="0">
      <alignment vertical="top" wrapText="1"/>
    </xf>
    <xf numFmtId="0" fontId="35" fillId="0" borderId="1" applyNumberFormat="0" applyProtection="0">
      <alignment wrapText="1"/>
    </xf>
    <xf numFmtId="0" fontId="35" fillId="0" borderId="30" applyNumberFormat="0" applyProtection="0">
      <alignment horizontal="left" wrapText="1"/>
    </xf>
    <xf numFmtId="0" fontId="36"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22" fillId="0" borderId="0"/>
    <xf numFmtId="0" fontId="31" fillId="0" borderId="0"/>
    <xf numFmtId="0" fontId="31" fillId="0" borderId="0"/>
    <xf numFmtId="0" fontId="22" fillId="0" borderId="0"/>
    <xf numFmtId="0" fontId="22" fillId="0" borderId="0"/>
    <xf numFmtId="0" fontId="31" fillId="0" borderId="0"/>
    <xf numFmtId="0" fontId="31" fillId="0" borderId="0"/>
    <xf numFmtId="0" fontId="31" fillId="0" borderId="0"/>
    <xf numFmtId="0" fontId="31" fillId="0" borderId="0"/>
    <xf numFmtId="164" fontId="22" fillId="0" borderId="0"/>
    <xf numFmtId="0" fontId="35" fillId="0" borderId="31" applyNumberFormat="0" applyProtection="0">
      <alignment wrapText="1"/>
    </xf>
    <xf numFmtId="9" fontId="31" fillId="0" borderId="0" applyFont="0" applyFill="0" applyBorder="0" applyAlignment="0" applyProtection="0"/>
    <xf numFmtId="9" fontId="31" fillId="0" borderId="0" applyFont="0" applyFill="0" applyBorder="0" applyAlignment="0" applyProtection="0"/>
    <xf numFmtId="0" fontId="33" fillId="0" borderId="32" applyNumberFormat="0" applyFont="0" applyFill="0" applyProtection="0">
      <alignment wrapText="1"/>
    </xf>
    <xf numFmtId="0" fontId="35" fillId="0" borderId="33" applyNumberFormat="0" applyFill="0" applyProtection="0">
      <alignment wrapText="1"/>
    </xf>
    <xf numFmtId="0" fontId="37" fillId="0" borderId="0" applyNumberFormat="0" applyProtection="0">
      <alignment horizontal="left"/>
    </xf>
    <xf numFmtId="0" fontId="23" fillId="0" borderId="0"/>
    <xf numFmtId="0" fontId="23" fillId="0" borderId="0"/>
    <xf numFmtId="0" fontId="23" fillId="0" borderId="0"/>
    <xf numFmtId="43" fontId="40" fillId="0" borderId="0" applyFont="0" applyFill="0" applyBorder="0" applyAlignment="0" applyProtection="0"/>
    <xf numFmtId="43" fontId="40" fillId="0" borderId="0" applyFont="0" applyFill="0" applyBorder="0" applyAlignment="0" applyProtection="0"/>
    <xf numFmtId="0" fontId="47" fillId="0" borderId="0" applyNumberFormat="0" applyFill="0" applyBorder="0" applyAlignment="0" applyProtection="0">
      <alignment vertical="top"/>
      <protection locked="0"/>
    </xf>
    <xf numFmtId="9" fontId="40" fillId="0" borderId="0" applyFont="0" applyFill="0" applyBorder="0" applyAlignment="0" applyProtection="0"/>
    <xf numFmtId="9" fontId="40" fillId="0" borderId="0" applyFont="0" applyFill="0" applyBorder="0" applyAlignment="0" applyProtection="0"/>
    <xf numFmtId="43" fontId="1" fillId="0" borderId="0" applyFont="0" applyFill="0" applyBorder="0" applyAlignment="0" applyProtection="0"/>
    <xf numFmtId="0" fontId="18" fillId="0" borderId="0" applyNumberFormat="0" applyFill="0" applyBorder="0" applyAlignment="0" applyProtection="0"/>
    <xf numFmtId="0" fontId="22" fillId="0" borderId="0"/>
    <xf numFmtId="0" fontId="23" fillId="0" borderId="0"/>
    <xf numFmtId="43" fontId="22" fillId="0" borderId="0" applyFont="0" applyFill="0" applyBorder="0" applyAlignment="0" applyProtection="0"/>
    <xf numFmtId="172" fontId="22" fillId="0" borderId="43" applyBorder="0">
      <alignment horizontal="right"/>
    </xf>
    <xf numFmtId="43" fontId="22" fillId="0" borderId="0" applyFont="0" applyFill="0" applyBorder="0" applyAlignment="0" applyProtection="0"/>
    <xf numFmtId="0" fontId="36" fillId="0" borderId="0" applyNumberFormat="0" applyFill="0" applyBorder="0" applyAlignment="0" applyProtection="0">
      <alignment vertical="top"/>
      <protection locked="0"/>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2"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51" fillId="4" borderId="0" applyNumberFormat="0" applyBorder="0" applyAlignment="0" applyProtection="0"/>
    <xf numFmtId="0" fontId="50" fillId="0" borderId="0" applyNumberFormat="0" applyFill="0" applyBorder="0" applyAlignment="0" applyProtection="0"/>
    <xf numFmtId="0" fontId="22" fillId="0" borderId="0"/>
    <xf numFmtId="0" fontId="49" fillId="0" borderId="0"/>
    <xf numFmtId="0" fontId="22" fillId="0" borderId="0"/>
    <xf numFmtId="0" fontId="52" fillId="0" borderId="0" applyNumberFormat="0" applyFill="0" applyBorder="0" applyAlignment="0" applyProtection="0"/>
    <xf numFmtId="0" fontId="5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 fillId="0" borderId="0" applyFont="0" applyFill="0" applyBorder="0" applyAlignment="0" applyProtection="0"/>
  </cellStyleXfs>
  <cellXfs count="353">
    <xf numFmtId="0" fontId="0" fillId="0" borderId="0" xfId="0"/>
    <xf numFmtId="0" fontId="15" fillId="0" borderId="0" xfId="0" applyFont="1"/>
    <xf numFmtId="0" fontId="17" fillId="0" borderId="0" xfId="0" applyFont="1"/>
    <xf numFmtId="0" fontId="19" fillId="33" borderId="0" xfId="0" applyFont="1" applyFill="1" applyAlignment="1">
      <alignment vertical="top"/>
    </xf>
    <xf numFmtId="0" fontId="19" fillId="33" borderId="0" xfId="0" applyFont="1" applyFill="1"/>
    <xf numFmtId="0" fontId="20" fillId="34" borderId="0" xfId="0" applyFont="1" applyFill="1"/>
    <xf numFmtId="0" fontId="19" fillId="33" borderId="0" xfId="0" applyFont="1" applyFill="1" applyAlignment="1">
      <alignment horizontal="left"/>
    </xf>
    <xf numFmtId="0" fontId="19" fillId="33" borderId="10" xfId="0" applyFont="1" applyFill="1" applyBorder="1"/>
    <xf numFmtId="0" fontId="19" fillId="33" borderId="11" xfId="0" applyFont="1" applyFill="1" applyBorder="1" applyAlignment="1">
      <alignment wrapText="1"/>
    </xf>
    <xf numFmtId="0" fontId="19" fillId="0" borderId="10" xfId="0" applyFont="1" applyBorder="1"/>
    <xf numFmtId="0" fontId="19" fillId="33" borderId="12" xfId="0" applyFont="1" applyFill="1" applyBorder="1"/>
    <xf numFmtId="0" fontId="19" fillId="33" borderId="13" xfId="0" applyFont="1" applyFill="1" applyBorder="1" applyAlignment="1">
      <alignment wrapText="1"/>
    </xf>
    <xf numFmtId="0" fontId="21" fillId="33" borderId="14" xfId="0" applyFont="1" applyFill="1" applyBorder="1"/>
    <xf numFmtId="0" fontId="21" fillId="33" borderId="15" xfId="0" applyFont="1" applyFill="1" applyBorder="1"/>
    <xf numFmtId="0" fontId="21" fillId="33" borderId="16" xfId="0" applyFont="1" applyFill="1" applyBorder="1"/>
    <xf numFmtId="0" fontId="19" fillId="33" borderId="17" xfId="0" applyFont="1" applyFill="1" applyBorder="1"/>
    <xf numFmtId="0" fontId="19" fillId="33" borderId="19" xfId="0" applyFont="1" applyFill="1" applyBorder="1" applyAlignment="1">
      <alignment vertical="top"/>
    </xf>
    <xf numFmtId="0" fontId="21" fillId="33" borderId="20" xfId="0" applyFont="1" applyFill="1" applyBorder="1"/>
    <xf numFmtId="0" fontId="21" fillId="33" borderId="21" xfId="0" applyFont="1" applyFill="1" applyBorder="1"/>
    <xf numFmtId="0" fontId="21" fillId="33" borderId="22" xfId="0" applyFont="1" applyFill="1" applyBorder="1"/>
    <xf numFmtId="0" fontId="19" fillId="33" borderId="23" xfId="0" applyFont="1" applyFill="1" applyBorder="1"/>
    <xf numFmtId="0" fontId="19" fillId="33" borderId="24" xfId="0" applyFont="1" applyFill="1" applyBorder="1" applyAlignment="1">
      <alignment vertical="top"/>
    </xf>
    <xf numFmtId="0" fontId="19" fillId="33" borderId="25" xfId="0" applyFont="1" applyFill="1" applyBorder="1"/>
    <xf numFmtId="0" fontId="19" fillId="33" borderId="26" xfId="0" applyFont="1" applyFill="1" applyBorder="1" applyAlignment="1">
      <alignment vertical="top"/>
    </xf>
    <xf numFmtId="0" fontId="19" fillId="33" borderId="27" xfId="0" applyFont="1" applyFill="1" applyBorder="1" applyAlignment="1">
      <alignment vertical="top"/>
    </xf>
    <xf numFmtId="0" fontId="18" fillId="33" borderId="0" xfId="36" applyFill="1"/>
    <xf numFmtId="0" fontId="21" fillId="33" borderId="0" xfId="0" applyFont="1" applyFill="1"/>
    <xf numFmtId="0" fontId="0" fillId="0" borderId="0" xfId="0" applyAlignment="1">
      <alignment vertical="center" wrapText="1"/>
    </xf>
    <xf numFmtId="0" fontId="15" fillId="0" borderId="0" xfId="0" applyFont="1" applyAlignment="1">
      <alignment horizontal="center" vertical="center" wrapText="1"/>
    </xf>
    <xf numFmtId="0" fontId="25" fillId="0" borderId="0" xfId="0" applyFont="1" applyAlignment="1">
      <alignment vertical="center"/>
    </xf>
    <xf numFmtId="0" fontId="35" fillId="0" borderId="0" xfId="39" applyFont="1" applyBorder="1" applyAlignment="1">
      <alignment horizontal="left" wrapText="1"/>
    </xf>
    <xf numFmtId="0" fontId="35" fillId="0" borderId="0" xfId="39" applyFont="1" applyBorder="1">
      <alignment wrapText="1"/>
    </xf>
    <xf numFmtId="0" fontId="26" fillId="0" borderId="0" xfId="45" applyFont="1" applyBorder="1">
      <alignment vertical="top" wrapText="1"/>
    </xf>
    <xf numFmtId="0" fontId="35" fillId="0" borderId="0" xfId="60" applyBorder="1" applyAlignment="1">
      <alignment horizontal="right" wrapText="1"/>
    </xf>
    <xf numFmtId="0" fontId="33" fillId="0" borderId="0" xfId="39" applyBorder="1" applyAlignment="1"/>
    <xf numFmtId="0" fontId="33" fillId="0" borderId="0" xfId="39" applyBorder="1">
      <alignment wrapText="1"/>
    </xf>
    <xf numFmtId="2" fontId="33" fillId="0" borderId="0" xfId="39" applyNumberFormat="1" applyBorder="1">
      <alignment wrapText="1"/>
    </xf>
    <xf numFmtId="2" fontId="0" fillId="0" borderId="0" xfId="0" applyNumberFormat="1"/>
    <xf numFmtId="0" fontId="0" fillId="0" borderId="19" xfId="0" applyBorder="1"/>
    <xf numFmtId="0" fontId="35" fillId="0" borderId="19" xfId="46" applyBorder="1" applyAlignment="1"/>
    <xf numFmtId="0" fontId="35" fillId="0" borderId="19" xfId="60" applyBorder="1">
      <alignment wrapText="1"/>
    </xf>
    <xf numFmtId="0" fontId="0" fillId="0" borderId="19" xfId="0" applyBorder="1" applyAlignment="1">
      <alignment vertical="center"/>
    </xf>
    <xf numFmtId="0" fontId="35" fillId="0" borderId="19" xfId="60" applyBorder="1" applyAlignment="1">
      <alignment horizontal="right" wrapText="1"/>
    </xf>
    <xf numFmtId="2" fontId="35" fillId="0" borderId="19" xfId="60" applyNumberFormat="1" applyBorder="1" applyAlignment="1">
      <alignment horizontal="right" wrapText="1"/>
    </xf>
    <xf numFmtId="4" fontId="33" fillId="0" borderId="19" xfId="39" applyNumberFormat="1" applyBorder="1" applyAlignment="1"/>
    <xf numFmtId="4" fontId="33" fillId="0" borderId="19" xfId="39" applyNumberFormat="1" applyBorder="1">
      <alignment wrapText="1"/>
    </xf>
    <xf numFmtId="4" fontId="33" fillId="0" borderId="19" xfId="39" applyNumberFormat="1" applyBorder="1" applyAlignment="1">
      <alignment horizontal="right" wrapText="1"/>
    </xf>
    <xf numFmtId="0" fontId="33" fillId="0" borderId="19" xfId="39" applyBorder="1" applyAlignment="1"/>
    <xf numFmtId="0" fontId="33" fillId="0" borderId="19" xfId="39" applyBorder="1">
      <alignment wrapText="1"/>
    </xf>
    <xf numFmtId="0" fontId="18" fillId="0" borderId="0" xfId="36" applyAlignment="1"/>
    <xf numFmtId="0" fontId="0" fillId="35" borderId="0" xfId="0" applyFill="1"/>
    <xf numFmtId="0" fontId="0" fillId="35" borderId="19" xfId="0" applyFill="1" applyBorder="1"/>
    <xf numFmtId="0" fontId="0" fillId="0" borderId="0" xfId="0" applyAlignment="1">
      <alignment horizontal="center" vertical="center" wrapText="1"/>
    </xf>
    <xf numFmtId="3" fontId="0" fillId="0" borderId="0" xfId="0" applyNumberFormat="1" applyAlignment="1">
      <alignment vertical="center" wrapText="1"/>
    </xf>
    <xf numFmtId="0" fontId="0" fillId="0" borderId="0" xfId="0" applyAlignment="1">
      <alignment horizontal="left" vertical="center" wrapText="1" indent="2"/>
    </xf>
    <xf numFmtId="0" fontId="40" fillId="36" borderId="36" xfId="66" applyFont="1" applyFill="1" applyBorder="1" applyAlignment="1">
      <alignment horizontal="center"/>
    </xf>
    <xf numFmtId="0" fontId="40" fillId="0" borderId="37" xfId="66" applyFont="1" applyBorder="1" applyAlignment="1">
      <alignment wrapText="1"/>
    </xf>
    <xf numFmtId="0" fontId="40" fillId="0" borderId="37" xfId="66" applyFont="1" applyBorder="1"/>
    <xf numFmtId="0" fontId="40" fillId="0" borderId="37" xfId="66" applyFont="1" applyBorder="1" applyAlignment="1">
      <alignment horizontal="right" wrapText="1"/>
    </xf>
    <xf numFmtId="0" fontId="23" fillId="0" borderId="0" xfId="66"/>
    <xf numFmtId="0" fontId="40" fillId="0" borderId="38" xfId="66" applyFont="1" applyBorder="1"/>
    <xf numFmtId="0" fontId="40" fillId="37" borderId="36" xfId="66" applyFont="1" applyFill="1" applyBorder="1" applyAlignment="1">
      <alignment horizontal="center"/>
    </xf>
    <xf numFmtId="0" fontId="40" fillId="38" borderId="37" xfId="66" applyFont="1" applyFill="1" applyBorder="1" applyAlignment="1">
      <alignment horizontal="right" wrapText="1"/>
    </xf>
    <xf numFmtId="0" fontId="0" fillId="38" borderId="0" xfId="0" applyFill="1"/>
    <xf numFmtId="0" fontId="40" fillId="39" borderId="36" xfId="66" applyFont="1" applyFill="1" applyBorder="1" applyAlignment="1">
      <alignment horizontal="center"/>
    </xf>
    <xf numFmtId="0" fontId="40" fillId="40" borderId="37" xfId="66" applyFont="1" applyFill="1" applyBorder="1" applyAlignment="1">
      <alignment horizontal="right" wrapText="1"/>
    </xf>
    <xf numFmtId="0" fontId="0" fillId="40" borderId="0" xfId="0" applyFill="1"/>
    <xf numFmtId="0" fontId="40" fillId="36" borderId="0" xfId="66" applyFont="1" applyFill="1" applyAlignment="1">
      <alignment horizontal="center"/>
    </xf>
    <xf numFmtId="0" fontId="40" fillId="0" borderId="0" xfId="66" applyFont="1" applyAlignment="1">
      <alignment horizontal="right" wrapText="1"/>
    </xf>
    <xf numFmtId="0" fontId="23" fillId="38" borderId="0" xfId="66" applyFill="1"/>
    <xf numFmtId="0" fontId="40" fillId="38" borderId="0" xfId="66" applyFont="1" applyFill="1" applyAlignment="1">
      <alignment horizontal="right" wrapText="1"/>
    </xf>
    <xf numFmtId="0" fontId="40" fillId="38" borderId="37" xfId="66" applyFont="1" applyFill="1" applyBorder="1"/>
    <xf numFmtId="0" fontId="40" fillId="41" borderId="38" xfId="66" applyFont="1" applyFill="1" applyBorder="1"/>
    <xf numFmtId="0" fontId="40" fillId="36" borderId="36" xfId="67" applyFont="1" applyFill="1" applyBorder="1" applyAlignment="1">
      <alignment horizontal="center"/>
    </xf>
    <xf numFmtId="0" fontId="40" fillId="0" borderId="37" xfId="67" applyFont="1" applyBorder="1" applyAlignment="1">
      <alignment wrapText="1"/>
    </xf>
    <xf numFmtId="0" fontId="40" fillId="0" borderId="37" xfId="67" applyFont="1" applyBorder="1" applyAlignment="1">
      <alignment horizontal="right" wrapText="1"/>
    </xf>
    <xf numFmtId="0" fontId="23" fillId="0" borderId="0" xfId="67"/>
    <xf numFmtId="0" fontId="40" fillId="36" borderId="39" xfId="67" applyFont="1" applyFill="1" applyBorder="1" applyAlignment="1">
      <alignment horizontal="center"/>
    </xf>
    <xf numFmtId="0" fontId="40" fillId="37" borderId="36" xfId="67" applyFont="1" applyFill="1" applyBorder="1" applyAlignment="1">
      <alignment horizontal="center"/>
    </xf>
    <xf numFmtId="0" fontId="40" fillId="38" borderId="37" xfId="67" applyFont="1" applyFill="1" applyBorder="1" applyAlignment="1">
      <alignment horizontal="right" wrapText="1"/>
    </xf>
    <xf numFmtId="0" fontId="40" fillId="38" borderId="37" xfId="67" applyFont="1" applyFill="1" applyBorder="1"/>
    <xf numFmtId="0" fontId="40" fillId="42" borderId="37" xfId="67" applyFont="1" applyFill="1" applyBorder="1"/>
    <xf numFmtId="0" fontId="40" fillId="43" borderId="37" xfId="67" applyFont="1" applyFill="1" applyBorder="1"/>
    <xf numFmtId="0" fontId="0" fillId="42" borderId="0" xfId="0" applyFill="1"/>
    <xf numFmtId="0" fontId="7" fillId="4" borderId="0" xfId="8"/>
    <xf numFmtId="0" fontId="40" fillId="35" borderId="37" xfId="67" applyFont="1" applyFill="1" applyBorder="1"/>
    <xf numFmtId="0" fontId="5" fillId="2" borderId="0" xfId="6"/>
    <xf numFmtId="0" fontId="40" fillId="36" borderId="36" xfId="68" applyFont="1" applyFill="1" applyBorder="1" applyAlignment="1">
      <alignment horizontal="center"/>
    </xf>
    <xf numFmtId="0" fontId="40" fillId="0" borderId="37" xfId="68" applyFont="1" applyBorder="1" applyAlignment="1">
      <alignment wrapText="1"/>
    </xf>
    <xf numFmtId="2" fontId="40" fillId="0" borderId="37" xfId="68" applyNumberFormat="1" applyFont="1" applyBorder="1" applyAlignment="1">
      <alignment horizontal="right" wrapText="1"/>
    </xf>
    <xf numFmtId="0" fontId="40" fillId="36" borderId="39" xfId="68" applyFont="1" applyFill="1" applyBorder="1" applyAlignment="1">
      <alignment horizontal="center"/>
    </xf>
    <xf numFmtId="0" fontId="41" fillId="36" borderId="36" xfId="67" applyFont="1" applyFill="1" applyBorder="1" applyAlignment="1">
      <alignment horizontal="center"/>
    </xf>
    <xf numFmtId="0" fontId="42" fillId="0" borderId="0" xfId="67" applyFont="1"/>
    <xf numFmtId="0" fontId="41" fillId="0" borderId="37" xfId="67" applyFont="1" applyBorder="1" applyAlignment="1">
      <alignment horizontal="right" wrapText="1"/>
    </xf>
    <xf numFmtId="0" fontId="41" fillId="41" borderId="37" xfId="67" applyFont="1" applyFill="1" applyBorder="1"/>
    <xf numFmtId="0" fontId="41" fillId="36" borderId="39" xfId="67" applyFont="1" applyFill="1" applyBorder="1" applyAlignment="1">
      <alignment horizontal="left"/>
    </xf>
    <xf numFmtId="0" fontId="40" fillId="36" borderId="36" xfId="77" applyFont="1" applyFill="1" applyBorder="1" applyAlignment="1">
      <alignment horizontal="center"/>
    </xf>
    <xf numFmtId="2" fontId="40" fillId="0" borderId="42" xfId="77" applyNumberFormat="1" applyFont="1" applyBorder="1" applyAlignment="1">
      <alignment horizontal="right" wrapText="1"/>
    </xf>
    <xf numFmtId="0" fontId="40" fillId="0" borderId="37" xfId="77" applyFont="1" applyBorder="1" applyAlignment="1">
      <alignment wrapText="1"/>
    </xf>
    <xf numFmtId="2" fontId="40" fillId="0" borderId="37" xfId="77" applyNumberFormat="1" applyFont="1" applyBorder="1" applyAlignment="1">
      <alignment horizontal="right" wrapText="1"/>
    </xf>
    <xf numFmtId="165" fontId="0" fillId="0" borderId="0" xfId="0" applyNumberFormat="1"/>
    <xf numFmtId="43" fontId="43" fillId="45" borderId="34" xfId="70" applyFont="1" applyFill="1" applyBorder="1"/>
    <xf numFmtId="43" fontId="0" fillId="0" borderId="0" xfId="0" applyNumberFormat="1"/>
    <xf numFmtId="43" fontId="43" fillId="45" borderId="35" xfId="70" applyFont="1" applyFill="1" applyBorder="1"/>
    <xf numFmtId="43" fontId="48" fillId="45" borderId="35" xfId="70" applyFont="1" applyFill="1" applyBorder="1"/>
    <xf numFmtId="2" fontId="7" fillId="4" borderId="0" xfId="8" applyNumberFormat="1"/>
    <xf numFmtId="168" fontId="7" fillId="4" borderId="0" xfId="8" applyNumberFormat="1"/>
    <xf numFmtId="43" fontId="45" fillId="0" borderId="46" xfId="40" applyFont="1" applyFill="1" applyBorder="1"/>
    <xf numFmtId="2" fontId="40" fillId="0" borderId="37" xfId="82" applyNumberFormat="1" applyFont="1" applyBorder="1" applyAlignment="1">
      <alignment horizontal="right" wrapText="1"/>
    </xf>
    <xf numFmtId="1" fontId="40" fillId="0" borderId="37" xfId="105" applyNumberFormat="1" applyFont="1" applyBorder="1" applyAlignment="1">
      <alignment horizontal="right" wrapText="1"/>
    </xf>
    <xf numFmtId="9" fontId="40" fillId="36" borderId="39" xfId="1" applyFont="1" applyFill="1" applyBorder="1" applyAlignment="1">
      <alignment horizontal="center"/>
    </xf>
    <xf numFmtId="170" fontId="22" fillId="0" borderId="46" xfId="40" applyNumberFormat="1" applyFont="1" applyFill="1" applyBorder="1"/>
    <xf numFmtId="0" fontId="40" fillId="0" borderId="0" xfId="106" applyFont="1" applyAlignment="1">
      <alignment wrapText="1"/>
    </xf>
    <xf numFmtId="10" fontId="0" fillId="0" borderId="0" xfId="1" applyNumberFormat="1" applyFont="1"/>
    <xf numFmtId="0" fontId="40" fillId="36" borderId="36" xfId="82" applyFont="1" applyFill="1" applyBorder="1" applyAlignment="1">
      <alignment horizontal="center"/>
    </xf>
    <xf numFmtId="1" fontId="40" fillId="0" borderId="37" xfId="82" applyNumberFormat="1" applyFont="1" applyBorder="1" applyAlignment="1">
      <alignment horizontal="right" wrapText="1"/>
    </xf>
    <xf numFmtId="0" fontId="40" fillId="36" borderId="39" xfId="105" applyFont="1" applyFill="1" applyBorder="1" applyAlignment="1">
      <alignment horizontal="center"/>
    </xf>
    <xf numFmtId="4" fontId="35" fillId="0" borderId="19" xfId="39" applyNumberFormat="1" applyFont="1" applyBorder="1" applyAlignment="1"/>
    <xf numFmtId="0" fontId="0" fillId="0" borderId="18" xfId="0" applyBorder="1"/>
    <xf numFmtId="0" fontId="40" fillId="0" borderId="37" xfId="106" applyFont="1" applyBorder="1" applyAlignment="1">
      <alignment wrapText="1"/>
    </xf>
    <xf numFmtId="0" fontId="60" fillId="0" borderId="0" xfId="0" applyFont="1" applyAlignment="1">
      <alignment vertical="center"/>
    </xf>
    <xf numFmtId="0" fontId="40" fillId="0" borderId="0" xfId="105" applyFont="1"/>
    <xf numFmtId="0" fontId="40" fillId="0" borderId="38" xfId="105" applyFont="1" applyBorder="1" applyAlignment="1">
      <alignment wrapText="1"/>
    </xf>
    <xf numFmtId="0" fontId="17" fillId="0" borderId="40" xfId="0" applyFont="1" applyBorder="1" applyAlignment="1">
      <alignment horizontal="center"/>
    </xf>
    <xf numFmtId="2" fontId="40" fillId="0" borderId="37" xfId="106" applyNumberFormat="1" applyFont="1" applyBorder="1" applyAlignment="1">
      <alignment horizontal="right" wrapText="1"/>
    </xf>
    <xf numFmtId="0" fontId="0" fillId="0" borderId="0" xfId="0" applyAlignment="1">
      <alignment vertical="top"/>
    </xf>
    <xf numFmtId="0" fontId="0" fillId="0" borderId="44" xfId="0" applyBorder="1" applyAlignment="1">
      <alignment wrapText="1"/>
    </xf>
    <xf numFmtId="0" fontId="59" fillId="0" borderId="0" xfId="0" applyFont="1" applyAlignment="1">
      <alignment vertical="center"/>
    </xf>
    <xf numFmtId="0" fontId="40" fillId="0" borderId="37" xfId="82" applyFont="1" applyBorder="1" applyAlignment="1">
      <alignment wrapText="1"/>
    </xf>
    <xf numFmtId="171" fontId="22" fillId="0" borderId="46" xfId="40" applyNumberFormat="1" applyFont="1" applyFill="1" applyBorder="1"/>
    <xf numFmtId="0" fontId="44" fillId="0" borderId="45" xfId="0" applyFont="1" applyBorder="1" applyAlignment="1">
      <alignment wrapText="1"/>
    </xf>
    <xf numFmtId="0" fontId="0" fillId="0" borderId="47" xfId="0" applyBorder="1"/>
    <xf numFmtId="0" fontId="15" fillId="0" borderId="0" xfId="0" applyFont="1" applyAlignment="1">
      <alignment vertical="center"/>
    </xf>
    <xf numFmtId="2" fontId="51" fillId="4" borderId="0" xfId="98" applyNumberFormat="1"/>
    <xf numFmtId="0" fontId="17" fillId="0" borderId="40" xfId="0" applyFont="1" applyBorder="1" applyAlignment="1">
      <alignment horizontal="centerContinuous"/>
    </xf>
    <xf numFmtId="43" fontId="22" fillId="0" borderId="46" xfId="40" applyFont="1" applyFill="1" applyBorder="1"/>
    <xf numFmtId="0" fontId="40" fillId="36" borderId="36" xfId="105" applyFont="1" applyFill="1" applyBorder="1" applyAlignment="1">
      <alignment horizontal="center"/>
    </xf>
    <xf numFmtId="0" fontId="40" fillId="0" borderId="37" xfId="105" applyFont="1" applyBorder="1" applyAlignment="1">
      <alignment horizontal="right" wrapText="1"/>
    </xf>
    <xf numFmtId="0" fontId="40" fillId="0" borderId="37" xfId="105" applyFont="1" applyBorder="1" applyAlignment="1">
      <alignment wrapText="1"/>
    </xf>
    <xf numFmtId="167" fontId="22" fillId="0" borderId="46" xfId="40" applyNumberFormat="1" applyFont="1" applyFill="1" applyBorder="1"/>
    <xf numFmtId="0" fontId="44" fillId="0" borderId="44" xfId="0" applyFont="1" applyBorder="1" applyAlignment="1">
      <alignment wrapText="1"/>
    </xf>
    <xf numFmtId="2" fontId="0" fillId="0" borderId="44" xfId="0" applyNumberFormat="1" applyBorder="1"/>
    <xf numFmtId="0" fontId="40" fillId="36" borderId="36" xfId="106" applyFont="1" applyFill="1" applyBorder="1" applyAlignment="1">
      <alignment horizontal="center"/>
    </xf>
    <xf numFmtId="4" fontId="35" fillId="0" borderId="19" xfId="39" applyNumberFormat="1" applyFont="1" applyBorder="1">
      <alignment wrapText="1"/>
    </xf>
    <xf numFmtId="3" fontId="0" fillId="0" borderId="0" xfId="0" applyNumberFormat="1"/>
    <xf numFmtId="0" fontId="18" fillId="0" borderId="0" xfId="36"/>
    <xf numFmtId="2" fontId="40" fillId="0" borderId="37" xfId="105" applyNumberFormat="1" applyFont="1" applyBorder="1" applyAlignment="1">
      <alignment horizontal="right" wrapText="1"/>
    </xf>
    <xf numFmtId="0" fontId="0" fillId="0" borderId="0" xfId="0" applyAlignment="1">
      <alignment wrapText="1"/>
    </xf>
    <xf numFmtId="166" fontId="0" fillId="0" borderId="0" xfId="0" applyNumberFormat="1"/>
    <xf numFmtId="9" fontId="0" fillId="0" borderId="0" xfId="1" applyFont="1"/>
    <xf numFmtId="169" fontId="0" fillId="0" borderId="0" xfId="1" applyNumberFormat="1" applyFont="1"/>
    <xf numFmtId="0" fontId="0" fillId="0" borderId="44" xfId="0" applyBorder="1"/>
    <xf numFmtId="1" fontId="0" fillId="0" borderId="0" xfId="0" applyNumberFormat="1"/>
    <xf numFmtId="0" fontId="5" fillId="2" borderId="0" xfId="6" applyAlignment="1">
      <alignment wrapText="1"/>
    </xf>
    <xf numFmtId="16" fontId="0" fillId="38" borderId="0" xfId="0" quotePrefix="1" applyNumberFormat="1" applyFill="1" applyAlignment="1">
      <alignment horizontal="center"/>
    </xf>
    <xf numFmtId="0" fontId="40" fillId="0" borderId="37" xfId="105" applyFont="1" applyBorder="1"/>
    <xf numFmtId="1" fontId="40" fillId="0" borderId="37" xfId="105" applyNumberFormat="1" applyFont="1" applyBorder="1" applyAlignment="1">
      <alignment horizontal="right"/>
    </xf>
    <xf numFmtId="0" fontId="40" fillId="0" borderId="38" xfId="105" applyFont="1" applyBorder="1"/>
    <xf numFmtId="10" fontId="0" fillId="0" borderId="0" xfId="1" applyNumberFormat="1" applyFont="1" applyAlignment="1"/>
    <xf numFmtId="0" fontId="40" fillId="36" borderId="36" xfId="107" applyFont="1" applyFill="1" applyBorder="1" applyAlignment="1">
      <alignment horizontal="center"/>
    </xf>
    <xf numFmtId="0" fontId="40" fillId="0" borderId="37" xfId="107" applyFont="1" applyBorder="1" applyAlignment="1">
      <alignment wrapText="1"/>
    </xf>
    <xf numFmtId="0" fontId="40" fillId="0" borderId="37" xfId="107" applyFont="1" applyBorder="1" applyAlignment="1">
      <alignment horizontal="right" wrapText="1"/>
    </xf>
    <xf numFmtId="0" fontId="63" fillId="36" borderId="36" xfId="107" applyFont="1" applyFill="1" applyBorder="1" applyAlignment="1">
      <alignment horizontal="center"/>
    </xf>
    <xf numFmtId="0" fontId="63" fillId="0" borderId="37" xfId="107" applyFont="1" applyBorder="1"/>
    <xf numFmtId="0" fontId="63" fillId="38" borderId="37" xfId="107" applyFont="1" applyFill="1" applyBorder="1"/>
    <xf numFmtId="0" fontId="63" fillId="42" borderId="37" xfId="107" applyFont="1" applyFill="1" applyBorder="1"/>
    <xf numFmtId="0" fontId="40" fillId="37" borderId="36" xfId="107" applyFont="1" applyFill="1" applyBorder="1" applyAlignment="1">
      <alignment horizontal="center"/>
    </xf>
    <xf numFmtId="0" fontId="40" fillId="38" borderId="37" xfId="107" applyFont="1" applyFill="1" applyBorder="1" applyAlignment="1">
      <alignment horizontal="right" wrapText="1"/>
    </xf>
    <xf numFmtId="0" fontId="40" fillId="44" borderId="36" xfId="107" applyFont="1" applyFill="1" applyBorder="1" applyAlignment="1">
      <alignment horizontal="center"/>
    </xf>
    <xf numFmtId="0" fontId="40" fillId="42" borderId="37" xfId="107" applyFont="1" applyFill="1" applyBorder="1" applyAlignment="1">
      <alignment horizontal="right" wrapText="1"/>
    </xf>
    <xf numFmtId="0" fontId="40" fillId="48" borderId="36" xfId="107" applyFont="1" applyFill="1" applyBorder="1" applyAlignment="1">
      <alignment horizontal="center"/>
    </xf>
    <xf numFmtId="0" fontId="40" fillId="35" borderId="37" xfId="107" applyFont="1" applyFill="1" applyBorder="1" applyAlignment="1">
      <alignment horizontal="right" wrapText="1"/>
    </xf>
    <xf numFmtId="0" fontId="63" fillId="41" borderId="37" xfId="107" applyFont="1" applyFill="1" applyBorder="1"/>
    <xf numFmtId="0" fontId="23" fillId="35" borderId="0" xfId="107" applyFill="1"/>
    <xf numFmtId="0" fontId="63" fillId="35" borderId="37" xfId="107" applyFont="1" applyFill="1" applyBorder="1"/>
    <xf numFmtId="0" fontId="23" fillId="42" borderId="0" xfId="107" applyFill="1"/>
    <xf numFmtId="0" fontId="40" fillId="47" borderId="36" xfId="107" applyFont="1" applyFill="1" applyBorder="1" applyAlignment="1">
      <alignment horizontal="center"/>
    </xf>
    <xf numFmtId="0" fontId="40" fillId="41" borderId="37" xfId="107" applyFont="1" applyFill="1" applyBorder="1" applyAlignment="1">
      <alignment horizontal="right" wrapText="1"/>
    </xf>
    <xf numFmtId="0" fontId="23" fillId="41" borderId="0" xfId="107" applyFill="1"/>
    <xf numFmtId="0" fontId="40" fillId="36" borderId="36" xfId="108" applyFont="1" applyFill="1" applyBorder="1" applyAlignment="1">
      <alignment horizontal="center"/>
    </xf>
    <xf numFmtId="0" fontId="40" fillId="0" borderId="37" xfId="108" applyFont="1" applyBorder="1" applyAlignment="1">
      <alignment wrapText="1"/>
    </xf>
    <xf numFmtId="2" fontId="40" fillId="0" borderId="37" xfId="108" applyNumberFormat="1" applyFont="1" applyBorder="1" applyAlignment="1">
      <alignment horizontal="right" wrapText="1"/>
    </xf>
    <xf numFmtId="0" fontId="40" fillId="36" borderId="39" xfId="108" applyFont="1" applyFill="1" applyBorder="1" applyAlignment="1">
      <alignment horizontal="center"/>
    </xf>
    <xf numFmtId="2" fontId="0" fillId="0" borderId="19" xfId="0" applyNumberFormat="1" applyBorder="1"/>
    <xf numFmtId="0" fontId="5" fillId="2" borderId="19" xfId="6" applyBorder="1"/>
    <xf numFmtId="0" fontId="15" fillId="0" borderId="19" xfId="0" applyFont="1" applyBorder="1"/>
    <xf numFmtId="2" fontId="5" fillId="2" borderId="19" xfId="6" applyNumberFormat="1" applyBorder="1"/>
    <xf numFmtId="0" fontId="40" fillId="36" borderId="36" xfId="109" applyFont="1" applyFill="1" applyBorder="1" applyAlignment="1">
      <alignment horizontal="center"/>
    </xf>
    <xf numFmtId="0" fontId="40" fillId="0" borderId="37" xfId="109" applyFont="1" applyBorder="1" applyAlignment="1">
      <alignment wrapText="1"/>
    </xf>
    <xf numFmtId="2" fontId="40" fillId="0" borderId="37" xfId="109" applyNumberFormat="1" applyFont="1" applyBorder="1" applyAlignment="1">
      <alignment horizontal="right" wrapText="1"/>
    </xf>
    <xf numFmtId="0" fontId="40" fillId="0" borderId="0" xfId="109" applyFont="1"/>
    <xf numFmtId="0" fontId="40" fillId="36" borderId="36" xfId="110" applyFont="1" applyFill="1" applyBorder="1" applyAlignment="1">
      <alignment horizontal="center"/>
    </xf>
    <xf numFmtId="0" fontId="40" fillId="0" borderId="37" xfId="110" applyFont="1" applyBorder="1" applyAlignment="1">
      <alignment wrapText="1"/>
    </xf>
    <xf numFmtId="2" fontId="40" fillId="0" borderId="37" xfId="110" applyNumberFormat="1" applyFont="1" applyBorder="1" applyAlignment="1">
      <alignment horizontal="right" wrapText="1"/>
    </xf>
    <xf numFmtId="0" fontId="40" fillId="36" borderId="36" xfId="111" applyFont="1" applyFill="1" applyBorder="1" applyAlignment="1">
      <alignment horizontal="center"/>
    </xf>
    <xf numFmtId="0" fontId="40" fillId="0" borderId="37" xfId="111" applyFont="1" applyBorder="1" applyAlignment="1">
      <alignment wrapText="1"/>
    </xf>
    <xf numFmtId="0" fontId="40" fillId="0" borderId="37" xfId="111" applyFont="1" applyBorder="1" applyAlignment="1">
      <alignment horizontal="right" wrapText="1"/>
    </xf>
    <xf numFmtId="0" fontId="23" fillId="0" borderId="0" xfId="111"/>
    <xf numFmtId="0" fontId="40" fillId="36" borderId="39" xfId="111" applyFont="1" applyFill="1" applyBorder="1" applyAlignment="1">
      <alignment horizontal="center"/>
    </xf>
    <xf numFmtId="0" fontId="41" fillId="0" borderId="37" xfId="111" applyFont="1" applyBorder="1" applyAlignment="1">
      <alignment horizontal="right" wrapText="1"/>
    </xf>
    <xf numFmtId="0" fontId="40" fillId="44" borderId="36" xfId="111" applyFont="1" applyFill="1" applyBorder="1" applyAlignment="1">
      <alignment horizontal="center"/>
    </xf>
    <xf numFmtId="0" fontId="40" fillId="36" borderId="19" xfId="111" applyFont="1" applyFill="1" applyBorder="1" applyAlignment="1">
      <alignment horizontal="center"/>
    </xf>
    <xf numFmtId="0" fontId="40" fillId="42" borderId="19" xfId="111" applyFont="1" applyFill="1" applyBorder="1"/>
    <xf numFmtId="0" fontId="40" fillId="42" borderId="19" xfId="111" applyFont="1" applyFill="1" applyBorder="1" applyAlignment="1">
      <alignment horizontal="right"/>
    </xf>
    <xf numFmtId="0" fontId="40" fillId="38" borderId="19" xfId="111" applyFont="1" applyFill="1" applyBorder="1"/>
    <xf numFmtId="0" fontId="23" fillId="38" borderId="19" xfId="111" applyFill="1" applyBorder="1"/>
    <xf numFmtId="0" fontId="40" fillId="35" borderId="19" xfId="111" applyFont="1" applyFill="1" applyBorder="1"/>
    <xf numFmtId="0" fontId="23" fillId="35" borderId="19" xfId="111" applyFill="1" applyBorder="1"/>
    <xf numFmtId="0" fontId="40" fillId="38" borderId="19" xfId="111" applyFont="1" applyFill="1" applyBorder="1" applyAlignment="1">
      <alignment horizontal="right"/>
    </xf>
    <xf numFmtId="0" fontId="23" fillId="42" borderId="19" xfId="111" applyFill="1" applyBorder="1"/>
    <xf numFmtId="0" fontId="40" fillId="42" borderId="37" xfId="111" applyFont="1" applyFill="1" applyBorder="1" applyAlignment="1">
      <alignment wrapText="1"/>
    </xf>
    <xf numFmtId="0" fontId="40" fillId="42" borderId="37" xfId="111" applyFont="1" applyFill="1" applyBorder="1" applyAlignment="1">
      <alignment horizontal="right" wrapText="1"/>
    </xf>
    <xf numFmtId="0" fontId="23" fillId="42" borderId="0" xfId="111" applyFill="1"/>
    <xf numFmtId="3" fontId="0" fillId="42" borderId="0" xfId="0" applyNumberFormat="1" applyFill="1"/>
    <xf numFmtId="0" fontId="0" fillId="42" borderId="0" xfId="0" applyFill="1" applyAlignment="1">
      <alignment vertical="center" wrapText="1"/>
    </xf>
    <xf numFmtId="3" fontId="0" fillId="42" borderId="0" xfId="0" applyNumberFormat="1" applyFill="1" applyAlignment="1">
      <alignment vertical="center" wrapText="1"/>
    </xf>
    <xf numFmtId="0" fontId="0" fillId="46" borderId="0" xfId="0" applyFill="1"/>
    <xf numFmtId="2" fontId="0" fillId="46" borderId="0" xfId="0" applyNumberFormat="1" applyFill="1"/>
    <xf numFmtId="0" fontId="15" fillId="46" borderId="0" xfId="0" applyFont="1" applyFill="1"/>
    <xf numFmtId="2" fontId="15" fillId="46" borderId="0" xfId="0" applyNumberFormat="1" applyFont="1" applyFill="1"/>
    <xf numFmtId="2" fontId="40" fillId="42" borderId="37" xfId="110" applyNumberFormat="1" applyFont="1" applyFill="1" applyBorder="1" applyAlignment="1">
      <alignment horizontal="left"/>
    </xf>
    <xf numFmtId="0" fontId="40" fillId="42" borderId="37" xfId="110" applyFont="1" applyFill="1" applyBorder="1" applyAlignment="1">
      <alignment horizontal="right" wrapText="1"/>
    </xf>
    <xf numFmtId="43" fontId="40" fillId="42" borderId="37" xfId="110" applyNumberFormat="1" applyFont="1" applyFill="1" applyBorder="1" applyAlignment="1">
      <alignment horizontal="right" wrapText="1"/>
    </xf>
    <xf numFmtId="43" fontId="0" fillId="42" borderId="0" xfId="0" applyNumberFormat="1" applyFill="1"/>
    <xf numFmtId="2" fontId="0" fillId="49" borderId="0" xfId="0" applyNumberFormat="1" applyFill="1"/>
    <xf numFmtId="0" fontId="0" fillId="49" borderId="0" xfId="0" applyFill="1"/>
    <xf numFmtId="2" fontId="0" fillId="42" borderId="0" xfId="0" applyNumberFormat="1" applyFill="1"/>
    <xf numFmtId="0" fontId="6" fillId="3" borderId="0" xfId="7" applyBorder="1"/>
    <xf numFmtId="2" fontId="6" fillId="3" borderId="0" xfId="7" applyNumberFormat="1"/>
    <xf numFmtId="0" fontId="40" fillId="0" borderId="0" xfId="82" applyFont="1" applyAlignment="1">
      <alignment wrapText="1"/>
    </xf>
    <xf numFmtId="0" fontId="40" fillId="36" borderId="36" xfId="112" applyFont="1" applyFill="1" applyBorder="1" applyAlignment="1">
      <alignment horizontal="center"/>
    </xf>
    <xf numFmtId="0" fontId="40" fillId="0" borderId="37" xfId="112" applyFont="1" applyBorder="1" applyAlignment="1">
      <alignment wrapText="1"/>
    </xf>
    <xf numFmtId="0" fontId="40" fillId="36" borderId="36" xfId="113" applyFont="1" applyFill="1" applyBorder="1" applyAlignment="1">
      <alignment horizontal="center"/>
    </xf>
    <xf numFmtId="0" fontId="40" fillId="0" borderId="37" xfId="113" applyFont="1" applyBorder="1" applyAlignment="1">
      <alignment wrapText="1"/>
    </xf>
    <xf numFmtId="0" fontId="40" fillId="0" borderId="37" xfId="113" applyFont="1" applyBorder="1" applyAlignment="1">
      <alignment horizontal="right" wrapText="1"/>
    </xf>
    <xf numFmtId="0" fontId="46" fillId="0" borderId="38" xfId="105" applyFont="1" applyBorder="1"/>
    <xf numFmtId="2" fontId="40" fillId="0" borderId="37" xfId="112" applyNumberFormat="1" applyFont="1" applyBorder="1" applyAlignment="1">
      <alignment horizontal="right" wrapText="1"/>
    </xf>
    <xf numFmtId="0" fontId="40" fillId="0" borderId="0" xfId="112" applyFont="1" applyAlignment="1">
      <alignment wrapText="1"/>
    </xf>
    <xf numFmtId="168" fontId="0" fillId="0" borderId="0" xfId="0" applyNumberFormat="1"/>
    <xf numFmtId="0" fontId="40" fillId="36" borderId="41" xfId="105" applyFont="1" applyFill="1" applyBorder="1" applyAlignment="1">
      <alignment horizontal="center"/>
    </xf>
    <xf numFmtId="0" fontId="0" fillId="0" borderId="0" xfId="0" applyAlignment="1">
      <alignment horizontal="left" vertical="top" wrapText="1"/>
    </xf>
    <xf numFmtId="0" fontId="0" fillId="0" borderId="0" xfId="0" applyAlignment="1">
      <alignment vertical="top" wrapText="1"/>
    </xf>
    <xf numFmtId="0" fontId="37" fillId="0" borderId="0" xfId="65">
      <alignment horizontal="left"/>
    </xf>
    <xf numFmtId="2" fontId="35" fillId="0" borderId="19" xfId="46" applyNumberFormat="1" applyBorder="1" applyAlignment="1">
      <alignment horizontal="center" wrapText="1"/>
    </xf>
    <xf numFmtId="0" fontId="35" fillId="0" borderId="19" xfId="46" applyBorder="1" applyAlignment="1">
      <alignment horizontal="center" wrapText="1"/>
    </xf>
    <xf numFmtId="0" fontId="0" fillId="41" borderId="0" xfId="0" applyFill="1" applyAlignment="1">
      <alignment vertical="top" wrapText="1"/>
    </xf>
    <xf numFmtId="0" fontId="35" fillId="0" borderId="0" xfId="39" applyFont="1" applyBorder="1">
      <alignment wrapText="1"/>
    </xf>
    <xf numFmtId="0" fontId="35" fillId="0" borderId="0" xfId="39" applyFont="1" applyBorder="1" applyAlignment="1">
      <alignment horizontal="left" wrapText="1"/>
    </xf>
    <xf numFmtId="0" fontId="35" fillId="0" borderId="0" xfId="45" applyFont="1" applyBorder="1">
      <alignment vertical="top" wrapText="1"/>
    </xf>
    <xf numFmtId="0" fontId="26" fillId="0" borderId="0" xfId="45" applyFont="1" applyBorder="1">
      <alignment vertical="top" wrapText="1"/>
    </xf>
    <xf numFmtId="0" fontId="40" fillId="47" borderId="41" xfId="105" applyFont="1" applyFill="1" applyBorder="1" applyAlignment="1">
      <alignment horizontal="center"/>
    </xf>
    <xf numFmtId="0" fontId="40" fillId="47" borderId="0" xfId="105" applyFont="1" applyFill="1" applyAlignment="1">
      <alignment horizontal="center"/>
    </xf>
    <xf numFmtId="0" fontId="0" fillId="41" borderId="0" xfId="0" applyFill="1" applyAlignment="1">
      <alignment horizontal="center"/>
    </xf>
    <xf numFmtId="0" fontId="15" fillId="0" borderId="0" xfId="0" applyFont="1" applyAlignment="1">
      <alignment horizontal="center" vertical="center" wrapText="1"/>
    </xf>
    <xf numFmtId="0" fontId="0" fillId="0" borderId="0" xfId="0" applyAlignment="1">
      <alignment horizontal="center" vertical="center" wrapText="1"/>
    </xf>
    <xf numFmtId="0" fontId="0" fillId="38" borderId="0" xfId="0" applyFill="1" applyAlignment="1">
      <alignment horizontal="center"/>
    </xf>
    <xf numFmtId="0" fontId="40" fillId="36" borderId="41" xfId="68" applyFont="1" applyFill="1" applyBorder="1" applyAlignment="1">
      <alignment horizontal="center"/>
    </xf>
    <xf numFmtId="0" fontId="40" fillId="36" borderId="0" xfId="68" applyFont="1" applyFill="1" applyAlignment="1">
      <alignment horizontal="center"/>
    </xf>
    <xf numFmtId="0" fontId="54" fillId="0" borderId="0" xfId="0" applyFont="1" applyAlignment="1">
      <alignment wrapText="1"/>
    </xf>
    <xf numFmtId="0" fontId="54" fillId="0" borderId="0" xfId="0" applyFont="1"/>
    <xf numFmtId="0" fontId="40" fillId="37" borderId="41" xfId="68" applyFont="1" applyFill="1" applyBorder="1" applyAlignment="1">
      <alignment horizontal="center"/>
    </xf>
    <xf numFmtId="0" fontId="40" fillId="37" borderId="0" xfId="68" applyFont="1" applyFill="1" applyAlignment="1">
      <alignment horizontal="center"/>
    </xf>
    <xf numFmtId="0" fontId="5" fillId="2" borderId="41" xfId="6" applyBorder="1" applyAlignment="1">
      <alignment horizontal="center"/>
    </xf>
    <xf numFmtId="0" fontId="40" fillId="0" borderId="0" xfId="105" applyFont="1" applyFill="1" applyBorder="1" applyAlignment="1"/>
    <xf numFmtId="0" fontId="0" fillId="0" borderId="0" xfId="0" applyFill="1" applyBorder="1" applyAlignment="1"/>
    <xf numFmtId="0" fontId="0" fillId="0" borderId="18" xfId="0" applyFill="1" applyBorder="1" applyAlignment="1"/>
    <xf numFmtId="0" fontId="17" fillId="0" borderId="40" xfId="0" applyFont="1" applyFill="1" applyBorder="1" applyAlignment="1">
      <alignment horizontal="center"/>
    </xf>
    <xf numFmtId="0" fontId="17" fillId="0" borderId="40" xfId="0" applyFont="1" applyFill="1" applyBorder="1" applyAlignment="1">
      <alignment horizontal="centerContinuous"/>
    </xf>
    <xf numFmtId="0" fontId="5" fillId="2" borderId="0" xfId="6" applyBorder="1" applyAlignment="1"/>
    <xf numFmtId="0" fontId="5" fillId="2" borderId="18" xfId="6" applyBorder="1" applyAlignment="1"/>
    <xf numFmtId="0" fontId="64" fillId="2" borderId="0" xfId="6" applyFont="1"/>
    <xf numFmtId="0" fontId="0" fillId="0" borderId="0" xfId="0" applyFont="1"/>
    <xf numFmtId="0" fontId="5" fillId="2" borderId="0" xfId="6" applyFont="1"/>
    <xf numFmtId="171" fontId="5" fillId="2" borderId="0" xfId="114" applyNumberFormat="1" applyFont="1" applyFill="1"/>
    <xf numFmtId="171" fontId="64" fillId="2" borderId="0" xfId="114" applyNumberFormat="1" applyFont="1" applyFill="1"/>
    <xf numFmtId="171" fontId="16" fillId="29" borderId="0" xfId="33" applyNumberFormat="1"/>
    <xf numFmtId="0" fontId="67" fillId="50" borderId="50" xfId="0" applyFont="1" applyFill="1" applyBorder="1"/>
    <xf numFmtId="177" fontId="68" fillId="50" borderId="40" xfId="0" applyNumberFormat="1" applyFont="1" applyFill="1" applyBorder="1"/>
    <xf numFmtId="177" fontId="43" fillId="50" borderId="40" xfId="0" applyNumberFormat="1" applyFont="1" applyFill="1" applyBorder="1"/>
    <xf numFmtId="177" fontId="48" fillId="50" borderId="40" xfId="0" applyNumberFormat="1" applyFont="1" applyFill="1" applyBorder="1"/>
    <xf numFmtId="0" fontId="44" fillId="51" borderId="51" xfId="0" applyFont="1" applyFill="1" applyBorder="1" applyAlignment="1">
      <alignment horizontal="left" indent="3"/>
    </xf>
    <xf numFmtId="177" fontId="43" fillId="51" borderId="0" xfId="0" applyNumberFormat="1" applyFont="1" applyFill="1"/>
    <xf numFmtId="177" fontId="69" fillId="51" borderId="0" xfId="0" applyNumberFormat="1" applyFont="1" applyFill="1"/>
    <xf numFmtId="0" fontId="43" fillId="0" borderId="51" xfId="0" applyFont="1" applyBorder="1" applyAlignment="1">
      <alignment horizontal="left" indent="4"/>
    </xf>
    <xf numFmtId="177" fontId="43" fillId="0" borderId="0" xfId="0" applyNumberFormat="1" applyFont="1"/>
    <xf numFmtId="177" fontId="69" fillId="0" borderId="0" xfId="0" applyNumberFormat="1" applyFont="1"/>
    <xf numFmtId="177" fontId="68" fillId="0" borderId="0" xfId="0" applyNumberFormat="1" applyFont="1"/>
    <xf numFmtId="0" fontId="44" fillId="46" borderId="51" xfId="0" applyFont="1" applyFill="1" applyBorder="1" applyAlignment="1">
      <alignment horizontal="left" indent="3"/>
    </xf>
    <xf numFmtId="177" fontId="43" fillId="46" borderId="0" xfId="0" applyNumberFormat="1" applyFont="1" applyFill="1"/>
    <xf numFmtId="177" fontId="69" fillId="46" borderId="0" xfId="0" applyNumberFormat="1" applyFont="1" applyFill="1"/>
    <xf numFmtId="0" fontId="44" fillId="45" borderId="51" xfId="0" applyFont="1" applyFill="1" applyBorder="1" applyAlignment="1">
      <alignment horizontal="left" indent="3"/>
    </xf>
    <xf numFmtId="177" fontId="43" fillId="45" borderId="0" xfId="0" applyNumberFormat="1" applyFont="1" applyFill="1"/>
    <xf numFmtId="177" fontId="69" fillId="45" borderId="0" xfId="0" applyNumberFormat="1" applyFont="1" applyFill="1"/>
    <xf numFmtId="177" fontId="48" fillId="45" borderId="0" xfId="0" applyNumberFormat="1" applyFont="1" applyFill="1"/>
    <xf numFmtId="177" fontId="48" fillId="0" borderId="0" xfId="0" applyNumberFormat="1" applyFont="1"/>
    <xf numFmtId="0" fontId="45" fillId="0" borderId="48" xfId="0" applyFont="1" applyBorder="1" applyAlignment="1"/>
    <xf numFmtId="166" fontId="45" fillId="0" borderId="49" xfId="0" applyNumberFormat="1" applyFont="1" applyBorder="1" applyAlignment="1"/>
    <xf numFmtId="166" fontId="70" fillId="0" borderId="49" xfId="0" applyNumberFormat="1" applyFont="1" applyBorder="1" applyAlignment="1"/>
    <xf numFmtId="0" fontId="71" fillId="0" borderId="0" xfId="0" applyFont="1" applyAlignment="1"/>
    <xf numFmtId="0" fontId="43" fillId="0" borderId="0" xfId="0" applyFont="1" applyFill="1" applyBorder="1" applyAlignment="1">
      <alignment horizontal="left" indent="4"/>
    </xf>
    <xf numFmtId="0" fontId="72" fillId="0" borderId="52" xfId="0" applyFont="1" applyBorder="1"/>
    <xf numFmtId="0" fontId="73" fillId="0" borderId="18" xfId="0" applyFont="1" applyBorder="1"/>
    <xf numFmtId="166" fontId="66" fillId="0" borderId="0" xfId="0" applyNumberFormat="1" applyFont="1" applyAlignment="1">
      <alignment horizontal="right"/>
    </xf>
    <xf numFmtId="166" fontId="65" fillId="0" borderId="0" xfId="0" applyNumberFormat="1" applyFont="1" applyAlignment="1">
      <alignment horizontal="right"/>
    </xf>
    <xf numFmtId="0" fontId="74" fillId="0" borderId="18" xfId="0" applyFont="1" applyBorder="1"/>
    <xf numFmtId="0" fontId="74" fillId="0" borderId="53" xfId="0" applyFont="1" applyBorder="1" applyAlignment="1">
      <alignment horizontal="right"/>
    </xf>
    <xf numFmtId="0" fontId="74" fillId="0" borderId="16" xfId="0" applyFont="1" applyBorder="1" applyAlignment="1">
      <alignment horizontal="right"/>
    </xf>
    <xf numFmtId="0" fontId="72" fillId="0" borderId="49" xfId="0" applyFont="1" applyBorder="1"/>
    <xf numFmtId="0" fontId="48" fillId="0" borderId="0" xfId="0" applyFont="1"/>
    <xf numFmtId="0" fontId="43" fillId="0" borderId="0" xfId="0" applyFont="1"/>
    <xf numFmtId="0" fontId="44" fillId="0" borderId="18" xfId="0" applyFont="1" applyBorder="1"/>
    <xf numFmtId="0" fontId="44" fillId="0" borderId="54" xfId="0" applyFont="1" applyBorder="1"/>
    <xf numFmtId="0" fontId="44" fillId="0" borderId="16" xfId="0" applyFont="1" applyBorder="1"/>
    <xf numFmtId="0" fontId="75" fillId="0" borderId="16" xfId="0" applyFont="1" applyBorder="1"/>
    <xf numFmtId="0" fontId="43" fillId="51" borderId="0" xfId="0" applyFont="1" applyFill="1"/>
    <xf numFmtId="43" fontId="43" fillId="51" borderId="55" xfId="70" applyFont="1" applyFill="1" applyBorder="1"/>
    <xf numFmtId="43" fontId="43" fillId="51" borderId="0" xfId="70" applyFont="1" applyFill="1" applyBorder="1"/>
    <xf numFmtId="43" fontId="48" fillId="51" borderId="0" xfId="70" applyFont="1" applyFill="1" applyBorder="1"/>
    <xf numFmtId="0" fontId="43" fillId="0" borderId="0" xfId="0" applyFont="1" applyAlignment="1">
      <alignment horizontal="left" indent="1"/>
    </xf>
    <xf numFmtId="43" fontId="43" fillId="0" borderId="55" xfId="70" applyFont="1" applyBorder="1"/>
    <xf numFmtId="43" fontId="43" fillId="0" borderId="0" xfId="70" applyFont="1" applyBorder="1"/>
    <xf numFmtId="43" fontId="48" fillId="0" borderId="0" xfId="70" applyFont="1" applyBorder="1"/>
    <xf numFmtId="43" fontId="43" fillId="0" borderId="0" xfId="70" applyFont="1" applyFill="1" applyBorder="1"/>
    <xf numFmtId="43" fontId="48" fillId="0" borderId="0" xfId="70" applyFont="1" applyFill="1" applyBorder="1"/>
    <xf numFmtId="0" fontId="43" fillId="0" borderId="18" xfId="0" applyFont="1" applyBorder="1" applyAlignment="1">
      <alignment horizontal="left" indent="1"/>
    </xf>
    <xf numFmtId="0" fontId="43" fillId="46" borderId="35" xfId="0" applyFont="1" applyFill="1" applyBorder="1"/>
    <xf numFmtId="43" fontId="43" fillId="46" borderId="34" xfId="70" applyFont="1" applyFill="1" applyBorder="1"/>
    <xf numFmtId="43" fontId="43" fillId="46" borderId="35" xfId="70" applyFont="1" applyFill="1" applyBorder="1"/>
    <xf numFmtId="43" fontId="48" fillId="46" borderId="35" xfId="70" applyFont="1" applyFill="1" applyBorder="1"/>
    <xf numFmtId="43" fontId="43" fillId="0" borderId="0" xfId="70" applyFont="1" applyBorder="1" applyAlignment="1"/>
    <xf numFmtId="170" fontId="48" fillId="0" borderId="0" xfId="70" applyNumberFormat="1" applyFont="1" applyFill="1" applyBorder="1"/>
    <xf numFmtId="43" fontId="43" fillId="0" borderId="55" xfId="70" applyFont="1" applyFill="1" applyBorder="1"/>
    <xf numFmtId="0" fontId="43" fillId="45" borderId="0" xfId="0" applyFont="1" applyFill="1"/>
    <xf numFmtId="43" fontId="43" fillId="0" borderId="56" xfId="70" applyFont="1" applyBorder="1"/>
    <xf numFmtId="43" fontId="43" fillId="0" borderId="18" xfId="70" applyFont="1" applyBorder="1"/>
    <xf numFmtId="43" fontId="43" fillId="0" borderId="18" xfId="70" applyFont="1" applyFill="1" applyBorder="1"/>
    <xf numFmtId="43" fontId="48" fillId="0" borderId="18" xfId="70" applyFont="1" applyFill="1" applyBorder="1"/>
    <xf numFmtId="0" fontId="5" fillId="2" borderId="0" xfId="6" applyBorder="1" applyAlignment="1">
      <alignment horizontal="left" indent="4"/>
    </xf>
    <xf numFmtId="2" fontId="5" fillId="2" borderId="0" xfId="6" applyNumberFormat="1"/>
    <xf numFmtId="0" fontId="43" fillId="0" borderId="0" xfId="0" applyFont="1" applyFill="1" applyBorder="1" applyAlignment="1">
      <alignment horizontal="left" indent="1"/>
    </xf>
    <xf numFmtId="43" fontId="0" fillId="0" borderId="0" xfId="114" applyFont="1"/>
    <xf numFmtId="167" fontId="0" fillId="0" borderId="0" xfId="114" applyNumberFormat="1" applyFont="1"/>
    <xf numFmtId="167" fontId="0" fillId="0" borderId="0" xfId="0" applyNumberFormat="1"/>
    <xf numFmtId="0" fontId="6" fillId="3" borderId="0" xfId="7"/>
    <xf numFmtId="165" fontId="5" fillId="2" borderId="0" xfId="6" applyNumberFormat="1"/>
    <xf numFmtId="165" fontId="6" fillId="3" borderId="0" xfId="7" applyNumberFormat="1"/>
    <xf numFmtId="0" fontId="0" fillId="0" borderId="0" xfId="0" applyAlignment="1">
      <alignment horizontal="left" indent="1"/>
    </xf>
    <xf numFmtId="0" fontId="0" fillId="0" borderId="0" xfId="0" applyAlignment="1">
      <alignment horizontal="left" indent="4"/>
    </xf>
    <xf numFmtId="0" fontId="40" fillId="0" borderId="38" xfId="109" applyFont="1" applyFill="1" applyBorder="1" applyAlignment="1">
      <alignment wrapText="1"/>
    </xf>
    <xf numFmtId="175" fontId="15" fillId="0" borderId="0" xfId="0" applyNumberFormat="1" applyFont="1"/>
    <xf numFmtId="0" fontId="0" fillId="0" borderId="0" xfId="0" applyAlignment="1"/>
    <xf numFmtId="0" fontId="76" fillId="0" borderId="0" xfId="0" applyFont="1"/>
    <xf numFmtId="0" fontId="76" fillId="0" borderId="0" xfId="0" applyFont="1" applyAlignment="1"/>
  </cellXfs>
  <cellStyles count="115">
    <cellStyle name="20% - Accent1" xfId="19" builtinId="30" customBuiltin="1"/>
    <cellStyle name="20% - Accent2" xfId="22" builtinId="34" customBuiltin="1"/>
    <cellStyle name="20% - Accent3" xfId="25" builtinId="38" customBuiltin="1"/>
    <cellStyle name="20% - Accent4" xfId="28" builtinId="42" customBuiltin="1"/>
    <cellStyle name="20% - Accent5" xfId="31" builtinId="46" customBuiltin="1"/>
    <cellStyle name="20% - Accent6" xfId="34" builtinId="50" customBuiltin="1"/>
    <cellStyle name="40% - Accent1" xfId="20" builtinId="31" customBuiltin="1"/>
    <cellStyle name="40% - Accent2" xfId="23" builtinId="35" customBuiltin="1"/>
    <cellStyle name="40% - Accent3" xfId="26" builtinId="39" customBuiltin="1"/>
    <cellStyle name="40% - Accent4" xfId="29" builtinId="43" customBuiltin="1"/>
    <cellStyle name="40% - Accent5" xfId="32" builtinId="47" customBuiltin="1"/>
    <cellStyle name="40% - Accent6" xfId="35" builtinId="51" customBuiltin="1"/>
    <cellStyle name="60% - Accent1 2" xfId="92" xr:uid="{24524AC8-9D5A-406E-B8CD-EA17AF770862}"/>
    <cellStyle name="60% - Accent2 2" xfId="93" xr:uid="{22FC3826-72D2-4B43-A4EA-6B73C1CE1AE5}"/>
    <cellStyle name="60% - Accent3 2" xfId="94" xr:uid="{DD24FBF6-A506-4791-988C-5980C36B0459}"/>
    <cellStyle name="60% - Accent4 2" xfId="95" xr:uid="{A7D04147-B694-4ACD-8AB3-5D862CEB2843}"/>
    <cellStyle name="60% - Accent5 2" xfId="96" xr:uid="{38F74416-3EE7-4A11-AD2F-A505AE8C16EF}"/>
    <cellStyle name="60% - Accent6 2" xfId="97" xr:uid="{B665792A-2B14-4842-8A2B-8387A60B1D4A}"/>
    <cellStyle name="Accent1" xfId="18" builtinId="29" customBuiltin="1"/>
    <cellStyle name="Accent2" xfId="21" builtinId="33" customBuiltin="1"/>
    <cellStyle name="Accent3" xfId="24" builtinId="37" customBuiltin="1"/>
    <cellStyle name="Accent4" xfId="27" builtinId="41" customBuiltin="1"/>
    <cellStyle name="Accent5" xfId="30" builtinId="45" customBuiltin="1"/>
    <cellStyle name="Accent6" xfId="33" builtinId="49" customBuiltin="1"/>
    <cellStyle name="Bad" xfId="7" builtinId="27" customBuiltin="1"/>
    <cellStyle name="Body: normal cell" xfId="39" xr:uid="{F6FF02D0-6679-4C3F-BBCE-5EC9A4C2FE4E}"/>
    <cellStyle name="Calculation" xfId="11" builtinId="22" customBuiltin="1"/>
    <cellStyle name="Check Cell" xfId="13" builtinId="23" customBuiltin="1"/>
    <cellStyle name="Comma" xfId="114" builtinId="3"/>
    <cellStyle name="Comma 2" xfId="40" xr:uid="{8280FAA5-20C0-484F-9218-038099FA61EE}"/>
    <cellStyle name="Comma 2 2" xfId="70" xr:uid="{D5C67D88-87ED-4AE1-9F5E-E335D9BE5964}"/>
    <cellStyle name="Comma 2 3" xfId="78" xr:uid="{1347F902-761B-451B-AD72-173B3B424FCD}"/>
    <cellStyle name="Comma 3" xfId="41" xr:uid="{96D14190-4A07-4FF2-8533-55E3D64096F2}"/>
    <cellStyle name="Comma 3 2" xfId="74" xr:uid="{EF4AE506-D222-4909-BEA8-86B4B938D95E}"/>
    <cellStyle name="Comma 3 3" xfId="80" xr:uid="{DBA14A3D-50FE-4B85-B203-038BE221DAAA}"/>
    <cellStyle name="Comma 4" xfId="69" xr:uid="{03812B5C-AD71-4ED4-A8A2-5D6C1227B15F}"/>
    <cellStyle name="Currency 2" xfId="91" xr:uid="{3C56C89E-6F16-4CF1-A19B-F06817C3A364}"/>
    <cellStyle name="Explanatory Text" xfId="16" builtinId="53" customBuiltin="1"/>
    <cellStyle name="Followed Hyperlink 2" xfId="42" xr:uid="{585132F0-FAA3-4DAF-9157-98C3D3D439D7}"/>
    <cellStyle name="Followed Hyperlink 3" xfId="104" xr:uid="{FE7F8D74-7D8D-4AD5-ACAF-A5CBD14637EB}"/>
    <cellStyle name="Font: Calibri, 9pt regular" xfId="43" xr:uid="{562FF164-82C1-427C-836F-D334FCE9F8BE}"/>
    <cellStyle name="Footnotes: all except top row" xfId="44" xr:uid="{C3066CAB-C861-416E-ABDB-06910450B92B}"/>
    <cellStyle name="Footnotes: top row" xfId="45" xr:uid="{1939CD9E-EA03-493A-A117-67D863E274FC}"/>
    <cellStyle name="Good" xfId="6" builtinId="26" customBuiltin="1"/>
    <cellStyle name="Header: bottom row" xfId="46" xr:uid="{0C001319-13D6-4AF6-AF84-BBA7C764F255}"/>
    <cellStyle name="Header: top rows" xfId="47" xr:uid="{A3B79C2C-0D3E-4AA3-A454-7DECB0ABFB03}"/>
    <cellStyle name="Heading 1" xfId="2" builtinId="16" customBuiltin="1"/>
    <cellStyle name="Heading 2" xfId="3" builtinId="17" customBuiltin="1"/>
    <cellStyle name="Heading 3" xfId="4" builtinId="18" customBuiltin="1"/>
    <cellStyle name="Heading 4" xfId="5" builtinId="19" customBuiltin="1"/>
    <cellStyle name="Hyperlink" xfId="36" builtinId="8"/>
    <cellStyle name="Hyperlink 2" xfId="38" xr:uid="{080567FB-EF0D-46FA-A00D-563EF0A7F537}"/>
    <cellStyle name="Hyperlink 2 2" xfId="49" xr:uid="{2CA1464E-9D53-480E-B7EA-8E56B4905F66}"/>
    <cellStyle name="Hyperlink 2 3" xfId="75" xr:uid="{16E9C69E-61F6-450C-876E-0BA746AF424B}"/>
    <cellStyle name="Hyperlink 2 4" xfId="81" xr:uid="{ADA4CEA4-49B3-4E5F-8B32-F2CB38C78067}"/>
    <cellStyle name="Hyperlink 3" xfId="48" xr:uid="{3D24A8A6-EFD7-4D58-B6B2-1B9FEF518CAC}"/>
    <cellStyle name="Hyperlink 3 2" xfId="103" xr:uid="{8A69D4C2-DA50-4E2C-95B2-C0AA71C31195}"/>
    <cellStyle name="Hyperlink 4" xfId="71" xr:uid="{188BD0BF-7962-4A96-A16A-BA1867755A37}"/>
    <cellStyle name="Input" xfId="9" builtinId="20" customBuiltin="1"/>
    <cellStyle name="Linked Cell" xfId="12" builtinId="24" customBuiltin="1"/>
    <cellStyle name="Neutral" xfId="8" builtinId="28"/>
    <cellStyle name="Neutral 2" xfId="98" xr:uid="{B46EF83B-A32F-4C19-A25F-23D8650549B0}"/>
    <cellStyle name="Normal" xfId="0" builtinId="0"/>
    <cellStyle name="Normal 10 3" xfId="50" xr:uid="{C8698202-6795-4F4B-A2E7-D6B0E9A3622E}"/>
    <cellStyle name="Normal 128" xfId="51" xr:uid="{A0697A42-E924-417D-8CF0-0EF288606B2E}"/>
    <cellStyle name="Normal 128 2" xfId="52" xr:uid="{DF81A08C-48BA-4A31-B000-A77795D8823F}"/>
    <cellStyle name="Normal 153" xfId="53" xr:uid="{9AFC380C-784D-4C77-8AB0-A80115A646BF}"/>
    <cellStyle name="Normal 2" xfId="37" xr:uid="{DFD17089-B121-4C0B-8863-69698EF417C1}"/>
    <cellStyle name="Normal 2 2" xfId="85" xr:uid="{6C49CF0C-7D9C-4A56-83FB-62BEE3AC22C4}"/>
    <cellStyle name="Normal 2 2 2 3" xfId="54" xr:uid="{A94C604F-93A2-47EA-8F21-42FBD485AEAD}"/>
    <cellStyle name="Normal 2 3" xfId="83" xr:uid="{5BA08984-325A-4E3D-8EB2-F9389AAE65E1}"/>
    <cellStyle name="Normal 3" xfId="55" xr:uid="{0B8FE045-A5CA-41D2-94DF-B2CF3762B98A}"/>
    <cellStyle name="Normal 3 2" xfId="56" xr:uid="{34DA647E-5900-4153-9CDA-1E812639E309}"/>
    <cellStyle name="Normal 3 2 2" xfId="86" xr:uid="{2152FB66-2BAF-4787-9CA7-52D72C078B45}"/>
    <cellStyle name="Normal 3 3" xfId="101" xr:uid="{A7E5AFB3-22D2-4D84-878F-D216CF8AB974}"/>
    <cellStyle name="Normal 3 4" xfId="84" xr:uid="{C2635B66-4A6A-43C7-8F6C-4A7F1E6CA4DC}"/>
    <cellStyle name="Normal 4" xfId="57" xr:uid="{CD4CF12D-9483-4183-AA99-C1B976046517}"/>
    <cellStyle name="Normal 4 2" xfId="102" xr:uid="{4F291A63-AC1C-4D00-8F87-6AC4CDC17653}"/>
    <cellStyle name="Normal 4 3" xfId="87" xr:uid="{BC902384-E9FB-4493-AE7E-AC76654C9158}"/>
    <cellStyle name="Normal 5" xfId="58" xr:uid="{0033A61D-D8E9-4E04-88F1-241397106674}"/>
    <cellStyle name="Normal 5 2" xfId="100" xr:uid="{723B0271-AE21-49B0-9CDE-9CD7450811B6}"/>
    <cellStyle name="Normal 5 3" xfId="88" xr:uid="{97E0E5E4-28A4-484A-BA23-5F05B768165D}"/>
    <cellStyle name="Normal 6" xfId="89" xr:uid="{CB8FFA23-836E-486C-AD32-373EE1161350}"/>
    <cellStyle name="Normal 7" xfId="76" xr:uid="{CD425B22-3304-472F-93C6-AB61AA840FA0}"/>
    <cellStyle name="Normal 7 2" xfId="90" xr:uid="{9D77A6C2-2035-43EE-9487-775CD3927471}"/>
    <cellStyle name="Normal 8" xfId="59" xr:uid="{31DBF138-2EC7-4798-9D87-912E6561B556}"/>
    <cellStyle name="Normal_G CT7 B" xfId="111" xr:uid="{B6A883AF-38C5-4FA7-A636-69658D0AEDCC}"/>
    <cellStyle name="Normal_Generated CT4" xfId="66" xr:uid="{80748838-26B4-4EA6-AE72-1A15C574F854}"/>
    <cellStyle name="Normal_Generated CT4 BTU" xfId="67" xr:uid="{821A1D3C-936C-416A-ACE2-20B56465D762}"/>
    <cellStyle name="Normal_Generated Emissions Total" xfId="68" xr:uid="{C9E881AA-91C6-4BDF-A90B-D0463090082A}"/>
    <cellStyle name="Normal_Generated Emissions Total (P)" xfId="77" xr:uid="{7AE1F879-EC6D-4EB6-A86C-D10B9E6E70E5}"/>
    <cellStyle name="Normal_Generated Table CT-5" xfId="107" xr:uid="{4B3B10ED-65E6-41DB-88CD-5066BBE3F123}"/>
    <cellStyle name="Normal_MA Comm Emissions" xfId="108" xr:uid="{25869C7B-AD59-45AE-8944-5A7FF280BE7F}"/>
    <cellStyle name="Normal_MA T Emission" xfId="110" xr:uid="{A118C1DB-8D2A-4AFE-9F7D-911CEFEFA837}"/>
    <cellStyle name="Normal_NE Emit" xfId="112" xr:uid="{DD3FD418-2C77-4B0D-9D9C-E09844A8443B}"/>
    <cellStyle name="Normal_NE Emit C" xfId="109" xr:uid="{A403705D-BB3E-43E6-B58A-DD2480FF7408}"/>
    <cellStyle name="Normal_NE Pop" xfId="113" xr:uid="{1AB0DB24-AAB2-4A3D-9AB7-8C81FF3635A8}"/>
    <cellStyle name="Normal_Northeast Emissions" xfId="105" xr:uid="{5C2E28B7-E0FE-4C1B-89F3-7F4D095F3D5C}"/>
    <cellStyle name="Normal_Northeast HDD" xfId="82" xr:uid="{3D088572-2E38-40CA-BDC0-B9225E0A35A8}"/>
    <cellStyle name="Normal_SGIT Emissions" xfId="106" xr:uid="{BA28ABA4-E8EF-4681-8EB6-6B3B4109AFB2}"/>
    <cellStyle name="Note" xfId="15" builtinId="10" customBuiltin="1"/>
    <cellStyle name="Output" xfId="10" builtinId="21" customBuiltin="1"/>
    <cellStyle name="Parent row" xfId="60" xr:uid="{7B77BC7D-43E4-41F6-8066-4093F701E9A9}"/>
    <cellStyle name="Percent" xfId="1" builtinId="5"/>
    <cellStyle name="Percent 2" xfId="61" xr:uid="{39B75B47-4A91-4902-9E46-80B37005D8EB}"/>
    <cellStyle name="Percent 2 2" xfId="73" xr:uid="{7E11D641-A92C-4648-AD6E-892D6CF9655C}"/>
    <cellStyle name="Percent 3" xfId="62" xr:uid="{05D93D97-2F8B-411B-8984-101532AC02DE}"/>
    <cellStyle name="Percent 4" xfId="72" xr:uid="{74F88B11-B117-41FC-BC0D-00598E034629}"/>
    <cellStyle name="RSE" xfId="79" xr:uid="{698F006B-C38F-42BE-A35B-F8B5EDC2A8DE}"/>
    <cellStyle name="Section Break" xfId="63" xr:uid="{42D9459E-32FC-4D9D-875E-6651EB7A761F}"/>
    <cellStyle name="Section Break: parent row" xfId="64" xr:uid="{A04637AB-EB1F-4D51-B604-3CB5A0391B0D}"/>
    <cellStyle name="Table title" xfId="65" xr:uid="{D88A828C-8DD2-492A-8E40-E9F29A376786}"/>
    <cellStyle name="Title 2" xfId="99" xr:uid="{A287C0EE-A507-4562-B141-16828AE897ED}"/>
    <cellStyle name="Total" xfId="17" builtinId="25" customBuiltin="1"/>
    <cellStyle name="Warning Text" xfId="14" builtinId="11" customBuiltin="1"/>
  </cellStyles>
  <dxfs count="10">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indexed="9"/>
      </font>
      <border>
        <left/>
        <right/>
        <top/>
        <bottom/>
      </border>
    </dxf>
    <dxf>
      <border>
        <left/>
        <right/>
        <top/>
        <bottom style="thick">
          <color theme="4"/>
        </bottom>
        <vertical/>
        <horizontal/>
      </border>
    </dxf>
    <dxf>
      <border>
        <left/>
        <right/>
        <top/>
        <bottom/>
        <vertical/>
        <horizontal style="dotted">
          <color theme="0" tint="-0.24994659260841701"/>
        </horizontal>
      </border>
    </dxf>
  </dxfs>
  <tableStyles count="1" defaultTableStyle="TableStyleMedium2" defaultPivotStyle="PivotStyleLight16">
    <tableStyle name="Table Style 1" pivot="0" count="2" xr9:uid="{FBFAB9A4-BB4B-49A2-A0B9-75635D255CA9}">
      <tableStyleElement type="wholeTable" dxfId="9"/>
      <tableStyleElement type="headerRow" dxfId="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7.xml"/><Relationship Id="rId18" Type="http://schemas.openxmlformats.org/officeDocument/2006/relationships/worksheet" Target="worksheets/sheet9.xml"/><Relationship Id="rId26" Type="http://schemas.openxmlformats.org/officeDocument/2006/relationships/worksheet" Target="worksheets/sheet14.xml"/><Relationship Id="rId39" Type="http://schemas.openxmlformats.org/officeDocument/2006/relationships/sheetMetadata" Target="metadata.xml"/><Relationship Id="rId21" Type="http://schemas.openxmlformats.org/officeDocument/2006/relationships/chartsheet" Target="chartsheets/sheet12.xml"/><Relationship Id="rId34" Type="http://schemas.openxmlformats.org/officeDocument/2006/relationships/worksheet" Target="worksheets/sheet22.xml"/><Relationship Id="rId42" Type="http://schemas.openxmlformats.org/officeDocument/2006/relationships/customXml" Target="../customXml/item1.xml"/><Relationship Id="rId7" Type="http://schemas.openxmlformats.org/officeDocument/2006/relationships/chartsheet" Target="chartsheets/sheet2.xml"/><Relationship Id="rId2" Type="http://schemas.openxmlformats.org/officeDocument/2006/relationships/worksheet" Target="worksheets/sheet2.xml"/><Relationship Id="rId16" Type="http://schemas.openxmlformats.org/officeDocument/2006/relationships/chartsheet" Target="chartsheets/sheet9.xml"/><Relationship Id="rId20" Type="http://schemas.openxmlformats.org/officeDocument/2006/relationships/chartsheet" Target="chartsheets/sheet11.xml"/><Relationship Id="rId29" Type="http://schemas.openxmlformats.org/officeDocument/2006/relationships/worksheet" Target="worksheets/sheet17.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chartsheet" Target="chartsheets/sheet5.xml"/><Relationship Id="rId24" Type="http://schemas.openxmlformats.org/officeDocument/2006/relationships/worksheet" Target="worksheets/sheet12.xml"/><Relationship Id="rId32" Type="http://schemas.openxmlformats.org/officeDocument/2006/relationships/worksheet" Target="worksheets/sheet20.xml"/><Relationship Id="rId37" Type="http://schemas.openxmlformats.org/officeDocument/2006/relationships/styles" Target="styles.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hartsheet" Target="chartsheets/sheet8.xml"/><Relationship Id="rId23" Type="http://schemas.openxmlformats.org/officeDocument/2006/relationships/worksheet" Target="worksheets/sheet11.xml"/><Relationship Id="rId28" Type="http://schemas.openxmlformats.org/officeDocument/2006/relationships/worksheet" Target="worksheets/sheet16.xml"/><Relationship Id="rId36" Type="http://schemas.openxmlformats.org/officeDocument/2006/relationships/theme" Target="theme/theme1.xml"/><Relationship Id="rId10" Type="http://schemas.openxmlformats.org/officeDocument/2006/relationships/chartsheet" Target="chartsheets/sheet4.xml"/><Relationship Id="rId19" Type="http://schemas.openxmlformats.org/officeDocument/2006/relationships/chartsheet" Target="chartsheets/sheet10.xml"/><Relationship Id="rId31" Type="http://schemas.openxmlformats.org/officeDocument/2006/relationships/worksheet" Target="worksheets/sheet19.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6.xml"/><Relationship Id="rId14" Type="http://schemas.openxmlformats.org/officeDocument/2006/relationships/chartsheet" Target="chartsheets/sheet7.xml"/><Relationship Id="rId22" Type="http://schemas.openxmlformats.org/officeDocument/2006/relationships/worksheet" Target="worksheets/sheet10.xml"/><Relationship Id="rId27" Type="http://schemas.openxmlformats.org/officeDocument/2006/relationships/worksheet" Target="worksheets/sheet15.xml"/><Relationship Id="rId30" Type="http://schemas.openxmlformats.org/officeDocument/2006/relationships/worksheet" Target="worksheets/sheet18.xml"/><Relationship Id="rId35" Type="http://schemas.openxmlformats.org/officeDocument/2006/relationships/worksheet" Target="worksheets/sheet23.xml"/><Relationship Id="rId43" Type="http://schemas.openxmlformats.org/officeDocument/2006/relationships/customXml" Target="../customXml/item2.xml"/><Relationship Id="rId8" Type="http://schemas.openxmlformats.org/officeDocument/2006/relationships/chartsheet" Target="chartsheets/sheet3.xml"/><Relationship Id="rId3" Type="http://schemas.openxmlformats.org/officeDocument/2006/relationships/worksheet" Target="worksheets/sheet3.xml"/><Relationship Id="rId12" Type="http://schemas.openxmlformats.org/officeDocument/2006/relationships/chartsheet" Target="chartsheets/sheet6.xml"/><Relationship Id="rId17" Type="http://schemas.openxmlformats.org/officeDocument/2006/relationships/worksheet" Target="worksheets/sheet8.xml"/><Relationship Id="rId25" Type="http://schemas.openxmlformats.org/officeDocument/2006/relationships/worksheet" Target="worksheets/sheet13.xml"/><Relationship Id="rId33" Type="http://schemas.openxmlformats.org/officeDocument/2006/relationships/worksheet" Target="worksheets/sheet21.xml"/><Relationship Id="rId38"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 Residential CO2 Emissions (MMTCO2) from Fossil Fuel Combustion </a:t>
            </a:r>
            <a:br>
              <a:rPr lang="en-US"/>
            </a:br>
            <a:r>
              <a:rPr lang="en-US"/>
              <a:t>vs Heating Degree Days: 1990-2023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MA Residential CO2 Emissions MMT</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RES Emit'!$B$4:$AI$4</c:f>
              <c:numCache>
                <c:formatCode>0.00</c:formatCode>
                <c:ptCount val="34"/>
                <c:pt idx="0">
                  <c:v>14.984724829940138</c:v>
                </c:pt>
                <c:pt idx="1">
                  <c:v>14.195007338837232</c:v>
                </c:pt>
                <c:pt idx="2">
                  <c:v>16.271938561007797</c:v>
                </c:pt>
                <c:pt idx="3">
                  <c:v>16.387090900742905</c:v>
                </c:pt>
                <c:pt idx="4">
                  <c:v>16.335829614312338</c:v>
                </c:pt>
                <c:pt idx="5">
                  <c:v>14.730404276689784</c:v>
                </c:pt>
                <c:pt idx="6">
                  <c:v>14.534369784006451</c:v>
                </c:pt>
                <c:pt idx="7">
                  <c:v>14.404712521022338</c:v>
                </c:pt>
                <c:pt idx="8">
                  <c:v>13.239653398762337</c:v>
                </c:pt>
                <c:pt idx="9">
                  <c:v>13.802940402613117</c:v>
                </c:pt>
                <c:pt idx="10">
                  <c:v>15.460595569048223</c:v>
                </c:pt>
                <c:pt idx="11">
                  <c:v>15.810254976838223</c:v>
                </c:pt>
                <c:pt idx="12">
                  <c:v>15.763051368395246</c:v>
                </c:pt>
                <c:pt idx="13">
                  <c:v>16.303205807572127</c:v>
                </c:pt>
                <c:pt idx="14">
                  <c:v>14.905899471106451</c:v>
                </c:pt>
                <c:pt idx="15">
                  <c:v>14.91815959296234</c:v>
                </c:pt>
                <c:pt idx="16">
                  <c:v>12.904834266950779</c:v>
                </c:pt>
                <c:pt idx="17">
                  <c:v>13.608858341634892</c:v>
                </c:pt>
                <c:pt idx="18">
                  <c:v>14.526274689519999</c:v>
                </c:pt>
                <c:pt idx="19">
                  <c:v>13.865685373063332</c:v>
                </c:pt>
                <c:pt idx="20">
                  <c:v>13.576033969336665</c:v>
                </c:pt>
                <c:pt idx="21">
                  <c:v>13.668004404669997</c:v>
                </c:pt>
                <c:pt idx="22">
                  <c:v>11.808638489266665</c:v>
                </c:pt>
                <c:pt idx="23">
                  <c:v>12.368346588253331</c:v>
                </c:pt>
                <c:pt idx="24">
                  <c:v>13.727867653536666</c:v>
                </c:pt>
                <c:pt idx="25">
                  <c:v>13.627153801836666</c:v>
                </c:pt>
                <c:pt idx="26">
                  <c:v>11.444668649553332</c:v>
                </c:pt>
                <c:pt idx="27">
                  <c:v>12.421823573060001</c:v>
                </c:pt>
                <c:pt idx="28">
                  <c:v>13.396115907459999</c:v>
                </c:pt>
                <c:pt idx="29">
                  <c:v>13.705004964859999</c:v>
                </c:pt>
                <c:pt idx="30">
                  <c:v>12.214738351896667</c:v>
                </c:pt>
                <c:pt idx="31">
                  <c:v>12.573952994936665</c:v>
                </c:pt>
                <c:pt idx="32">
                  <c:v>12.971062196363334</c:v>
                </c:pt>
                <c:pt idx="33">
                  <c:v>11.785311044099998</c:v>
                </c:pt>
              </c:numCache>
            </c:numRef>
          </c:val>
          <c:smooth val="0"/>
          <c:extLst>
            <c:ext xmlns:c16="http://schemas.microsoft.com/office/drawing/2014/chart" uri="{C3380CC4-5D6E-409C-BE32-E72D297353CC}">
              <c16:uniqueId val="{00000001-BB8D-4D4B-9513-88E81D0C3FF0}"/>
            </c:ext>
          </c:extLst>
        </c:ser>
        <c:dLbls>
          <c:showLegendKey val="0"/>
          <c:showVal val="0"/>
          <c:showCatName val="0"/>
          <c:showSerName val="0"/>
          <c:showPercent val="0"/>
          <c:showBubbleSize val="0"/>
        </c:dLbls>
        <c:marker val="1"/>
        <c:smooth val="0"/>
        <c:axId val="380168543"/>
        <c:axId val="380168063"/>
      </c:lineChart>
      <c:lineChart>
        <c:grouping val="standard"/>
        <c:varyColors val="0"/>
        <c:ser>
          <c:idx val="1"/>
          <c:order val="1"/>
          <c:tx>
            <c:v>MA Heating Degree Days</c:v>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1"/>
            <c:trendlineLbl>
              <c:layout>
                <c:manualLayout>
                  <c:x val="5.6688580115750523E-3"/>
                  <c:y val="-9.3050232115318918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HDD'!$B$4:$AI$4</c:f>
              <c:numCache>
                <c:formatCode>0.00</c:formatCode>
                <c:ptCount val="34"/>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pt idx="33">
                  <c:v>5254</c:v>
                </c:pt>
              </c:numCache>
            </c:numRef>
          </c:val>
          <c:smooth val="0"/>
          <c:extLst>
            <c:ext xmlns:c16="http://schemas.microsoft.com/office/drawing/2014/chart" uri="{C3380CC4-5D6E-409C-BE32-E72D297353CC}">
              <c16:uniqueId val="{00000000-BB8D-4D4B-9513-88E81D0C3FF0}"/>
            </c:ext>
          </c:extLst>
        </c:ser>
        <c:dLbls>
          <c:showLegendKey val="0"/>
          <c:showVal val="0"/>
          <c:showCatName val="0"/>
          <c:showSerName val="0"/>
          <c:showPercent val="0"/>
          <c:showBubbleSize val="0"/>
        </c:dLbls>
        <c:marker val="1"/>
        <c:smooth val="0"/>
        <c:axId val="977204895"/>
        <c:axId val="496183984"/>
      </c:lineChart>
      <c:catAx>
        <c:axId val="380168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063"/>
        <c:crosses val="autoZero"/>
        <c:auto val="1"/>
        <c:lblAlgn val="ctr"/>
        <c:lblOffset val="100"/>
        <c:noMultiLvlLbl val="0"/>
      </c:catAx>
      <c:valAx>
        <c:axId val="38016806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543"/>
        <c:crosses val="autoZero"/>
        <c:crossBetween val="between"/>
      </c:valAx>
      <c:valAx>
        <c:axId val="49618398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204895"/>
        <c:crosses val="max"/>
        <c:crossBetween val="between"/>
      </c:valAx>
      <c:catAx>
        <c:axId val="977204895"/>
        <c:scaling>
          <c:orientation val="minMax"/>
        </c:scaling>
        <c:delete val="1"/>
        <c:axPos val="b"/>
        <c:numFmt formatCode="General" sourceLinked="1"/>
        <c:majorTickMark val="out"/>
        <c:minorTickMark val="none"/>
        <c:tickLblPos val="nextTo"/>
        <c:crossAx val="4961839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Emissions from Buildings in Massachusetts 1990</a:t>
            </a:r>
            <a:r>
              <a:rPr lang="en-US" baseline="0"/>
              <a:t> to 2023: MMTCO2e from official DEP inventory (line) vs. CO2 from fossil fuel combustion based on SEDS (bars)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1"/>
          <c:tx>
            <c:v>Residential</c:v>
          </c:tx>
          <c:spPr>
            <a:solidFill>
              <a:schemeClr val="accent1"/>
            </a:solidFill>
            <a:ln>
              <a:noFill/>
            </a:ln>
            <a:effectLst/>
          </c:spPr>
          <c:invertIfNegative val="0"/>
          <c:val>
            <c:numRef>
              <c:f>'NE RES Emit'!$B$4:$AI$4</c:f>
              <c:numCache>
                <c:formatCode>0.00</c:formatCode>
                <c:ptCount val="34"/>
                <c:pt idx="0">
                  <c:v>14.984724829940138</c:v>
                </c:pt>
                <c:pt idx="1">
                  <c:v>14.195007338837232</c:v>
                </c:pt>
                <c:pt idx="2">
                  <c:v>16.271938561007797</c:v>
                </c:pt>
                <c:pt idx="3">
                  <c:v>16.387090900742905</c:v>
                </c:pt>
                <c:pt idx="4">
                  <c:v>16.335829614312338</c:v>
                </c:pt>
                <c:pt idx="5">
                  <c:v>14.730404276689784</c:v>
                </c:pt>
                <c:pt idx="6">
                  <c:v>14.534369784006451</c:v>
                </c:pt>
                <c:pt idx="7">
                  <c:v>14.404712521022338</c:v>
                </c:pt>
                <c:pt idx="8">
                  <c:v>13.239653398762337</c:v>
                </c:pt>
                <c:pt idx="9">
                  <c:v>13.802940402613117</c:v>
                </c:pt>
                <c:pt idx="10">
                  <c:v>15.460595569048223</c:v>
                </c:pt>
                <c:pt idx="11">
                  <c:v>15.810254976838223</c:v>
                </c:pt>
                <c:pt idx="12">
                  <c:v>15.763051368395246</c:v>
                </c:pt>
                <c:pt idx="13">
                  <c:v>16.303205807572127</c:v>
                </c:pt>
                <c:pt idx="14">
                  <c:v>14.905899471106451</c:v>
                </c:pt>
                <c:pt idx="15">
                  <c:v>14.91815959296234</c:v>
                </c:pt>
                <c:pt idx="16">
                  <c:v>12.904834266950779</c:v>
                </c:pt>
                <c:pt idx="17">
                  <c:v>13.608858341634892</c:v>
                </c:pt>
                <c:pt idx="18">
                  <c:v>14.526274689519999</c:v>
                </c:pt>
                <c:pt idx="19">
                  <c:v>13.865685373063332</c:v>
                </c:pt>
                <c:pt idx="20">
                  <c:v>13.576033969336665</c:v>
                </c:pt>
                <c:pt idx="21">
                  <c:v>13.668004404669997</c:v>
                </c:pt>
                <c:pt idx="22">
                  <c:v>11.808638489266665</c:v>
                </c:pt>
                <c:pt idx="23">
                  <c:v>12.368346588253331</c:v>
                </c:pt>
                <c:pt idx="24">
                  <c:v>13.727867653536666</c:v>
                </c:pt>
                <c:pt idx="25">
                  <c:v>13.627153801836666</c:v>
                </c:pt>
                <c:pt idx="26">
                  <c:v>11.444668649553332</c:v>
                </c:pt>
                <c:pt idx="27">
                  <c:v>12.421823573060001</c:v>
                </c:pt>
                <c:pt idx="28">
                  <c:v>13.396115907459999</c:v>
                </c:pt>
                <c:pt idx="29">
                  <c:v>13.705004964859999</c:v>
                </c:pt>
                <c:pt idx="30">
                  <c:v>12.214738351896667</c:v>
                </c:pt>
                <c:pt idx="31">
                  <c:v>12.573952994936665</c:v>
                </c:pt>
                <c:pt idx="32">
                  <c:v>12.971062196363334</c:v>
                </c:pt>
                <c:pt idx="33">
                  <c:v>11.785311044099998</c:v>
                </c:pt>
              </c:numCache>
            </c:numRef>
          </c:val>
          <c:extLst>
            <c:ext xmlns:c16="http://schemas.microsoft.com/office/drawing/2014/chart" uri="{C3380CC4-5D6E-409C-BE32-E72D297353CC}">
              <c16:uniqueId val="{00000000-EF90-498D-807F-6AFE38BEC8EC}"/>
            </c:ext>
          </c:extLst>
        </c:ser>
        <c:ser>
          <c:idx val="1"/>
          <c:order val="2"/>
          <c:tx>
            <c:v>Commercial</c:v>
          </c:tx>
          <c:spPr>
            <a:solidFill>
              <a:schemeClr val="accent2"/>
            </a:solidFill>
            <a:ln>
              <a:noFill/>
            </a:ln>
            <a:effectLst/>
          </c:spPr>
          <c:invertIfNegative val="0"/>
          <c:val>
            <c:numRef>
              <c:f>'NE C Emit'!$B$4:$AI$4</c:f>
              <c:numCache>
                <c:formatCode>0.00</c:formatCode>
                <c:ptCount val="34"/>
                <c:pt idx="0">
                  <c:v>8.2436340146856661</c:v>
                </c:pt>
                <c:pt idx="1">
                  <c:v>9.0733242425638281</c:v>
                </c:pt>
                <c:pt idx="2">
                  <c:v>8.7731958416707734</c:v>
                </c:pt>
                <c:pt idx="3">
                  <c:v>7.8593064581380805</c:v>
                </c:pt>
                <c:pt idx="4">
                  <c:v>8.8428244351548209</c:v>
                </c:pt>
                <c:pt idx="5">
                  <c:v>8.9164746765879404</c:v>
                </c:pt>
                <c:pt idx="6">
                  <c:v>9.0137298002959536</c:v>
                </c:pt>
                <c:pt idx="7">
                  <c:v>9.4539774915902797</c:v>
                </c:pt>
                <c:pt idx="8">
                  <c:v>8.0917947839946081</c:v>
                </c:pt>
                <c:pt idx="9">
                  <c:v>6.007387837135739</c:v>
                </c:pt>
                <c:pt idx="10">
                  <c:v>6.6758156775609185</c:v>
                </c:pt>
                <c:pt idx="11">
                  <c:v>5.6657419103675863</c:v>
                </c:pt>
                <c:pt idx="12">
                  <c:v>5.6723000231933938</c:v>
                </c:pt>
                <c:pt idx="13">
                  <c:v>6.9850804448309871</c:v>
                </c:pt>
                <c:pt idx="14">
                  <c:v>6.4472042757616261</c:v>
                </c:pt>
                <c:pt idx="15">
                  <c:v>6.6171921062045334</c:v>
                </c:pt>
                <c:pt idx="16">
                  <c:v>5.0325846073217013</c:v>
                </c:pt>
                <c:pt idx="17">
                  <c:v>5.3523574274197134</c:v>
                </c:pt>
                <c:pt idx="18">
                  <c:v>5.6720630559633332</c:v>
                </c:pt>
                <c:pt idx="19">
                  <c:v>5.8011713980000001</c:v>
                </c:pt>
                <c:pt idx="20">
                  <c:v>6.7136842662999996</c:v>
                </c:pt>
                <c:pt idx="21">
                  <c:v>6.3516471911566672</c:v>
                </c:pt>
                <c:pt idx="22">
                  <c:v>5.2351624247633337</c:v>
                </c:pt>
                <c:pt idx="23">
                  <c:v>6.7672685907200014</c:v>
                </c:pt>
                <c:pt idx="24">
                  <c:v>7.2071672654666665</c:v>
                </c:pt>
                <c:pt idx="25">
                  <c:v>7.6189326138933327</c:v>
                </c:pt>
                <c:pt idx="26">
                  <c:v>7.0324210341366662</c:v>
                </c:pt>
                <c:pt idx="27">
                  <c:v>7.3788659441566677</c:v>
                </c:pt>
                <c:pt idx="28">
                  <c:v>7.9212817119700007</c:v>
                </c:pt>
                <c:pt idx="29">
                  <c:v>8.1033406311733334</c:v>
                </c:pt>
                <c:pt idx="30">
                  <c:v>7.3149852073833328</c:v>
                </c:pt>
                <c:pt idx="31">
                  <c:v>7.4474480110066663</c:v>
                </c:pt>
                <c:pt idx="32">
                  <c:v>8.2031815594299999</c:v>
                </c:pt>
                <c:pt idx="33">
                  <c:v>7.6097484345666677</c:v>
                </c:pt>
              </c:numCache>
            </c:numRef>
          </c:val>
          <c:extLst>
            <c:ext xmlns:c16="http://schemas.microsoft.com/office/drawing/2014/chart" uri="{C3380CC4-5D6E-409C-BE32-E72D297353CC}">
              <c16:uniqueId val="{00000001-EF90-498D-807F-6AFE38BEC8EC}"/>
            </c:ext>
          </c:extLst>
        </c:ser>
        <c:ser>
          <c:idx val="2"/>
          <c:order val="3"/>
          <c:tx>
            <c:v>Industrial</c:v>
          </c:tx>
          <c:spPr>
            <a:solidFill>
              <a:schemeClr val="accent3"/>
            </a:solidFill>
            <a:ln>
              <a:noFill/>
            </a:ln>
            <a:effectLst/>
          </c:spPr>
          <c:invertIfNegative val="0"/>
          <c:val>
            <c:numRef>
              <c:f>'NE I emit'!$B$4:$AI$4</c:f>
              <c:numCache>
                <c:formatCode>0.00</c:formatCode>
                <c:ptCount val="34"/>
                <c:pt idx="0">
                  <c:v>5.15523183792694</c:v>
                </c:pt>
                <c:pt idx="1">
                  <c:v>4.4763874955796332</c:v>
                </c:pt>
                <c:pt idx="2">
                  <c:v>6.0724209816809003</c:v>
                </c:pt>
                <c:pt idx="3">
                  <c:v>6.3646902992130334</c:v>
                </c:pt>
                <c:pt idx="4">
                  <c:v>5.6025020504973666</c:v>
                </c:pt>
                <c:pt idx="5">
                  <c:v>4.9583511117927603</c:v>
                </c:pt>
                <c:pt idx="6">
                  <c:v>4.9662449571596401</c:v>
                </c:pt>
                <c:pt idx="7">
                  <c:v>5.0379893690455271</c:v>
                </c:pt>
                <c:pt idx="8">
                  <c:v>4.8950117755839671</c:v>
                </c:pt>
                <c:pt idx="9">
                  <c:v>5.4243200764757393</c:v>
                </c:pt>
                <c:pt idx="10">
                  <c:v>5.297398188506234</c:v>
                </c:pt>
                <c:pt idx="11">
                  <c:v>6.5619497399087869</c:v>
                </c:pt>
                <c:pt idx="12">
                  <c:v>6.4348036389976535</c:v>
                </c:pt>
                <c:pt idx="13">
                  <c:v>4.0994712908511266</c:v>
                </c:pt>
                <c:pt idx="14">
                  <c:v>3.9263144964954537</c:v>
                </c:pt>
                <c:pt idx="15">
                  <c:v>4.2366197435463731</c:v>
                </c:pt>
                <c:pt idx="16">
                  <c:v>4.2014566287700603</c:v>
                </c:pt>
                <c:pt idx="17">
                  <c:v>4.0771950055096333</c:v>
                </c:pt>
                <c:pt idx="18">
                  <c:v>3.6027068453455202</c:v>
                </c:pt>
                <c:pt idx="19">
                  <c:v>2.9510930234756669</c:v>
                </c:pt>
                <c:pt idx="20">
                  <c:v>3.3626839142748142</c:v>
                </c:pt>
                <c:pt idx="21">
                  <c:v>3.6432220478216939</c:v>
                </c:pt>
                <c:pt idx="22">
                  <c:v>3.1345155576142467</c:v>
                </c:pt>
                <c:pt idx="23">
                  <c:v>3.2392069186160204</c:v>
                </c:pt>
                <c:pt idx="24">
                  <c:v>3.159581195311127</c:v>
                </c:pt>
                <c:pt idx="25">
                  <c:v>3.1859818680151002</c:v>
                </c:pt>
                <c:pt idx="26">
                  <c:v>3.1794808272397868</c:v>
                </c:pt>
                <c:pt idx="27">
                  <c:v>3.302350424969787</c:v>
                </c:pt>
                <c:pt idx="28">
                  <c:v>3.2872287196531205</c:v>
                </c:pt>
                <c:pt idx="29">
                  <c:v>3.3377021922890067</c:v>
                </c:pt>
                <c:pt idx="30">
                  <c:v>3.1396031860599996</c:v>
                </c:pt>
                <c:pt idx="31">
                  <c:v>3.3083244565066661</c:v>
                </c:pt>
                <c:pt idx="32">
                  <c:v>3.3279154713933332</c:v>
                </c:pt>
                <c:pt idx="33">
                  <c:v>3.0655111484066668</c:v>
                </c:pt>
              </c:numCache>
            </c:numRef>
          </c:val>
          <c:extLst>
            <c:ext xmlns:c16="http://schemas.microsoft.com/office/drawing/2014/chart" uri="{C3380CC4-5D6E-409C-BE32-E72D297353CC}">
              <c16:uniqueId val="{00000002-EF90-498D-807F-6AFE38BEC8EC}"/>
            </c:ext>
          </c:extLst>
        </c:ser>
        <c:dLbls>
          <c:showLegendKey val="0"/>
          <c:showVal val="0"/>
          <c:showCatName val="0"/>
          <c:showSerName val="0"/>
          <c:showPercent val="0"/>
          <c:showBubbleSize val="0"/>
        </c:dLbls>
        <c:gapWidth val="219"/>
        <c:overlap val="100"/>
        <c:axId val="140601567"/>
        <c:axId val="140596287"/>
      </c:barChart>
      <c:lineChart>
        <c:grouping val="standard"/>
        <c:varyColors val="0"/>
        <c:ser>
          <c:idx val="14"/>
          <c:order val="0"/>
          <c:tx>
            <c:strRef>
              <c:f>'MA RCI compare'!$A$17</c:f>
              <c:strCache>
                <c:ptCount val="1"/>
                <c:pt idx="0">
                  <c:v>Building Consumption</c:v>
                </c:pt>
              </c:strCache>
            </c:strRef>
          </c:tx>
          <c:spPr>
            <a:ln w="28575" cap="rnd">
              <a:solidFill>
                <a:schemeClr val="accent3">
                  <a:lumMod val="80000"/>
                  <a:lumOff val="20000"/>
                </a:schemeClr>
              </a:solidFill>
              <a:round/>
            </a:ln>
            <a:effectLst/>
          </c:spPr>
          <c:marker>
            <c:symbol val="none"/>
          </c:marker>
          <c:cat>
            <c:numRef>
              <c:f>'MA RCI compare'!$B$3:$AI$3</c:f>
              <c:numCache>
                <c:formatCode>General</c:formatCode>
                <c:ptCount val="34"/>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numCache>
            </c:numRef>
          </c:cat>
          <c:val>
            <c:numRef>
              <c:f>'MA RCI compare'!$B$17:$AI$17</c:f>
              <c:numCache>
                <c:formatCode>0.0</c:formatCode>
                <c:ptCount val="34"/>
                <c:pt idx="0">
                  <c:v>29.369032172200857</c:v>
                </c:pt>
                <c:pt idx="1">
                  <c:v>28.484120299972609</c:v>
                </c:pt>
                <c:pt idx="2">
                  <c:v>32.092126470351417</c:v>
                </c:pt>
                <c:pt idx="3">
                  <c:v>31.437036521231601</c:v>
                </c:pt>
                <c:pt idx="4">
                  <c:v>31.240221083692848</c:v>
                </c:pt>
                <c:pt idx="5">
                  <c:v>29.055006014243872</c:v>
                </c:pt>
                <c:pt idx="6">
                  <c:v>28.939078171359775</c:v>
                </c:pt>
                <c:pt idx="7">
                  <c:v>29.211025882124979</c:v>
                </c:pt>
                <c:pt idx="8">
                  <c:v>26.298952028503727</c:v>
                </c:pt>
                <c:pt idx="9">
                  <c:v>25.947505253545565</c:v>
                </c:pt>
                <c:pt idx="10">
                  <c:v>28.099908572354696</c:v>
                </c:pt>
                <c:pt idx="11">
                  <c:v>28.540538994006372</c:v>
                </c:pt>
                <c:pt idx="12">
                  <c:v>28.485554573593809</c:v>
                </c:pt>
                <c:pt idx="13">
                  <c:v>28.145016129708985</c:v>
                </c:pt>
                <c:pt idx="14">
                  <c:v>26.057100556393397</c:v>
                </c:pt>
                <c:pt idx="15">
                  <c:v>26.27851275730281</c:v>
                </c:pt>
                <c:pt idx="16">
                  <c:v>22.376133989054942</c:v>
                </c:pt>
                <c:pt idx="17">
                  <c:v>23.308641212354804</c:v>
                </c:pt>
                <c:pt idx="18">
                  <c:v>24.102601915589155</c:v>
                </c:pt>
                <c:pt idx="19">
                  <c:v>23.107360085174079</c:v>
                </c:pt>
                <c:pt idx="20">
                  <c:v>24.209162883001547</c:v>
                </c:pt>
                <c:pt idx="21">
                  <c:v>24.008476724062515</c:v>
                </c:pt>
                <c:pt idx="22">
                  <c:v>20.509075301309991</c:v>
                </c:pt>
                <c:pt idx="23">
                  <c:v>22.733604682115413</c:v>
                </c:pt>
                <c:pt idx="24">
                  <c:v>24.352199120674609</c:v>
                </c:pt>
                <c:pt idx="25">
                  <c:v>24.669656922183343</c:v>
                </c:pt>
                <c:pt idx="26">
                  <c:v>21.625648028614421</c:v>
                </c:pt>
                <c:pt idx="27">
                  <c:v>23.016071965499631</c:v>
                </c:pt>
                <c:pt idx="28">
                  <c:v>24.635788310641409</c:v>
                </c:pt>
                <c:pt idx="29">
                  <c:v>25.246624195773123</c:v>
                </c:pt>
                <c:pt idx="30">
                  <c:v>22.654145402916306</c:v>
                </c:pt>
                <c:pt idx="31">
                  <c:v>23.337639042465355</c:v>
                </c:pt>
                <c:pt idx="32">
                  <c:v>24.597998011143048</c:v>
                </c:pt>
              </c:numCache>
            </c:numRef>
          </c:val>
          <c:smooth val="0"/>
          <c:extLst>
            <c:ext xmlns:c16="http://schemas.microsoft.com/office/drawing/2014/chart" uri="{C3380CC4-5D6E-409C-BE32-E72D297353CC}">
              <c16:uniqueId val="{00000003-EF90-498D-807F-6AFE38BEC8EC}"/>
            </c:ext>
          </c:extLst>
        </c:ser>
        <c:dLbls>
          <c:showLegendKey val="0"/>
          <c:showVal val="0"/>
          <c:showCatName val="0"/>
          <c:showSerName val="0"/>
          <c:showPercent val="0"/>
          <c:showBubbleSize val="0"/>
        </c:dLbls>
        <c:marker val="1"/>
        <c:smooth val="0"/>
        <c:axId val="140601567"/>
        <c:axId val="140596287"/>
      </c:lineChart>
      <c:catAx>
        <c:axId val="14060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46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596287"/>
        <c:crosses val="autoZero"/>
        <c:auto val="1"/>
        <c:lblAlgn val="ctr"/>
        <c:lblOffset val="100"/>
        <c:noMultiLvlLbl val="0"/>
      </c:catAx>
      <c:valAx>
        <c:axId val="14059628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60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Fossil Fuel Combustion</a:t>
            </a:r>
            <a:r>
              <a:rPr lang="en-US" baseline="0"/>
              <a:t> Emissions from Buildings in the Northeast: 2010 to 2023 (MMTCO2)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'NE RCI Emit'!$A$3</c:f>
              <c:strCache>
                <c:ptCount val="1"/>
                <c:pt idx="0">
                  <c:v>CT</c:v>
                </c:pt>
              </c:strCache>
            </c:strRef>
          </c:tx>
          <c:spPr>
            <a:solidFill>
              <a:schemeClr val="accent1"/>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Emit'!$V$3:$AI$3</c:f>
              <c:numCache>
                <c:formatCode>0.00</c:formatCode>
                <c:ptCount val="14"/>
                <c:pt idx="0">
                  <c:v>12.856381598059997</c:v>
                </c:pt>
                <c:pt idx="1">
                  <c:v>12.84073521192</c:v>
                </c:pt>
                <c:pt idx="2">
                  <c:v>11.809739457376665</c:v>
                </c:pt>
                <c:pt idx="3">
                  <c:v>13.01305232931</c:v>
                </c:pt>
                <c:pt idx="4">
                  <c:v>13.379571003956665</c:v>
                </c:pt>
                <c:pt idx="5">
                  <c:v>13.945489885396665</c:v>
                </c:pt>
                <c:pt idx="6">
                  <c:v>11.997108215583332</c:v>
                </c:pt>
                <c:pt idx="7">
                  <c:v>12.255551228176666</c:v>
                </c:pt>
                <c:pt idx="8">
                  <c:v>13.647668680543333</c:v>
                </c:pt>
                <c:pt idx="9">
                  <c:v>13.316544123373331</c:v>
                </c:pt>
                <c:pt idx="10">
                  <c:v>12.148556582249999</c:v>
                </c:pt>
                <c:pt idx="11">
                  <c:v>13.046780318733335</c:v>
                </c:pt>
                <c:pt idx="12">
                  <c:v>13.006554666379998</c:v>
                </c:pt>
                <c:pt idx="13">
                  <c:v>12.688904611643332</c:v>
                </c:pt>
              </c:numCache>
            </c:numRef>
          </c:val>
          <c:extLst>
            <c:ext xmlns:c16="http://schemas.microsoft.com/office/drawing/2014/chart" uri="{C3380CC4-5D6E-409C-BE32-E72D297353CC}">
              <c16:uniqueId val="{00000000-9CC2-40F5-AB21-5B7C3B17F2E5}"/>
            </c:ext>
          </c:extLst>
        </c:ser>
        <c:ser>
          <c:idx val="1"/>
          <c:order val="1"/>
          <c:tx>
            <c:strRef>
              <c:f>'NE RCI Emit'!$A$4</c:f>
              <c:strCache>
                <c:ptCount val="1"/>
                <c:pt idx="0">
                  <c:v>MA</c:v>
                </c:pt>
              </c:strCache>
            </c:strRef>
          </c:tx>
          <c:spPr>
            <a:solidFill>
              <a:schemeClr val="accent2"/>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Emit'!$V$4:$AI$4</c:f>
              <c:numCache>
                <c:formatCode>0.00</c:formatCode>
                <c:ptCount val="14"/>
                <c:pt idx="0">
                  <c:v>23.652402149911477</c:v>
                </c:pt>
                <c:pt idx="1">
                  <c:v>23.662873643648361</c:v>
                </c:pt>
                <c:pt idx="2">
                  <c:v>20.178316471644244</c:v>
                </c:pt>
                <c:pt idx="3">
                  <c:v>22.374822097589352</c:v>
                </c:pt>
                <c:pt idx="4">
                  <c:v>24.094616114314459</c:v>
                </c:pt>
                <c:pt idx="5">
                  <c:v>24.4320682837451</c:v>
                </c:pt>
                <c:pt idx="6">
                  <c:v>21.656570510929782</c:v>
                </c:pt>
                <c:pt idx="7">
                  <c:v>23.103039942186456</c:v>
                </c:pt>
                <c:pt idx="8">
                  <c:v>24.604626339083122</c:v>
                </c:pt>
                <c:pt idx="9">
                  <c:v>25.146047788322342</c:v>
                </c:pt>
                <c:pt idx="10">
                  <c:v>22.669326745340001</c:v>
                </c:pt>
                <c:pt idx="11">
                  <c:v>23.32972546245</c:v>
                </c:pt>
                <c:pt idx="12">
                  <c:v>24.502159227186667</c:v>
                </c:pt>
                <c:pt idx="13">
                  <c:v>22.460570627073334</c:v>
                </c:pt>
              </c:numCache>
            </c:numRef>
          </c:val>
          <c:extLst>
            <c:ext xmlns:c16="http://schemas.microsoft.com/office/drawing/2014/chart" uri="{C3380CC4-5D6E-409C-BE32-E72D297353CC}">
              <c16:uniqueId val="{00000001-9CC2-40F5-AB21-5B7C3B17F2E5}"/>
            </c:ext>
          </c:extLst>
        </c:ser>
        <c:ser>
          <c:idx val="2"/>
          <c:order val="2"/>
          <c:tx>
            <c:strRef>
              <c:f>'NE RCI Emit'!$A$5</c:f>
              <c:strCache>
                <c:ptCount val="1"/>
                <c:pt idx="0">
                  <c:v>ME</c:v>
                </c:pt>
              </c:strCache>
            </c:strRef>
          </c:tx>
          <c:spPr>
            <a:solidFill>
              <a:schemeClr val="accent3"/>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Emit'!$V$5:$AI$5</c:f>
              <c:numCache>
                <c:formatCode>0.00</c:formatCode>
                <c:ptCount val="14"/>
                <c:pt idx="0">
                  <c:v>7.0500709274231852</c:v>
                </c:pt>
                <c:pt idx="1">
                  <c:v>7.1678599933512723</c:v>
                </c:pt>
                <c:pt idx="2">
                  <c:v>6.2253635883848197</c:v>
                </c:pt>
                <c:pt idx="3">
                  <c:v>6.3759104523010599</c:v>
                </c:pt>
                <c:pt idx="4">
                  <c:v>6.1422507189157391</c:v>
                </c:pt>
                <c:pt idx="5">
                  <c:v>6.4493012761767323</c:v>
                </c:pt>
                <c:pt idx="6">
                  <c:v>6.0576988012199262</c:v>
                </c:pt>
                <c:pt idx="7">
                  <c:v>6.106237935427373</c:v>
                </c:pt>
                <c:pt idx="8">
                  <c:v>6.4313663917130457</c:v>
                </c:pt>
                <c:pt idx="9">
                  <c:v>6.4949019107607064</c:v>
                </c:pt>
                <c:pt idx="10">
                  <c:v>6.1904414945934718</c:v>
                </c:pt>
                <c:pt idx="11">
                  <c:v>6.0866705852699994</c:v>
                </c:pt>
                <c:pt idx="12">
                  <c:v>6.0298453392099995</c:v>
                </c:pt>
                <c:pt idx="13">
                  <c:v>6.1129508107066659</c:v>
                </c:pt>
              </c:numCache>
            </c:numRef>
          </c:val>
          <c:extLst>
            <c:ext xmlns:c16="http://schemas.microsoft.com/office/drawing/2014/chart" uri="{C3380CC4-5D6E-409C-BE32-E72D297353CC}">
              <c16:uniqueId val="{00000002-9CC2-40F5-AB21-5B7C3B17F2E5}"/>
            </c:ext>
          </c:extLst>
        </c:ser>
        <c:ser>
          <c:idx val="3"/>
          <c:order val="3"/>
          <c:tx>
            <c:strRef>
              <c:f>'NE RCI Emit'!$A$6</c:f>
              <c:strCache>
                <c:ptCount val="1"/>
                <c:pt idx="0">
                  <c:v>NH</c:v>
                </c:pt>
              </c:strCache>
            </c:strRef>
          </c:tx>
          <c:spPr>
            <a:solidFill>
              <a:schemeClr val="accent4"/>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Emit'!$V$6:$AI$6</c:f>
              <c:numCache>
                <c:formatCode>0.00</c:formatCode>
                <c:ptCount val="14"/>
                <c:pt idx="0">
                  <c:v>4.2329185590999998</c:v>
                </c:pt>
                <c:pt idx="1">
                  <c:v>4.4714873033599991</c:v>
                </c:pt>
                <c:pt idx="2">
                  <c:v>3.8693487326633327</c:v>
                </c:pt>
                <c:pt idx="3">
                  <c:v>4.3657478415833335</c:v>
                </c:pt>
                <c:pt idx="4">
                  <c:v>4.9776985538499989</c:v>
                </c:pt>
                <c:pt idx="5">
                  <c:v>4.9759946189799997</c:v>
                </c:pt>
                <c:pt idx="6">
                  <c:v>4.6539483237133323</c:v>
                </c:pt>
                <c:pt idx="7">
                  <c:v>4.9286196661166661</c:v>
                </c:pt>
                <c:pt idx="8">
                  <c:v>5.3256739086466665</c:v>
                </c:pt>
                <c:pt idx="9">
                  <c:v>5.2736685127499996</c:v>
                </c:pt>
                <c:pt idx="10">
                  <c:v>4.9004676953099988</c:v>
                </c:pt>
                <c:pt idx="11">
                  <c:v>4.6170101479333319</c:v>
                </c:pt>
                <c:pt idx="12">
                  <c:v>4.7413641325966669</c:v>
                </c:pt>
                <c:pt idx="13">
                  <c:v>4.7836018877899988</c:v>
                </c:pt>
              </c:numCache>
            </c:numRef>
          </c:val>
          <c:extLst>
            <c:ext xmlns:c16="http://schemas.microsoft.com/office/drawing/2014/chart" uri="{C3380CC4-5D6E-409C-BE32-E72D297353CC}">
              <c16:uniqueId val="{00000003-9CC2-40F5-AB21-5B7C3B17F2E5}"/>
            </c:ext>
          </c:extLst>
        </c:ser>
        <c:ser>
          <c:idx val="4"/>
          <c:order val="4"/>
          <c:tx>
            <c:strRef>
              <c:f>'NE RCI Emit'!$A$7</c:f>
              <c:strCache>
                <c:ptCount val="1"/>
                <c:pt idx="0">
                  <c:v>NJ</c:v>
                </c:pt>
              </c:strCache>
            </c:strRef>
          </c:tx>
          <c:spPr>
            <a:solidFill>
              <a:schemeClr val="accent5"/>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Emit'!$V$7:$AI$7</c:f>
              <c:numCache>
                <c:formatCode>0.00</c:formatCode>
                <c:ptCount val="14"/>
                <c:pt idx="0">
                  <c:v>30.868250169349999</c:v>
                </c:pt>
                <c:pt idx="1">
                  <c:v>31.277712199873339</c:v>
                </c:pt>
                <c:pt idx="2">
                  <c:v>28.512590032923331</c:v>
                </c:pt>
                <c:pt idx="3">
                  <c:v>30.637365764976668</c:v>
                </c:pt>
                <c:pt idx="4">
                  <c:v>33.899858295746668</c:v>
                </c:pt>
                <c:pt idx="5">
                  <c:v>31.517276498400001</c:v>
                </c:pt>
                <c:pt idx="6">
                  <c:v>29.278017500416667</c:v>
                </c:pt>
                <c:pt idx="7">
                  <c:v>28.725316732126664</c:v>
                </c:pt>
                <c:pt idx="8">
                  <c:v>32.126674347716666</c:v>
                </c:pt>
                <c:pt idx="9">
                  <c:v>31.162715004006667</c:v>
                </c:pt>
                <c:pt idx="10">
                  <c:v>28.36680632258</c:v>
                </c:pt>
                <c:pt idx="11">
                  <c:v>30.351049289293336</c:v>
                </c:pt>
                <c:pt idx="12">
                  <c:v>31.917040446170006</c:v>
                </c:pt>
                <c:pt idx="13">
                  <c:v>30.070331158853335</c:v>
                </c:pt>
              </c:numCache>
            </c:numRef>
          </c:val>
          <c:extLst>
            <c:ext xmlns:c16="http://schemas.microsoft.com/office/drawing/2014/chart" uri="{C3380CC4-5D6E-409C-BE32-E72D297353CC}">
              <c16:uniqueId val="{00000004-9CC2-40F5-AB21-5B7C3B17F2E5}"/>
            </c:ext>
          </c:extLst>
        </c:ser>
        <c:ser>
          <c:idx val="5"/>
          <c:order val="5"/>
          <c:tx>
            <c:strRef>
              <c:f>'NE RCI Emit'!$A$8</c:f>
              <c:strCache>
                <c:ptCount val="1"/>
                <c:pt idx="0">
                  <c:v>NY</c:v>
                </c:pt>
              </c:strCache>
            </c:strRef>
          </c:tx>
          <c:spPr>
            <a:solidFill>
              <a:schemeClr val="accent6"/>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Emit'!$V$8:$AI$8</c:f>
              <c:numCache>
                <c:formatCode>0.00</c:formatCode>
                <c:ptCount val="14"/>
                <c:pt idx="0">
                  <c:v>62.566156460745958</c:v>
                </c:pt>
                <c:pt idx="1">
                  <c:v>62.04841925650603</c:v>
                </c:pt>
                <c:pt idx="2">
                  <c:v>57.678618501725687</c:v>
                </c:pt>
                <c:pt idx="3">
                  <c:v>61.151602964389809</c:v>
                </c:pt>
                <c:pt idx="4">
                  <c:v>64.253407044196919</c:v>
                </c:pt>
                <c:pt idx="5">
                  <c:v>65.195398693243945</c:v>
                </c:pt>
                <c:pt idx="6">
                  <c:v>59.362105506959722</c:v>
                </c:pt>
                <c:pt idx="7">
                  <c:v>60.382226372960211</c:v>
                </c:pt>
                <c:pt idx="8">
                  <c:v>67.021913583533916</c:v>
                </c:pt>
                <c:pt idx="9">
                  <c:v>66.253621137535561</c:v>
                </c:pt>
                <c:pt idx="10">
                  <c:v>59.128486568046569</c:v>
                </c:pt>
                <c:pt idx="11">
                  <c:v>62.938978811867912</c:v>
                </c:pt>
                <c:pt idx="12">
                  <c:v>63.763736228751313</c:v>
                </c:pt>
                <c:pt idx="13">
                  <c:v>60.636373181088977</c:v>
                </c:pt>
              </c:numCache>
            </c:numRef>
          </c:val>
          <c:extLst>
            <c:ext xmlns:c16="http://schemas.microsoft.com/office/drawing/2014/chart" uri="{C3380CC4-5D6E-409C-BE32-E72D297353CC}">
              <c16:uniqueId val="{00000005-9CC2-40F5-AB21-5B7C3B17F2E5}"/>
            </c:ext>
          </c:extLst>
        </c:ser>
        <c:ser>
          <c:idx val="6"/>
          <c:order val="6"/>
          <c:tx>
            <c:strRef>
              <c:f>'NE RCI Emit'!$A$9</c:f>
              <c:strCache>
                <c:ptCount val="1"/>
                <c:pt idx="0">
                  <c:v>PA</c:v>
                </c:pt>
              </c:strCache>
            </c:strRef>
          </c:tx>
          <c:spPr>
            <a:solidFill>
              <a:schemeClr val="accent1">
                <a:lumMod val="60000"/>
              </a:schemeClr>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Emit'!$V$9:$AI$9</c:f>
              <c:numCache>
                <c:formatCode>0.00</c:formatCode>
                <c:ptCount val="14"/>
                <c:pt idx="0">
                  <c:v>47.855892686745293</c:v>
                </c:pt>
                <c:pt idx="1">
                  <c:v>48.650207509485199</c:v>
                </c:pt>
                <c:pt idx="2">
                  <c:v>47.036965042792332</c:v>
                </c:pt>
                <c:pt idx="3">
                  <c:v>54.597648484131057</c:v>
                </c:pt>
                <c:pt idx="4">
                  <c:v>61.259745853014948</c:v>
                </c:pt>
                <c:pt idx="5">
                  <c:v>58.893864182294088</c:v>
                </c:pt>
                <c:pt idx="6">
                  <c:v>55.743038927068454</c:v>
                </c:pt>
                <c:pt idx="7">
                  <c:v>57.204830923748858</c:v>
                </c:pt>
                <c:pt idx="8">
                  <c:v>64.143181495531536</c:v>
                </c:pt>
                <c:pt idx="9">
                  <c:v>63.961317908147585</c:v>
                </c:pt>
                <c:pt idx="10">
                  <c:v>58.943468031866146</c:v>
                </c:pt>
                <c:pt idx="11">
                  <c:v>64.277934109821587</c:v>
                </c:pt>
                <c:pt idx="12">
                  <c:v>70.546285927294974</c:v>
                </c:pt>
                <c:pt idx="13">
                  <c:v>71.099390713609793</c:v>
                </c:pt>
              </c:numCache>
            </c:numRef>
          </c:val>
          <c:extLst>
            <c:ext xmlns:c16="http://schemas.microsoft.com/office/drawing/2014/chart" uri="{C3380CC4-5D6E-409C-BE32-E72D297353CC}">
              <c16:uniqueId val="{00000006-9CC2-40F5-AB21-5B7C3B17F2E5}"/>
            </c:ext>
          </c:extLst>
        </c:ser>
        <c:ser>
          <c:idx val="7"/>
          <c:order val="7"/>
          <c:tx>
            <c:strRef>
              <c:f>'NE RCI Emit'!$A$10</c:f>
              <c:strCache>
                <c:ptCount val="1"/>
                <c:pt idx="0">
                  <c:v>RI</c:v>
                </c:pt>
              </c:strCache>
            </c:strRef>
          </c:tx>
          <c:spPr>
            <a:solidFill>
              <a:schemeClr val="accent2">
                <a:lumMod val="60000"/>
              </a:schemeClr>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Emit'!$V$10:$AI$10</c:f>
              <c:numCache>
                <c:formatCode>0.00</c:formatCode>
                <c:ptCount val="14"/>
                <c:pt idx="0">
                  <c:v>3.7633499653933331</c:v>
                </c:pt>
                <c:pt idx="1">
                  <c:v>3.5700461487166666</c:v>
                </c:pt>
                <c:pt idx="2">
                  <c:v>3.3982866891966665</c:v>
                </c:pt>
                <c:pt idx="3">
                  <c:v>3.7301355350600001</c:v>
                </c:pt>
                <c:pt idx="4">
                  <c:v>4.0308924411066664</c:v>
                </c:pt>
                <c:pt idx="5">
                  <c:v>4.048943589166667</c:v>
                </c:pt>
                <c:pt idx="6">
                  <c:v>3.2989846818133333</c:v>
                </c:pt>
                <c:pt idx="7">
                  <c:v>3.3584348335266663</c:v>
                </c:pt>
                <c:pt idx="8">
                  <c:v>3.9279149297300004</c:v>
                </c:pt>
                <c:pt idx="9">
                  <c:v>3.6255498906733332</c:v>
                </c:pt>
                <c:pt idx="10">
                  <c:v>3.2993180939766669</c:v>
                </c:pt>
                <c:pt idx="11">
                  <c:v>3.6619656971333332</c:v>
                </c:pt>
                <c:pt idx="12">
                  <c:v>3.6193552643966664</c:v>
                </c:pt>
                <c:pt idx="13">
                  <c:v>3.5074469686666663</c:v>
                </c:pt>
              </c:numCache>
            </c:numRef>
          </c:val>
          <c:extLst>
            <c:ext xmlns:c16="http://schemas.microsoft.com/office/drawing/2014/chart" uri="{C3380CC4-5D6E-409C-BE32-E72D297353CC}">
              <c16:uniqueId val="{00000007-9CC2-40F5-AB21-5B7C3B17F2E5}"/>
            </c:ext>
          </c:extLst>
        </c:ser>
        <c:ser>
          <c:idx val="8"/>
          <c:order val="8"/>
          <c:tx>
            <c:strRef>
              <c:f>'NE RCI Emit'!$A$11</c:f>
              <c:strCache>
                <c:ptCount val="1"/>
                <c:pt idx="0">
                  <c:v>VT</c:v>
                </c:pt>
              </c:strCache>
            </c:strRef>
          </c:tx>
          <c:spPr>
            <a:solidFill>
              <a:schemeClr val="accent3">
                <a:lumMod val="60000"/>
              </a:schemeClr>
            </a:solidFill>
            <a:ln>
              <a:noFill/>
            </a:ln>
            <a:effectLst/>
          </c:spPr>
          <c:invertIfNegative val="0"/>
          <c:cat>
            <c:strRef>
              <c:f>'NE RCI Emit'!$V$2:$AI$2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RCI Emit'!$V$11:$AI$11</c:f>
              <c:numCache>
                <c:formatCode>0.00</c:formatCode>
                <c:ptCount val="14"/>
                <c:pt idx="0">
                  <c:v>2.4645671261566666</c:v>
                </c:pt>
                <c:pt idx="1">
                  <c:v>2.4942880103899996</c:v>
                </c:pt>
                <c:pt idx="2">
                  <c:v>2.2246177691833329</c:v>
                </c:pt>
                <c:pt idx="3">
                  <c:v>2.4460129442099996</c:v>
                </c:pt>
                <c:pt idx="4">
                  <c:v>2.6300855646999999</c:v>
                </c:pt>
                <c:pt idx="5">
                  <c:v>2.8316050077333332</c:v>
                </c:pt>
                <c:pt idx="6">
                  <c:v>2.5943609403433334</c:v>
                </c:pt>
                <c:pt idx="7">
                  <c:v>2.601887162013333</c:v>
                </c:pt>
                <c:pt idx="8">
                  <c:v>2.8349436774999996</c:v>
                </c:pt>
                <c:pt idx="9">
                  <c:v>2.8872347337166664</c:v>
                </c:pt>
                <c:pt idx="10">
                  <c:v>2.7754988794866664</c:v>
                </c:pt>
                <c:pt idx="11">
                  <c:v>2.6898067945099999</c:v>
                </c:pt>
                <c:pt idx="12">
                  <c:v>2.6725918601066665</c:v>
                </c:pt>
                <c:pt idx="13">
                  <c:v>2.5771128955733329</c:v>
                </c:pt>
              </c:numCache>
            </c:numRef>
          </c:val>
          <c:extLst>
            <c:ext xmlns:c16="http://schemas.microsoft.com/office/drawing/2014/chart" uri="{C3380CC4-5D6E-409C-BE32-E72D297353CC}">
              <c16:uniqueId val="{00000008-9CC2-40F5-AB21-5B7C3B17F2E5}"/>
            </c:ext>
          </c:extLst>
        </c:ser>
        <c:dLbls>
          <c:showLegendKey val="0"/>
          <c:showVal val="0"/>
          <c:showCatName val="0"/>
          <c:showSerName val="0"/>
          <c:showPercent val="0"/>
          <c:showBubbleSize val="0"/>
        </c:dLbls>
        <c:gapWidth val="150"/>
        <c:overlap val="100"/>
        <c:axId val="202562943"/>
        <c:axId val="202565343"/>
      </c:barChart>
      <c:catAx>
        <c:axId val="202562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565343"/>
        <c:crosses val="autoZero"/>
        <c:auto val="1"/>
        <c:lblAlgn val="ctr"/>
        <c:lblOffset val="100"/>
        <c:noMultiLvlLbl val="0"/>
      </c:catAx>
      <c:valAx>
        <c:axId val="2025653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5629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Relative</a:t>
            </a:r>
            <a:r>
              <a:rPr lang="en-US" baseline="0"/>
              <a:t> rate of building emission change: 2010 to 2023, States in the Northeast</a:t>
            </a:r>
            <a:endParaRPr lang="en-US"/>
          </a:p>
        </c:rich>
      </c:tx>
      <c:layout>
        <c:manualLayout>
          <c:xMode val="edge"/>
          <c:yMode val="edge"/>
          <c:x val="0.20622318158017366"/>
          <c:y val="1.2098765941751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Overall Emissions Trend</c:v>
          </c:tx>
          <c:spPr>
            <a:solidFill>
              <a:schemeClr val="accent1"/>
            </a:solidFill>
            <a:ln>
              <a:solidFill>
                <a:schemeClr val="accent1"/>
              </a:solidFill>
            </a:ln>
            <a:effectLst/>
          </c:spPr>
          <c:invertIfNegative val="0"/>
          <c:dPt>
            <c:idx val="1"/>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1-9E45-4E77-9476-EA6F9E10A2E0}"/>
              </c:ext>
            </c:extLst>
          </c:dPt>
          <c:cat>
            <c:strRef>
              <c:f>'NE RES Emit'!$A$3:$A$11</c:f>
              <c:strCache>
                <c:ptCount val="9"/>
                <c:pt idx="0">
                  <c:v>CT</c:v>
                </c:pt>
                <c:pt idx="1">
                  <c:v>MA</c:v>
                </c:pt>
                <c:pt idx="2">
                  <c:v>ME</c:v>
                </c:pt>
                <c:pt idx="3">
                  <c:v>NH</c:v>
                </c:pt>
                <c:pt idx="4">
                  <c:v>NJ</c:v>
                </c:pt>
                <c:pt idx="5">
                  <c:v>NY</c:v>
                </c:pt>
                <c:pt idx="6">
                  <c:v>PA</c:v>
                </c:pt>
                <c:pt idx="7">
                  <c:v>RI</c:v>
                </c:pt>
                <c:pt idx="8">
                  <c:v>VT</c:v>
                </c:pt>
              </c:strCache>
            </c:strRef>
          </c:cat>
          <c:val>
            <c:numRef>
              <c:f>'NE RCI Emit'!$AR$3:$AR$11</c:f>
              <c:numCache>
                <c:formatCode>0.00%</c:formatCode>
                <c:ptCount val="9"/>
                <c:pt idx="0">
                  <c:v>6.4607695367951219E-4</c:v>
                </c:pt>
                <c:pt idx="1">
                  <c:v>2.9633449900680281E-3</c:v>
                </c:pt>
                <c:pt idx="2">
                  <c:v>-8.8200292584034549E-3</c:v>
                </c:pt>
                <c:pt idx="3">
                  <c:v>1.0891128652348921E-2</c:v>
                </c:pt>
                <c:pt idx="4">
                  <c:v>-1.0836306806054972E-3</c:v>
                </c:pt>
                <c:pt idx="5">
                  <c:v>1.5329740233267302E-3</c:v>
                </c:pt>
                <c:pt idx="6">
                  <c:v>2.8346992401121297E-2</c:v>
                </c:pt>
                <c:pt idx="7">
                  <c:v>-3.484371805555797E-3</c:v>
                </c:pt>
                <c:pt idx="8">
                  <c:v>9.4012222505234552E-3</c:v>
                </c:pt>
              </c:numCache>
            </c:numRef>
          </c:val>
          <c:extLst>
            <c:ext xmlns:c16="http://schemas.microsoft.com/office/drawing/2014/chart" uri="{C3380CC4-5D6E-409C-BE32-E72D297353CC}">
              <c16:uniqueId val="{00000002-9E45-4E77-9476-EA6F9E10A2E0}"/>
            </c:ext>
          </c:extLst>
        </c:ser>
        <c:dLbls>
          <c:showLegendKey val="0"/>
          <c:showVal val="0"/>
          <c:showCatName val="0"/>
          <c:showSerName val="0"/>
          <c:showPercent val="0"/>
          <c:showBubbleSize val="0"/>
        </c:dLbls>
        <c:gapWidth val="219"/>
        <c:overlap val="-27"/>
        <c:axId val="306987040"/>
        <c:axId val="306992800"/>
      </c:barChart>
      <c:catAx>
        <c:axId val="3069870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92800"/>
        <c:crosses val="autoZero"/>
        <c:auto val="1"/>
        <c:lblAlgn val="ctr"/>
        <c:lblOffset val="200"/>
        <c:noMultiLvlLbl val="0"/>
      </c:catAx>
      <c:valAx>
        <c:axId val="306992800"/>
        <c:scaling>
          <c:orientation val="minMax"/>
          <c:max val="6.0000000000000012E-2"/>
          <c:min val="-6.0000000000000012E-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870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year  Residual Plot</a:t>
            </a:r>
          </a:p>
        </c:rich>
      </c:tx>
      <c:overlay val="0"/>
    </c:title>
    <c:autoTitleDeleted val="0"/>
    <c:plotArea>
      <c:layout/>
      <c:scatterChart>
        <c:scatterStyle val="lineMarker"/>
        <c:varyColors val="0"/>
        <c:ser>
          <c:idx val="0"/>
          <c:order val="0"/>
          <c:spPr>
            <a:ln w="38100">
              <a:noFill/>
            </a:ln>
          </c:spPr>
          <c:xVal>
            <c:numRef>
              <c:f>'Linest Test'!$B$3:$B$35</c:f>
              <c:numCache>
                <c:formatCode>General</c:formatCode>
                <c:ptCount val="3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numCache>
            </c:numRef>
          </c:xVal>
          <c:yVal>
            <c:numRef>
              <c:f>'Linest Test'!$G$28:$G$60</c:f>
              <c:numCache>
                <c:formatCode>General</c:formatCode>
                <c:ptCount val="33"/>
                <c:pt idx="0">
                  <c:v>6468.2941870567738</c:v>
                </c:pt>
                <c:pt idx="1">
                  <c:v>-6243.6977167731384</c:v>
                </c:pt>
                <c:pt idx="2">
                  <c:v>2842.6910371906415</c:v>
                </c:pt>
                <c:pt idx="3">
                  <c:v>10211.073044633667</c:v>
                </c:pt>
                <c:pt idx="4">
                  <c:v>9628.9441173327505</c:v>
                </c:pt>
                <c:pt idx="5">
                  <c:v>-13376.433144173556</c:v>
                </c:pt>
                <c:pt idx="6">
                  <c:v>-14863.756160277437</c:v>
                </c:pt>
                <c:pt idx="7">
                  <c:v>-16169.795646331622</c:v>
                </c:pt>
                <c:pt idx="8">
                  <c:v>-9216.0568972207548</c:v>
                </c:pt>
                <c:pt idx="9">
                  <c:v>-2532.8984512233001</c:v>
                </c:pt>
                <c:pt idx="10">
                  <c:v>7541.4997858483111</c:v>
                </c:pt>
                <c:pt idx="11">
                  <c:v>21694.42126070126</c:v>
                </c:pt>
                <c:pt idx="12">
                  <c:v>21613.360845135845</c:v>
                </c:pt>
                <c:pt idx="13">
                  <c:v>12969.916095213091</c:v>
                </c:pt>
                <c:pt idx="14">
                  <c:v>-1450.335589225695</c:v>
                </c:pt>
                <c:pt idx="15">
                  <c:v>564.43177589369589</c:v>
                </c:pt>
                <c:pt idx="16">
                  <c:v>-10281.768566414772</c:v>
                </c:pt>
                <c:pt idx="17">
                  <c:v>-12910.632929881627</c:v>
                </c:pt>
                <c:pt idx="18">
                  <c:v>6921.5140697124298</c:v>
                </c:pt>
                <c:pt idx="19">
                  <c:v>-4308.0648837516201</c:v>
                </c:pt>
                <c:pt idx="20">
                  <c:v>8509.9755049905507</c:v>
                </c:pt>
                <c:pt idx="21">
                  <c:v>7327.0245202065853</c:v>
                </c:pt>
                <c:pt idx="22">
                  <c:v>-5410.5012111741235</c:v>
                </c:pt>
                <c:pt idx="23">
                  <c:v>-20061.677637356654</c:v>
                </c:pt>
                <c:pt idx="24">
                  <c:v>-5172.1395568845328</c:v>
                </c:pt>
                <c:pt idx="25">
                  <c:v>-1697.6681081947754</c:v>
                </c:pt>
                <c:pt idx="26">
                  <c:v>-19432.414581091434</c:v>
                </c:pt>
                <c:pt idx="27">
                  <c:v>-5075.8755606427439</c:v>
                </c:pt>
                <c:pt idx="28">
                  <c:v>4513.6967756971135</c:v>
                </c:pt>
                <c:pt idx="29">
                  <c:v>6233.504119885969</c:v>
                </c:pt>
                <c:pt idx="30">
                  <c:v>1339.9793284818006</c:v>
                </c:pt>
                <c:pt idx="31">
                  <c:v>8198.4155813272519</c:v>
                </c:pt>
                <c:pt idx="32">
                  <c:v>11624.97459131066</c:v>
                </c:pt>
              </c:numCache>
            </c:numRef>
          </c:yVal>
          <c:smooth val="0"/>
          <c:extLst>
            <c:ext xmlns:c16="http://schemas.microsoft.com/office/drawing/2014/chart" uri="{C3380CC4-5D6E-409C-BE32-E72D297353CC}">
              <c16:uniqueId val="{00000001-B4BD-4CF6-8C87-6432E3A0A1FF}"/>
            </c:ext>
          </c:extLst>
        </c:ser>
        <c:dLbls>
          <c:showLegendKey val="0"/>
          <c:showVal val="0"/>
          <c:showCatName val="0"/>
          <c:showSerName val="0"/>
          <c:showPercent val="0"/>
          <c:showBubbleSize val="0"/>
        </c:dLbls>
        <c:axId val="714027584"/>
        <c:axId val="714029504"/>
      </c:scatterChart>
      <c:valAx>
        <c:axId val="714027584"/>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714029504"/>
        <c:crosses val="autoZero"/>
        <c:crossBetween val="midCat"/>
      </c:valAx>
      <c:valAx>
        <c:axId val="714029504"/>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714027584"/>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 HDD  Residual Plot</a:t>
            </a:r>
          </a:p>
        </c:rich>
      </c:tx>
      <c:overlay val="0"/>
    </c:title>
    <c:autoTitleDeleted val="0"/>
    <c:plotArea>
      <c:layout/>
      <c:scatterChart>
        <c:scatterStyle val="lineMarker"/>
        <c:varyColors val="0"/>
        <c:ser>
          <c:idx val="0"/>
          <c:order val="0"/>
          <c:spPr>
            <a:ln w="38100">
              <a:noFill/>
            </a:ln>
          </c:spPr>
          <c:xVal>
            <c:numRef>
              <c:f>'Linest Test'!$C$3:$C$35</c:f>
              <c:numCache>
                <c:formatCode>General</c:formatCode>
                <c:ptCount val="33"/>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numCache>
            </c:numRef>
          </c:xVal>
          <c:yVal>
            <c:numRef>
              <c:f>'Linest Test'!$G$28:$G$60</c:f>
              <c:numCache>
                <c:formatCode>General</c:formatCode>
                <c:ptCount val="33"/>
                <c:pt idx="0">
                  <c:v>6468.2941870567738</c:v>
                </c:pt>
                <c:pt idx="1">
                  <c:v>-6243.6977167731384</c:v>
                </c:pt>
                <c:pt idx="2">
                  <c:v>2842.6910371906415</c:v>
                </c:pt>
                <c:pt idx="3">
                  <c:v>10211.073044633667</c:v>
                </c:pt>
                <c:pt idx="4">
                  <c:v>9628.9441173327505</c:v>
                </c:pt>
                <c:pt idx="5">
                  <c:v>-13376.433144173556</c:v>
                </c:pt>
                <c:pt idx="6">
                  <c:v>-14863.756160277437</c:v>
                </c:pt>
                <c:pt idx="7">
                  <c:v>-16169.795646331622</c:v>
                </c:pt>
                <c:pt idx="8">
                  <c:v>-9216.0568972207548</c:v>
                </c:pt>
                <c:pt idx="9">
                  <c:v>-2532.8984512233001</c:v>
                </c:pt>
                <c:pt idx="10">
                  <c:v>7541.4997858483111</c:v>
                </c:pt>
                <c:pt idx="11">
                  <c:v>21694.42126070126</c:v>
                </c:pt>
                <c:pt idx="12">
                  <c:v>21613.360845135845</c:v>
                </c:pt>
                <c:pt idx="13">
                  <c:v>12969.916095213091</c:v>
                </c:pt>
                <c:pt idx="14">
                  <c:v>-1450.335589225695</c:v>
                </c:pt>
                <c:pt idx="15">
                  <c:v>564.43177589369589</c:v>
                </c:pt>
                <c:pt idx="16">
                  <c:v>-10281.768566414772</c:v>
                </c:pt>
                <c:pt idx="17">
                  <c:v>-12910.632929881627</c:v>
                </c:pt>
                <c:pt idx="18">
                  <c:v>6921.5140697124298</c:v>
                </c:pt>
                <c:pt idx="19">
                  <c:v>-4308.0648837516201</c:v>
                </c:pt>
                <c:pt idx="20">
                  <c:v>8509.9755049905507</c:v>
                </c:pt>
                <c:pt idx="21">
                  <c:v>7327.0245202065853</c:v>
                </c:pt>
                <c:pt idx="22">
                  <c:v>-5410.5012111741235</c:v>
                </c:pt>
                <c:pt idx="23">
                  <c:v>-20061.677637356654</c:v>
                </c:pt>
                <c:pt idx="24">
                  <c:v>-5172.1395568845328</c:v>
                </c:pt>
                <c:pt idx="25">
                  <c:v>-1697.6681081947754</c:v>
                </c:pt>
                <c:pt idx="26">
                  <c:v>-19432.414581091434</c:v>
                </c:pt>
                <c:pt idx="27">
                  <c:v>-5075.8755606427439</c:v>
                </c:pt>
                <c:pt idx="28">
                  <c:v>4513.6967756971135</c:v>
                </c:pt>
                <c:pt idx="29">
                  <c:v>6233.504119885969</c:v>
                </c:pt>
                <c:pt idx="30">
                  <c:v>1339.9793284818006</c:v>
                </c:pt>
                <c:pt idx="31">
                  <c:v>8198.4155813272519</c:v>
                </c:pt>
                <c:pt idx="32">
                  <c:v>11624.97459131066</c:v>
                </c:pt>
              </c:numCache>
            </c:numRef>
          </c:yVal>
          <c:smooth val="0"/>
          <c:extLst>
            <c:ext xmlns:c16="http://schemas.microsoft.com/office/drawing/2014/chart" uri="{C3380CC4-5D6E-409C-BE32-E72D297353CC}">
              <c16:uniqueId val="{00000001-3354-4F8C-985D-5E3121563BD0}"/>
            </c:ext>
          </c:extLst>
        </c:ser>
        <c:dLbls>
          <c:showLegendKey val="0"/>
          <c:showVal val="0"/>
          <c:showCatName val="0"/>
          <c:showSerName val="0"/>
          <c:showPercent val="0"/>
          <c:showBubbleSize val="0"/>
        </c:dLbls>
        <c:axId val="748804575"/>
        <c:axId val="748803135"/>
      </c:scatterChart>
      <c:valAx>
        <c:axId val="748804575"/>
        <c:scaling>
          <c:orientation val="minMax"/>
        </c:scaling>
        <c:delete val="0"/>
        <c:axPos val="b"/>
        <c:title>
          <c:tx>
            <c:rich>
              <a:bodyPr/>
              <a:lstStyle/>
              <a:p>
                <a:pPr>
                  <a:defRPr/>
                </a:pPr>
                <a:r>
                  <a:rPr lang="en-US"/>
                  <a:t>MA HDD</a:t>
                </a:r>
              </a:p>
            </c:rich>
          </c:tx>
          <c:overlay val="0"/>
        </c:title>
        <c:numFmt formatCode="General" sourceLinked="1"/>
        <c:majorTickMark val="out"/>
        <c:minorTickMark val="none"/>
        <c:tickLblPos val="nextTo"/>
        <c:crossAx val="748803135"/>
        <c:crosses val="autoZero"/>
        <c:crossBetween val="midCat"/>
      </c:valAx>
      <c:valAx>
        <c:axId val="748803135"/>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748804575"/>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year Line Fit  Plot</a:t>
            </a:r>
          </a:p>
        </c:rich>
      </c:tx>
      <c:overlay val="0"/>
    </c:title>
    <c:autoTitleDeleted val="0"/>
    <c:plotArea>
      <c:layout/>
      <c:scatterChart>
        <c:scatterStyle val="lineMarker"/>
        <c:varyColors val="0"/>
        <c:ser>
          <c:idx val="0"/>
          <c:order val="0"/>
          <c:tx>
            <c:v>MA BTU</c:v>
          </c:tx>
          <c:spPr>
            <a:ln w="38100">
              <a:noFill/>
            </a:ln>
          </c:spPr>
          <c:xVal>
            <c:numRef>
              <c:f>'Linest Test'!$B$3:$B$35</c:f>
              <c:numCache>
                <c:formatCode>General</c:formatCode>
                <c:ptCount val="3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9344-4117-96A0-03A8FA025203}"/>
            </c:ext>
          </c:extLst>
        </c:ser>
        <c:ser>
          <c:idx val="1"/>
          <c:order val="1"/>
          <c:tx>
            <c:v>Predicted MA BTU</c:v>
          </c:tx>
          <c:spPr>
            <a:ln w="38100">
              <a:noFill/>
            </a:ln>
          </c:spPr>
          <c:xVal>
            <c:numRef>
              <c:f>'Linest Test'!$B$3:$B$35</c:f>
              <c:numCache>
                <c:formatCode>General</c:formatCode>
                <c:ptCount val="3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numCache>
            </c:numRef>
          </c:xVal>
          <c:yVal>
            <c:numRef>
              <c:f>'Linest Test'!$F$28:$F$60</c:f>
              <c:numCache>
                <c:formatCode>General</c:formatCode>
                <c:ptCount val="33"/>
                <c:pt idx="0">
                  <c:v>229367.70581294323</c:v>
                </c:pt>
                <c:pt idx="1">
                  <c:v>230416.69771677314</c:v>
                </c:pt>
                <c:pt idx="2">
                  <c:v>254601.30896280936</c:v>
                </c:pt>
                <c:pt idx="3">
                  <c:v>249406.92695536633</c:v>
                </c:pt>
                <c:pt idx="4">
                  <c:v>246672.05588266725</c:v>
                </c:pt>
                <c:pt idx="5">
                  <c:v>244180.43314417356</c:v>
                </c:pt>
                <c:pt idx="6">
                  <c:v>245553.75616027744</c:v>
                </c:pt>
                <c:pt idx="7">
                  <c:v>243710.79564633162</c:v>
                </c:pt>
                <c:pt idx="8">
                  <c:v>217597.05689722075</c:v>
                </c:pt>
                <c:pt idx="9">
                  <c:v>224375.8984512233</c:v>
                </c:pt>
                <c:pt idx="10">
                  <c:v>237776.50021415169</c:v>
                </c:pt>
                <c:pt idx="11">
                  <c:v>226176.57873929874</c:v>
                </c:pt>
                <c:pt idx="12">
                  <c:v>225333.63915486415</c:v>
                </c:pt>
                <c:pt idx="13">
                  <c:v>245437.08390478691</c:v>
                </c:pt>
                <c:pt idx="14">
                  <c:v>236945.3355892257</c:v>
                </c:pt>
                <c:pt idx="15">
                  <c:v>235291.5682241063</c:v>
                </c:pt>
                <c:pt idx="16">
                  <c:v>214015.76856641477</c:v>
                </c:pt>
                <c:pt idx="17">
                  <c:v>229632.63292988163</c:v>
                </c:pt>
                <c:pt idx="18">
                  <c:v>226627.48593028757</c:v>
                </c:pt>
                <c:pt idx="19">
                  <c:v>231190.06488375162</c:v>
                </c:pt>
                <c:pt idx="20">
                  <c:v>212617.02449500945</c:v>
                </c:pt>
                <c:pt idx="21">
                  <c:v>215584.97547979341</c:v>
                </c:pt>
                <c:pt idx="22">
                  <c:v>199525.50121117412</c:v>
                </c:pt>
                <c:pt idx="23">
                  <c:v>222304.67763735665</c:v>
                </c:pt>
                <c:pt idx="24">
                  <c:v>227732.13955688453</c:v>
                </c:pt>
                <c:pt idx="25">
                  <c:v>223429.66810819478</c:v>
                </c:pt>
                <c:pt idx="26">
                  <c:v>207586.41458109143</c:v>
                </c:pt>
                <c:pt idx="27">
                  <c:v>209094.87556064274</c:v>
                </c:pt>
                <c:pt idx="28">
                  <c:v>215468.30322430289</c:v>
                </c:pt>
                <c:pt idx="29">
                  <c:v>219652.49588011403</c:v>
                </c:pt>
                <c:pt idx="30">
                  <c:v>199674.0206715182</c:v>
                </c:pt>
                <c:pt idx="31">
                  <c:v>198344.58441867275</c:v>
                </c:pt>
                <c:pt idx="32">
                  <c:v>202772.02540868934</c:v>
                </c:pt>
              </c:numCache>
            </c:numRef>
          </c:yVal>
          <c:smooth val="0"/>
          <c:extLst>
            <c:ext xmlns:c16="http://schemas.microsoft.com/office/drawing/2014/chart" uri="{C3380CC4-5D6E-409C-BE32-E72D297353CC}">
              <c16:uniqueId val="{00000002-9344-4117-96A0-03A8FA025203}"/>
            </c:ext>
          </c:extLst>
        </c:ser>
        <c:dLbls>
          <c:showLegendKey val="0"/>
          <c:showVal val="0"/>
          <c:showCatName val="0"/>
          <c:showSerName val="0"/>
          <c:showPercent val="0"/>
          <c:showBubbleSize val="0"/>
        </c:dLbls>
        <c:axId val="288501263"/>
        <c:axId val="288499823"/>
      </c:scatterChart>
      <c:valAx>
        <c:axId val="288501263"/>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288499823"/>
        <c:crosses val="autoZero"/>
        <c:crossBetween val="midCat"/>
      </c:valAx>
      <c:valAx>
        <c:axId val="288499823"/>
        <c:scaling>
          <c:orientation val="minMax"/>
        </c:scaling>
        <c:delete val="0"/>
        <c:axPos val="l"/>
        <c:title>
          <c:tx>
            <c:rich>
              <a:bodyPr/>
              <a:lstStyle/>
              <a:p>
                <a:pPr>
                  <a:defRPr/>
                </a:pPr>
                <a:r>
                  <a:rPr lang="en-US"/>
                  <a:t>MA BTU</a:t>
                </a:r>
              </a:p>
            </c:rich>
          </c:tx>
          <c:overlay val="0"/>
        </c:title>
        <c:numFmt formatCode="General" sourceLinked="1"/>
        <c:majorTickMark val="out"/>
        <c:minorTickMark val="none"/>
        <c:tickLblPos val="nextTo"/>
        <c:crossAx val="288501263"/>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MA HDD Line Fit  Plot</a:t>
            </a:r>
          </a:p>
        </c:rich>
      </c:tx>
      <c:overlay val="0"/>
    </c:title>
    <c:autoTitleDeleted val="0"/>
    <c:plotArea>
      <c:layout/>
      <c:scatterChart>
        <c:scatterStyle val="lineMarker"/>
        <c:varyColors val="0"/>
        <c:ser>
          <c:idx val="0"/>
          <c:order val="0"/>
          <c:tx>
            <c:v>MA BTU</c:v>
          </c:tx>
          <c:spPr>
            <a:ln w="38100">
              <a:noFill/>
            </a:ln>
          </c:spPr>
          <c:xVal>
            <c:numRef>
              <c:f>'Linest Test'!$C$3:$C$35</c:f>
              <c:numCache>
                <c:formatCode>General</c:formatCode>
                <c:ptCount val="33"/>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A562-4F87-A4E9-AB0C0EB69535}"/>
            </c:ext>
          </c:extLst>
        </c:ser>
        <c:ser>
          <c:idx val="1"/>
          <c:order val="1"/>
          <c:tx>
            <c:v>Predicted MA BTU</c:v>
          </c:tx>
          <c:spPr>
            <a:ln w="38100">
              <a:noFill/>
            </a:ln>
          </c:spPr>
          <c:xVal>
            <c:numRef>
              <c:f>'Linest Test'!$C$3:$C$35</c:f>
              <c:numCache>
                <c:formatCode>General</c:formatCode>
                <c:ptCount val="33"/>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numCache>
            </c:numRef>
          </c:xVal>
          <c:yVal>
            <c:numRef>
              <c:f>'Linest Test'!$F$28:$F$60</c:f>
              <c:numCache>
                <c:formatCode>General</c:formatCode>
                <c:ptCount val="33"/>
                <c:pt idx="0">
                  <c:v>229367.70581294323</c:v>
                </c:pt>
                <c:pt idx="1">
                  <c:v>230416.69771677314</c:v>
                </c:pt>
                <c:pt idx="2">
                  <c:v>254601.30896280936</c:v>
                </c:pt>
                <c:pt idx="3">
                  <c:v>249406.92695536633</c:v>
                </c:pt>
                <c:pt idx="4">
                  <c:v>246672.05588266725</c:v>
                </c:pt>
                <c:pt idx="5">
                  <c:v>244180.43314417356</c:v>
                </c:pt>
                <c:pt idx="6">
                  <c:v>245553.75616027744</c:v>
                </c:pt>
                <c:pt idx="7">
                  <c:v>243710.79564633162</c:v>
                </c:pt>
                <c:pt idx="8">
                  <c:v>217597.05689722075</c:v>
                </c:pt>
                <c:pt idx="9">
                  <c:v>224375.8984512233</c:v>
                </c:pt>
                <c:pt idx="10">
                  <c:v>237776.50021415169</c:v>
                </c:pt>
                <c:pt idx="11">
                  <c:v>226176.57873929874</c:v>
                </c:pt>
                <c:pt idx="12">
                  <c:v>225333.63915486415</c:v>
                </c:pt>
                <c:pt idx="13">
                  <c:v>245437.08390478691</c:v>
                </c:pt>
                <c:pt idx="14">
                  <c:v>236945.3355892257</c:v>
                </c:pt>
                <c:pt idx="15">
                  <c:v>235291.5682241063</c:v>
                </c:pt>
                <c:pt idx="16">
                  <c:v>214015.76856641477</c:v>
                </c:pt>
                <c:pt idx="17">
                  <c:v>229632.63292988163</c:v>
                </c:pt>
                <c:pt idx="18">
                  <c:v>226627.48593028757</c:v>
                </c:pt>
                <c:pt idx="19">
                  <c:v>231190.06488375162</c:v>
                </c:pt>
                <c:pt idx="20">
                  <c:v>212617.02449500945</c:v>
                </c:pt>
                <c:pt idx="21">
                  <c:v>215584.97547979341</c:v>
                </c:pt>
                <c:pt idx="22">
                  <c:v>199525.50121117412</c:v>
                </c:pt>
                <c:pt idx="23">
                  <c:v>222304.67763735665</c:v>
                </c:pt>
                <c:pt idx="24">
                  <c:v>227732.13955688453</c:v>
                </c:pt>
                <c:pt idx="25">
                  <c:v>223429.66810819478</c:v>
                </c:pt>
                <c:pt idx="26">
                  <c:v>207586.41458109143</c:v>
                </c:pt>
                <c:pt idx="27">
                  <c:v>209094.87556064274</c:v>
                </c:pt>
                <c:pt idx="28">
                  <c:v>215468.30322430289</c:v>
                </c:pt>
                <c:pt idx="29">
                  <c:v>219652.49588011403</c:v>
                </c:pt>
                <c:pt idx="30">
                  <c:v>199674.0206715182</c:v>
                </c:pt>
                <c:pt idx="31">
                  <c:v>198344.58441867275</c:v>
                </c:pt>
                <c:pt idx="32">
                  <c:v>202772.02540868934</c:v>
                </c:pt>
              </c:numCache>
            </c:numRef>
          </c:yVal>
          <c:smooth val="0"/>
          <c:extLst>
            <c:ext xmlns:c16="http://schemas.microsoft.com/office/drawing/2014/chart" uri="{C3380CC4-5D6E-409C-BE32-E72D297353CC}">
              <c16:uniqueId val="{00000002-A562-4F87-A4E9-AB0C0EB69535}"/>
            </c:ext>
          </c:extLst>
        </c:ser>
        <c:dLbls>
          <c:showLegendKey val="0"/>
          <c:showVal val="0"/>
          <c:showCatName val="0"/>
          <c:showSerName val="0"/>
          <c:showPercent val="0"/>
          <c:showBubbleSize val="0"/>
        </c:dLbls>
        <c:axId val="1368243599"/>
        <c:axId val="1368244079"/>
      </c:scatterChart>
      <c:valAx>
        <c:axId val="1368243599"/>
        <c:scaling>
          <c:orientation val="minMax"/>
        </c:scaling>
        <c:delete val="0"/>
        <c:axPos val="b"/>
        <c:title>
          <c:tx>
            <c:rich>
              <a:bodyPr/>
              <a:lstStyle/>
              <a:p>
                <a:pPr>
                  <a:defRPr/>
                </a:pPr>
                <a:r>
                  <a:rPr lang="en-US"/>
                  <a:t>MA HDD</a:t>
                </a:r>
              </a:p>
            </c:rich>
          </c:tx>
          <c:overlay val="0"/>
        </c:title>
        <c:numFmt formatCode="General" sourceLinked="1"/>
        <c:majorTickMark val="out"/>
        <c:minorTickMark val="none"/>
        <c:tickLblPos val="nextTo"/>
        <c:crossAx val="1368244079"/>
        <c:crosses val="autoZero"/>
        <c:crossBetween val="midCat"/>
      </c:valAx>
      <c:valAx>
        <c:axId val="1368244079"/>
        <c:scaling>
          <c:orientation val="minMax"/>
        </c:scaling>
        <c:delete val="0"/>
        <c:axPos val="l"/>
        <c:title>
          <c:tx>
            <c:rich>
              <a:bodyPr/>
              <a:lstStyle/>
              <a:p>
                <a:pPr>
                  <a:defRPr/>
                </a:pPr>
                <a:r>
                  <a:rPr lang="en-US"/>
                  <a:t>MA BTU</a:t>
                </a:r>
              </a:p>
            </c:rich>
          </c:tx>
          <c:overlay val="0"/>
        </c:title>
        <c:numFmt formatCode="General" sourceLinked="1"/>
        <c:majorTickMark val="out"/>
        <c:minorTickMark val="none"/>
        <c:tickLblPos val="nextTo"/>
        <c:crossAx val="1368243599"/>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Normal Probability Plot</a:t>
            </a:r>
          </a:p>
        </c:rich>
      </c:tx>
      <c:overlay val="0"/>
    </c:title>
    <c:autoTitleDeleted val="0"/>
    <c:plotArea>
      <c:layout/>
      <c:scatterChart>
        <c:scatterStyle val="lineMarker"/>
        <c:varyColors val="0"/>
        <c:ser>
          <c:idx val="0"/>
          <c:order val="0"/>
          <c:spPr>
            <a:ln w="38100">
              <a:noFill/>
            </a:ln>
          </c:spPr>
          <c:xVal>
            <c:numRef>
              <c:f>'Linest Test'!$J$28:$J$60</c:f>
              <c:numCache>
                <c:formatCode>General</c:formatCode>
                <c:ptCount val="33"/>
                <c:pt idx="0">
                  <c:v>1.5151515151515151</c:v>
                </c:pt>
                <c:pt idx="1">
                  <c:v>4.545454545454545</c:v>
                </c:pt>
                <c:pt idx="2">
                  <c:v>7.5757575757575761</c:v>
                </c:pt>
                <c:pt idx="3">
                  <c:v>10.606060606060606</c:v>
                </c:pt>
                <c:pt idx="4">
                  <c:v>13.636363636363637</c:v>
                </c:pt>
                <c:pt idx="5">
                  <c:v>16.666666666666668</c:v>
                </c:pt>
                <c:pt idx="6">
                  <c:v>19.696969696969695</c:v>
                </c:pt>
                <c:pt idx="7">
                  <c:v>22.727272727272727</c:v>
                </c:pt>
                <c:pt idx="8">
                  <c:v>25.757575757575758</c:v>
                </c:pt>
                <c:pt idx="9">
                  <c:v>28.787878787878789</c:v>
                </c:pt>
                <c:pt idx="10">
                  <c:v>31.81818181818182</c:v>
                </c:pt>
                <c:pt idx="11">
                  <c:v>34.848484848484851</c:v>
                </c:pt>
                <c:pt idx="12">
                  <c:v>37.878787878787875</c:v>
                </c:pt>
                <c:pt idx="13">
                  <c:v>40.909090909090907</c:v>
                </c:pt>
                <c:pt idx="14">
                  <c:v>43.939393939393938</c:v>
                </c:pt>
                <c:pt idx="15">
                  <c:v>46.969696969696969</c:v>
                </c:pt>
                <c:pt idx="16">
                  <c:v>50</c:v>
                </c:pt>
                <c:pt idx="17">
                  <c:v>53.030303030303031</c:v>
                </c:pt>
                <c:pt idx="18">
                  <c:v>56.060606060606062</c:v>
                </c:pt>
                <c:pt idx="19">
                  <c:v>59.090909090909093</c:v>
                </c:pt>
                <c:pt idx="20">
                  <c:v>62.121212121212125</c:v>
                </c:pt>
                <c:pt idx="21">
                  <c:v>65.151515151515142</c:v>
                </c:pt>
                <c:pt idx="22">
                  <c:v>68.181818181818187</c:v>
                </c:pt>
                <c:pt idx="23">
                  <c:v>71.212121212121218</c:v>
                </c:pt>
                <c:pt idx="24">
                  <c:v>74.242424242424235</c:v>
                </c:pt>
                <c:pt idx="25">
                  <c:v>77.272727272727266</c:v>
                </c:pt>
                <c:pt idx="26">
                  <c:v>80.303030303030297</c:v>
                </c:pt>
                <c:pt idx="27">
                  <c:v>83.333333333333329</c:v>
                </c:pt>
                <c:pt idx="28">
                  <c:v>86.36363636363636</c:v>
                </c:pt>
                <c:pt idx="29">
                  <c:v>89.393939393939391</c:v>
                </c:pt>
                <c:pt idx="30">
                  <c:v>92.424242424242422</c:v>
                </c:pt>
                <c:pt idx="31">
                  <c:v>95.454545454545453</c:v>
                </c:pt>
                <c:pt idx="32">
                  <c:v>98.484848484848484</c:v>
                </c:pt>
              </c:numCache>
            </c:numRef>
          </c:xVal>
          <c:yVal>
            <c:numRef>
              <c:f>'Linest Test'!$K$28:$K$60</c:f>
              <c:numCache>
                <c:formatCode>General</c:formatCode>
                <c:ptCount val="33"/>
                <c:pt idx="0">
                  <c:v>188154</c:v>
                </c:pt>
                <c:pt idx="1">
                  <c:v>194115</c:v>
                </c:pt>
                <c:pt idx="2">
                  <c:v>201014</c:v>
                </c:pt>
                <c:pt idx="3">
                  <c:v>202243</c:v>
                </c:pt>
                <c:pt idx="4">
                  <c:v>203734</c:v>
                </c:pt>
                <c:pt idx="5">
                  <c:v>204019</c:v>
                </c:pt>
                <c:pt idx="6">
                  <c:v>206543</c:v>
                </c:pt>
                <c:pt idx="7">
                  <c:v>208381</c:v>
                </c:pt>
                <c:pt idx="8">
                  <c:v>214397</c:v>
                </c:pt>
                <c:pt idx="9">
                  <c:v>216722</c:v>
                </c:pt>
                <c:pt idx="10">
                  <c:v>219982</c:v>
                </c:pt>
                <c:pt idx="11">
                  <c:v>221127</c:v>
                </c:pt>
                <c:pt idx="12">
                  <c:v>221732</c:v>
                </c:pt>
                <c:pt idx="13">
                  <c:v>221843</c:v>
                </c:pt>
                <c:pt idx="14">
                  <c:v>222560</c:v>
                </c:pt>
                <c:pt idx="15">
                  <c:v>222912</c:v>
                </c:pt>
                <c:pt idx="16">
                  <c:v>224173</c:v>
                </c:pt>
                <c:pt idx="17">
                  <c:v>225886</c:v>
                </c:pt>
                <c:pt idx="18">
                  <c:v>226882</c:v>
                </c:pt>
                <c:pt idx="19">
                  <c:v>227541</c:v>
                </c:pt>
                <c:pt idx="20">
                  <c:v>230690</c:v>
                </c:pt>
                <c:pt idx="21">
                  <c:v>230804</c:v>
                </c:pt>
                <c:pt idx="22">
                  <c:v>233549</c:v>
                </c:pt>
                <c:pt idx="23">
                  <c:v>235495</c:v>
                </c:pt>
                <c:pt idx="24">
                  <c:v>235836</c:v>
                </c:pt>
                <c:pt idx="25">
                  <c:v>235856</c:v>
                </c:pt>
                <c:pt idx="26">
                  <c:v>245318</c:v>
                </c:pt>
                <c:pt idx="27">
                  <c:v>246947</c:v>
                </c:pt>
                <c:pt idx="28">
                  <c:v>247871</c:v>
                </c:pt>
                <c:pt idx="29">
                  <c:v>256301</c:v>
                </c:pt>
                <c:pt idx="30">
                  <c:v>257444</c:v>
                </c:pt>
                <c:pt idx="31">
                  <c:v>258407</c:v>
                </c:pt>
                <c:pt idx="32">
                  <c:v>259618</c:v>
                </c:pt>
              </c:numCache>
            </c:numRef>
          </c:yVal>
          <c:smooth val="0"/>
          <c:extLst>
            <c:ext xmlns:c16="http://schemas.microsoft.com/office/drawing/2014/chart" uri="{C3380CC4-5D6E-409C-BE32-E72D297353CC}">
              <c16:uniqueId val="{00000001-480F-4C5B-96BF-20ACE93A575C}"/>
            </c:ext>
          </c:extLst>
        </c:ser>
        <c:dLbls>
          <c:showLegendKey val="0"/>
          <c:showVal val="0"/>
          <c:showCatName val="0"/>
          <c:showSerName val="0"/>
          <c:showPercent val="0"/>
          <c:showBubbleSize val="0"/>
        </c:dLbls>
        <c:axId val="1368243119"/>
        <c:axId val="1368243599"/>
      </c:scatterChart>
      <c:valAx>
        <c:axId val="1368243119"/>
        <c:scaling>
          <c:orientation val="minMax"/>
        </c:scaling>
        <c:delete val="0"/>
        <c:axPos val="b"/>
        <c:title>
          <c:tx>
            <c:rich>
              <a:bodyPr/>
              <a:lstStyle/>
              <a:p>
                <a:pPr>
                  <a:defRPr/>
                </a:pPr>
                <a:r>
                  <a:rPr lang="en-US"/>
                  <a:t>Sample Percentile</a:t>
                </a:r>
              </a:p>
            </c:rich>
          </c:tx>
          <c:overlay val="0"/>
        </c:title>
        <c:numFmt formatCode="General" sourceLinked="1"/>
        <c:majorTickMark val="out"/>
        <c:minorTickMark val="none"/>
        <c:tickLblPos val="nextTo"/>
        <c:crossAx val="1368243599"/>
        <c:crosses val="autoZero"/>
        <c:crossBetween val="midCat"/>
      </c:valAx>
      <c:valAx>
        <c:axId val="1368243599"/>
        <c:scaling>
          <c:orientation val="minMax"/>
        </c:scaling>
        <c:delete val="0"/>
        <c:axPos val="l"/>
        <c:title>
          <c:tx>
            <c:rich>
              <a:bodyPr/>
              <a:lstStyle/>
              <a:p>
                <a:pPr>
                  <a:defRPr/>
                </a:pPr>
                <a:r>
                  <a:rPr lang="en-US"/>
                  <a:t>MA BTU</a:t>
                </a:r>
              </a:p>
            </c:rich>
          </c:tx>
          <c:overlay val="0"/>
        </c:title>
        <c:numFmt formatCode="General" sourceLinked="1"/>
        <c:majorTickMark val="out"/>
        <c:minorTickMark val="none"/>
        <c:tickLblPos val="nextTo"/>
        <c:crossAx val="1368243119"/>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  Residual Plot</a:t>
            </a:r>
          </a:p>
        </c:rich>
      </c:tx>
      <c:overlay val="0"/>
    </c:title>
    <c:autoTitleDeleted val="0"/>
    <c:plotArea>
      <c:layout/>
      <c:scatterChart>
        <c:scatterStyle val="lineMarker"/>
        <c:varyColors val="0"/>
        <c:ser>
          <c:idx val="0"/>
          <c:order val="0"/>
          <c:spPr>
            <a:ln w="38100">
              <a:noFill/>
            </a:ln>
          </c:spPr>
          <c:xVal>
            <c:numRef>
              <c:f>'Linest Test'!$B$23:$B$35</c:f>
              <c:numCache>
                <c:formatCode>General</c:formatCode>
                <c:ptCount val="13"/>
                <c:pt idx="0">
                  <c:v>21</c:v>
                </c:pt>
                <c:pt idx="1">
                  <c:v>22</c:v>
                </c:pt>
                <c:pt idx="2">
                  <c:v>23</c:v>
                </c:pt>
                <c:pt idx="3">
                  <c:v>24</c:v>
                </c:pt>
                <c:pt idx="4">
                  <c:v>25</c:v>
                </c:pt>
                <c:pt idx="5">
                  <c:v>26</c:v>
                </c:pt>
                <c:pt idx="6">
                  <c:v>27</c:v>
                </c:pt>
                <c:pt idx="7">
                  <c:v>28</c:v>
                </c:pt>
                <c:pt idx="8">
                  <c:v>29</c:v>
                </c:pt>
                <c:pt idx="9">
                  <c:v>30</c:v>
                </c:pt>
                <c:pt idx="10">
                  <c:v>31</c:v>
                </c:pt>
                <c:pt idx="11">
                  <c:v>32</c:v>
                </c:pt>
                <c:pt idx="12">
                  <c:v>33</c:v>
                </c:pt>
              </c:numCache>
            </c:numRef>
          </c:xVal>
          <c:yVal>
            <c:numRef>
              <c:f>'Linest Test'!$AA$28:$AA$40</c:f>
              <c:numCache>
                <c:formatCode>General</c:formatCode>
                <c:ptCount val="13"/>
                <c:pt idx="0">
                  <c:v>2383.7292676402722</c:v>
                </c:pt>
                <c:pt idx="1">
                  <c:v>12682.149719302543</c:v>
                </c:pt>
                <c:pt idx="2">
                  <c:v>11211.021069727751</c:v>
                </c:pt>
                <c:pt idx="3">
                  <c:v>-3785.743003597483</c:v>
                </c:pt>
                <c:pt idx="4">
                  <c:v>-16672.842156568513</c:v>
                </c:pt>
                <c:pt idx="5">
                  <c:v>-1816.6997499483405</c:v>
                </c:pt>
                <c:pt idx="6">
                  <c:v>616.44726952677593</c:v>
                </c:pt>
                <c:pt idx="7">
                  <c:v>-19355.139128528535</c:v>
                </c:pt>
                <c:pt idx="8">
                  <c:v>-5437.9670861751074</c:v>
                </c:pt>
                <c:pt idx="9">
                  <c:v>4216.2026497508632</c:v>
                </c:pt>
                <c:pt idx="10">
                  <c:v>5773.8234235691489</c:v>
                </c:pt>
                <c:pt idx="11">
                  <c:v>-1784.9110140228295</c:v>
                </c:pt>
                <c:pt idx="12">
                  <c:v>4340.1790404132917</c:v>
                </c:pt>
              </c:numCache>
            </c:numRef>
          </c:yVal>
          <c:smooth val="0"/>
          <c:extLst>
            <c:ext xmlns:c16="http://schemas.microsoft.com/office/drawing/2014/chart" uri="{C3380CC4-5D6E-409C-BE32-E72D297353CC}">
              <c16:uniqueId val="{00000001-01E2-4F66-A05E-059BF57BFB5C}"/>
            </c:ext>
          </c:extLst>
        </c:ser>
        <c:dLbls>
          <c:showLegendKey val="0"/>
          <c:showVal val="0"/>
          <c:showCatName val="0"/>
          <c:showSerName val="0"/>
          <c:showPercent val="0"/>
          <c:showBubbleSize val="0"/>
        </c:dLbls>
        <c:axId val="190927503"/>
        <c:axId val="190928463"/>
      </c:scatterChart>
      <c:valAx>
        <c:axId val="190927503"/>
        <c:scaling>
          <c:orientation val="minMax"/>
        </c:scaling>
        <c:delete val="0"/>
        <c:axPos val="b"/>
        <c:title>
          <c:tx>
            <c:rich>
              <a:bodyPr/>
              <a:lstStyle/>
              <a:p>
                <a:pPr>
                  <a:defRPr/>
                </a:pPr>
                <a:r>
                  <a:rPr lang="en-US"/>
                  <a:t>20</a:t>
                </a:r>
              </a:p>
            </c:rich>
          </c:tx>
          <c:overlay val="0"/>
        </c:title>
        <c:numFmt formatCode="General" sourceLinked="1"/>
        <c:majorTickMark val="out"/>
        <c:minorTickMark val="none"/>
        <c:tickLblPos val="nextTo"/>
        <c:crossAx val="190928463"/>
        <c:crosses val="autoZero"/>
        <c:crossBetween val="midCat"/>
      </c:valAx>
      <c:valAx>
        <c:axId val="190928463"/>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190927503"/>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6380  Residual Plot</a:t>
            </a:r>
          </a:p>
        </c:rich>
      </c:tx>
      <c:overlay val="0"/>
    </c:title>
    <c:autoTitleDeleted val="0"/>
    <c:plotArea>
      <c:layout/>
      <c:scatterChart>
        <c:scatterStyle val="lineMarker"/>
        <c:varyColors val="0"/>
        <c:ser>
          <c:idx val="0"/>
          <c:order val="0"/>
          <c:spPr>
            <a:ln w="38100">
              <a:noFill/>
            </a:ln>
          </c:spPr>
          <c:xVal>
            <c:numRef>
              <c:f>'Linest Test'!$C$23:$C$35</c:f>
              <c:numCache>
                <c:formatCode>General</c:formatCode>
                <c:ptCount val="13"/>
                <c:pt idx="0">
                  <c:v>5722</c:v>
                </c:pt>
                <c:pt idx="1">
                  <c:v>5861</c:v>
                </c:pt>
                <c:pt idx="2">
                  <c:v>5296</c:v>
                </c:pt>
                <c:pt idx="3">
                  <c:v>6168</c:v>
                </c:pt>
                <c:pt idx="4">
                  <c:v>6398</c:v>
                </c:pt>
                <c:pt idx="5">
                  <c:v>6268</c:v>
                </c:pt>
                <c:pt idx="6">
                  <c:v>5711</c:v>
                </c:pt>
                <c:pt idx="7">
                  <c:v>5796</c:v>
                </c:pt>
                <c:pt idx="8">
                  <c:v>6061</c:v>
                </c:pt>
                <c:pt idx="9">
                  <c:v>6245</c:v>
                </c:pt>
                <c:pt idx="10">
                  <c:v>5535</c:v>
                </c:pt>
                <c:pt idx="11">
                  <c:v>5515</c:v>
                </c:pt>
                <c:pt idx="12">
                  <c:v>5708</c:v>
                </c:pt>
              </c:numCache>
            </c:numRef>
          </c:xVal>
          <c:yVal>
            <c:numRef>
              <c:f>'Linest Test'!$AA$28:$AA$40</c:f>
              <c:numCache>
                <c:formatCode>General</c:formatCode>
                <c:ptCount val="13"/>
                <c:pt idx="0">
                  <c:v>2383.7292676402722</c:v>
                </c:pt>
                <c:pt idx="1">
                  <c:v>12682.149719302543</c:v>
                </c:pt>
                <c:pt idx="2">
                  <c:v>11211.021069727751</c:v>
                </c:pt>
                <c:pt idx="3">
                  <c:v>-3785.743003597483</c:v>
                </c:pt>
                <c:pt idx="4">
                  <c:v>-16672.842156568513</c:v>
                </c:pt>
                <c:pt idx="5">
                  <c:v>-1816.6997499483405</c:v>
                </c:pt>
                <c:pt idx="6">
                  <c:v>616.44726952677593</c:v>
                </c:pt>
                <c:pt idx="7">
                  <c:v>-19355.139128528535</c:v>
                </c:pt>
                <c:pt idx="8">
                  <c:v>-5437.9670861751074</c:v>
                </c:pt>
                <c:pt idx="9">
                  <c:v>4216.2026497508632</c:v>
                </c:pt>
                <c:pt idx="10">
                  <c:v>5773.8234235691489</c:v>
                </c:pt>
                <c:pt idx="11">
                  <c:v>-1784.9110140228295</c:v>
                </c:pt>
                <c:pt idx="12">
                  <c:v>4340.1790404132917</c:v>
                </c:pt>
              </c:numCache>
            </c:numRef>
          </c:yVal>
          <c:smooth val="0"/>
          <c:extLst>
            <c:ext xmlns:c16="http://schemas.microsoft.com/office/drawing/2014/chart" uri="{C3380CC4-5D6E-409C-BE32-E72D297353CC}">
              <c16:uniqueId val="{00000001-F7F2-49EF-8B28-178CB0F28BE9}"/>
            </c:ext>
          </c:extLst>
        </c:ser>
        <c:dLbls>
          <c:showLegendKey val="0"/>
          <c:showVal val="0"/>
          <c:showCatName val="0"/>
          <c:showSerName val="0"/>
          <c:showPercent val="0"/>
          <c:showBubbleSize val="0"/>
        </c:dLbls>
        <c:axId val="1510034255"/>
        <c:axId val="1510032815"/>
      </c:scatterChart>
      <c:valAx>
        <c:axId val="1510034255"/>
        <c:scaling>
          <c:orientation val="minMax"/>
        </c:scaling>
        <c:delete val="0"/>
        <c:axPos val="b"/>
        <c:title>
          <c:tx>
            <c:rich>
              <a:bodyPr/>
              <a:lstStyle/>
              <a:p>
                <a:pPr>
                  <a:defRPr/>
                </a:pPr>
                <a:r>
                  <a:rPr lang="en-US"/>
                  <a:t>6380</a:t>
                </a:r>
              </a:p>
            </c:rich>
          </c:tx>
          <c:overlay val="0"/>
        </c:title>
        <c:numFmt formatCode="General" sourceLinked="1"/>
        <c:majorTickMark val="out"/>
        <c:minorTickMark val="none"/>
        <c:tickLblPos val="nextTo"/>
        <c:crossAx val="1510032815"/>
        <c:crosses val="autoZero"/>
        <c:crossBetween val="midCat"/>
      </c:valAx>
      <c:valAx>
        <c:axId val="1510032815"/>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1510034255"/>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Residential CO2 emissions in Northeast States</a:t>
            </a:r>
            <a:r>
              <a:rPr lang="en-US" baseline="0"/>
              <a:t> -- MMTCO2 indexed to 2010 level </a:t>
            </a:r>
            <a:br>
              <a:rPr lang="en-US" baseline="0"/>
            </a:br>
            <a:r>
              <a:rPr lang="en-US" baseline="0"/>
              <a:t>(2010 level = 100% for each series)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'NE RES Emit'!$A$24</c:f>
              <c:strCache>
                <c:ptCount val="1"/>
                <c:pt idx="0">
                  <c:v>MA</c:v>
                </c:pt>
              </c:strCache>
            </c:strRef>
          </c:tx>
          <c:spPr>
            <a:solidFill>
              <a:schemeClr val="accent2"/>
            </a:solidFill>
            <a:ln>
              <a:noFill/>
            </a:ln>
            <a:effectLst/>
          </c:spPr>
          <c:invertIfNegative val="0"/>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Emit'!$V$24:$AI$24</c:f>
              <c:numCache>
                <c:formatCode>0.00</c:formatCode>
                <c:ptCount val="14"/>
                <c:pt idx="0">
                  <c:v>1</c:v>
                </c:pt>
                <c:pt idx="1">
                  <c:v>1.0067744700360253</c:v>
                </c:pt>
                <c:pt idx="2">
                  <c:v>0.86981503699372698</c:v>
                </c:pt>
                <c:pt idx="3">
                  <c:v>0.91104269598830845</c:v>
                </c:pt>
                <c:pt idx="4">
                  <c:v>1.0111839499328699</c:v>
                </c:pt>
                <c:pt idx="5">
                  <c:v>1.0037654467140744</c:v>
                </c:pt>
                <c:pt idx="6">
                  <c:v>0.8430053044506729</c:v>
                </c:pt>
                <c:pt idx="7">
                  <c:v>0.91498176869006032</c:v>
                </c:pt>
                <c:pt idx="8">
                  <c:v>0.98674737686403591</c:v>
                </c:pt>
                <c:pt idx="9">
                  <c:v>1.0094999022405684</c:v>
                </c:pt>
                <c:pt idx="10">
                  <c:v>0.89972803393725509</c:v>
                </c:pt>
                <c:pt idx="11">
                  <c:v>0.92618750242793013</c:v>
                </c:pt>
                <c:pt idx="12">
                  <c:v>0.95543825432819762</c:v>
                </c:pt>
                <c:pt idx="13">
                  <c:v>0.86809675570337697</c:v>
                </c:pt>
              </c:numCache>
            </c:numRef>
          </c:val>
          <c:extLst>
            <c:ext xmlns:c16="http://schemas.microsoft.com/office/drawing/2014/chart" uri="{C3380CC4-5D6E-409C-BE32-E72D297353CC}">
              <c16:uniqueId val="{00000000-88E7-4E03-B3F5-824E03E6200D}"/>
            </c:ext>
          </c:extLst>
        </c:ser>
        <c:dLbls>
          <c:showLegendKey val="0"/>
          <c:showVal val="0"/>
          <c:showCatName val="0"/>
          <c:showSerName val="0"/>
          <c:showPercent val="0"/>
          <c:showBubbleSize val="0"/>
        </c:dLbls>
        <c:gapWidth val="219"/>
        <c:overlap val="-27"/>
        <c:axId val="1508762223"/>
        <c:axId val="988888575"/>
      </c:barChart>
      <c:lineChart>
        <c:grouping val="standard"/>
        <c:varyColors val="0"/>
        <c:ser>
          <c:idx val="0"/>
          <c:order val="0"/>
          <c:tx>
            <c:strRef>
              <c:f>'NE RES Emit'!$A$23</c:f>
              <c:strCache>
                <c:ptCount val="1"/>
                <c:pt idx="0">
                  <c:v>CT</c:v>
                </c:pt>
              </c:strCache>
            </c:strRef>
          </c:tx>
          <c:spPr>
            <a:ln w="28575" cap="rnd">
              <a:solidFill>
                <a:schemeClr val="accent1"/>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Emit'!$V$23:$AI$23</c:f>
              <c:numCache>
                <c:formatCode>0.00</c:formatCode>
                <c:ptCount val="14"/>
                <c:pt idx="0">
                  <c:v>1</c:v>
                </c:pt>
                <c:pt idx="1">
                  <c:v>0.95316290344332444</c:v>
                </c:pt>
                <c:pt idx="2">
                  <c:v>0.87762529169752157</c:v>
                </c:pt>
                <c:pt idx="3">
                  <c:v>0.95942148991401222</c:v>
                </c:pt>
                <c:pt idx="4">
                  <c:v>0.99445334611198655</c:v>
                </c:pt>
                <c:pt idx="5">
                  <c:v>1.0206046337438566</c:v>
                </c:pt>
                <c:pt idx="6">
                  <c:v>0.83349649172996332</c:v>
                </c:pt>
                <c:pt idx="7">
                  <c:v>0.86454752772260879</c:v>
                </c:pt>
                <c:pt idx="8">
                  <c:v>0.99105819341904933</c:v>
                </c:pt>
                <c:pt idx="9">
                  <c:v>0.96672063068093528</c:v>
                </c:pt>
                <c:pt idx="10">
                  <c:v>0.87063250525873348</c:v>
                </c:pt>
                <c:pt idx="11">
                  <c:v>0.94606163325519121</c:v>
                </c:pt>
                <c:pt idx="12">
                  <c:v>0.93992527221978206</c:v>
                </c:pt>
                <c:pt idx="13">
                  <c:v>0.90625434008058081</c:v>
                </c:pt>
              </c:numCache>
            </c:numRef>
          </c:val>
          <c:smooth val="0"/>
          <c:extLst>
            <c:ext xmlns:c16="http://schemas.microsoft.com/office/drawing/2014/chart" uri="{C3380CC4-5D6E-409C-BE32-E72D297353CC}">
              <c16:uniqueId val="{00000001-88E7-4E03-B3F5-824E03E6200D}"/>
            </c:ext>
          </c:extLst>
        </c:ser>
        <c:ser>
          <c:idx val="2"/>
          <c:order val="2"/>
          <c:tx>
            <c:strRef>
              <c:f>'NE RES Emit'!$A$25</c:f>
              <c:strCache>
                <c:ptCount val="1"/>
                <c:pt idx="0">
                  <c:v>ME</c:v>
                </c:pt>
              </c:strCache>
            </c:strRef>
          </c:tx>
          <c:spPr>
            <a:ln w="28575" cap="rnd">
              <a:solidFill>
                <a:schemeClr val="accent3"/>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Emit'!$V$25:$AI$25</c:f>
              <c:numCache>
                <c:formatCode>0.00</c:formatCode>
                <c:ptCount val="14"/>
                <c:pt idx="0">
                  <c:v>1</c:v>
                </c:pt>
                <c:pt idx="1">
                  <c:v>1.0251185664921374</c:v>
                </c:pt>
                <c:pt idx="2">
                  <c:v>0.84612473011757516</c:v>
                </c:pt>
                <c:pt idx="3">
                  <c:v>0.90802561001457283</c:v>
                </c:pt>
                <c:pt idx="4">
                  <c:v>0.96702731157131827</c:v>
                </c:pt>
                <c:pt idx="5">
                  <c:v>1.1461929576450507</c:v>
                </c:pt>
                <c:pt idx="6">
                  <c:v>1.11451778537372</c:v>
                </c:pt>
                <c:pt idx="7">
                  <c:v>1.1258199463421539</c:v>
                </c:pt>
                <c:pt idx="8">
                  <c:v>1.1738482144265812</c:v>
                </c:pt>
                <c:pt idx="9">
                  <c:v>1.141469995503007</c:v>
                </c:pt>
                <c:pt idx="10">
                  <c:v>1.0787638533974007</c:v>
                </c:pt>
                <c:pt idx="11">
                  <c:v>1.001789862431655</c:v>
                </c:pt>
                <c:pt idx="12">
                  <c:v>0.99825810574699725</c:v>
                </c:pt>
                <c:pt idx="13">
                  <c:v>1.0566319363229513</c:v>
                </c:pt>
              </c:numCache>
            </c:numRef>
          </c:val>
          <c:smooth val="0"/>
          <c:extLst>
            <c:ext xmlns:c16="http://schemas.microsoft.com/office/drawing/2014/chart" uri="{C3380CC4-5D6E-409C-BE32-E72D297353CC}">
              <c16:uniqueId val="{00000002-88E7-4E03-B3F5-824E03E6200D}"/>
            </c:ext>
          </c:extLst>
        </c:ser>
        <c:ser>
          <c:idx val="3"/>
          <c:order val="3"/>
          <c:tx>
            <c:strRef>
              <c:f>'NE RES Emit'!$A$26</c:f>
              <c:strCache>
                <c:ptCount val="1"/>
                <c:pt idx="0">
                  <c:v>NH</c:v>
                </c:pt>
              </c:strCache>
            </c:strRef>
          </c:tx>
          <c:spPr>
            <a:ln w="28575" cap="rnd">
              <a:solidFill>
                <a:schemeClr val="accent4"/>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Emit'!$V$26:$AI$26</c:f>
              <c:numCache>
                <c:formatCode>0.00</c:formatCode>
                <c:ptCount val="14"/>
                <c:pt idx="0">
                  <c:v>1</c:v>
                </c:pt>
                <c:pt idx="1">
                  <c:v>1.0495256778442641</c:v>
                </c:pt>
                <c:pt idx="2">
                  <c:v>0.86022486140074361</c:v>
                </c:pt>
                <c:pt idx="3">
                  <c:v>1.0222442754096526</c:v>
                </c:pt>
                <c:pt idx="4">
                  <c:v>1.2135109278048821</c:v>
                </c:pt>
                <c:pt idx="5">
                  <c:v>1.2145881725032375</c:v>
                </c:pt>
                <c:pt idx="6">
                  <c:v>1.1302490729472634</c:v>
                </c:pt>
                <c:pt idx="7">
                  <c:v>1.2400767868516342</c:v>
                </c:pt>
                <c:pt idx="8">
                  <c:v>1.3493946120067217</c:v>
                </c:pt>
                <c:pt idx="9">
                  <c:v>1.3189598598266048</c:v>
                </c:pt>
                <c:pt idx="10">
                  <c:v>1.23275567990487</c:v>
                </c:pt>
                <c:pt idx="11">
                  <c:v>1.0881606600385367</c:v>
                </c:pt>
                <c:pt idx="12">
                  <c:v>1.1224523909129644</c:v>
                </c:pt>
                <c:pt idx="13">
                  <c:v>1.1222072932942602</c:v>
                </c:pt>
              </c:numCache>
            </c:numRef>
          </c:val>
          <c:smooth val="0"/>
          <c:extLst>
            <c:ext xmlns:c16="http://schemas.microsoft.com/office/drawing/2014/chart" uri="{C3380CC4-5D6E-409C-BE32-E72D297353CC}">
              <c16:uniqueId val="{00000003-88E7-4E03-B3F5-824E03E6200D}"/>
            </c:ext>
          </c:extLst>
        </c:ser>
        <c:ser>
          <c:idx val="4"/>
          <c:order val="4"/>
          <c:tx>
            <c:strRef>
              <c:f>'NE RES Emit'!$A$27</c:f>
              <c:strCache>
                <c:ptCount val="1"/>
                <c:pt idx="0">
                  <c:v>NJ</c:v>
                </c:pt>
              </c:strCache>
            </c:strRef>
          </c:tx>
          <c:spPr>
            <a:ln w="28575" cap="rnd">
              <a:solidFill>
                <a:schemeClr val="accent5"/>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Emit'!$V$27:$AI$27</c:f>
              <c:numCache>
                <c:formatCode>0.00</c:formatCode>
                <c:ptCount val="14"/>
                <c:pt idx="0">
                  <c:v>1</c:v>
                </c:pt>
                <c:pt idx="1">
                  <c:v>0.95448783971335827</c:v>
                </c:pt>
                <c:pt idx="2">
                  <c:v>0.85246832767004976</c:v>
                </c:pt>
                <c:pt idx="3">
                  <c:v>0.9899866828565318</c:v>
                </c:pt>
                <c:pt idx="4">
                  <c:v>1.0896910350807536</c:v>
                </c:pt>
                <c:pt idx="5">
                  <c:v>1.0448451611237441</c:v>
                </c:pt>
                <c:pt idx="6">
                  <c:v>0.91466612338692033</c:v>
                </c:pt>
                <c:pt idx="7">
                  <c:v>0.93848375285607255</c:v>
                </c:pt>
                <c:pt idx="8">
                  <c:v>1.0683888499947427</c:v>
                </c:pt>
                <c:pt idx="9">
                  <c:v>1.0326656127147884</c:v>
                </c:pt>
                <c:pt idx="10">
                  <c:v>0.9488311044575769</c:v>
                </c:pt>
                <c:pt idx="11">
                  <c:v>1.0035634461621519</c:v>
                </c:pt>
                <c:pt idx="12">
                  <c:v>1.0275008717449743</c:v>
                </c:pt>
                <c:pt idx="13">
                  <c:v>0.93558038255186249</c:v>
                </c:pt>
              </c:numCache>
            </c:numRef>
          </c:val>
          <c:smooth val="0"/>
          <c:extLst>
            <c:ext xmlns:c16="http://schemas.microsoft.com/office/drawing/2014/chart" uri="{C3380CC4-5D6E-409C-BE32-E72D297353CC}">
              <c16:uniqueId val="{00000004-88E7-4E03-B3F5-824E03E6200D}"/>
            </c:ext>
          </c:extLst>
        </c:ser>
        <c:ser>
          <c:idx val="5"/>
          <c:order val="5"/>
          <c:tx>
            <c:strRef>
              <c:f>'NE RES Emit'!$A$28</c:f>
              <c:strCache>
                <c:ptCount val="1"/>
                <c:pt idx="0">
                  <c:v>NY</c:v>
                </c:pt>
              </c:strCache>
            </c:strRef>
          </c:tx>
          <c:spPr>
            <a:ln w="28575" cap="rnd">
              <a:solidFill>
                <a:schemeClr val="accent6"/>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Emit'!$V$28:$AI$28</c:f>
              <c:numCache>
                <c:formatCode>0.00</c:formatCode>
                <c:ptCount val="14"/>
                <c:pt idx="0">
                  <c:v>1</c:v>
                </c:pt>
                <c:pt idx="1">
                  <c:v>0.97943080061686649</c:v>
                </c:pt>
                <c:pt idx="2">
                  <c:v>0.9534908360591956</c:v>
                </c:pt>
                <c:pt idx="3">
                  <c:v>1.0099029554431043</c:v>
                </c:pt>
                <c:pt idx="4">
                  <c:v>1.1169383698833362</c:v>
                </c:pt>
                <c:pt idx="5">
                  <c:v>1.1185061216996917</c:v>
                </c:pt>
                <c:pt idx="6">
                  <c:v>0.97324122456714224</c:v>
                </c:pt>
                <c:pt idx="7">
                  <c:v>0.99329267822255352</c:v>
                </c:pt>
                <c:pt idx="8">
                  <c:v>1.151965426839185</c:v>
                </c:pt>
                <c:pt idx="9">
                  <c:v>1.1310219175791927</c:v>
                </c:pt>
                <c:pt idx="10">
                  <c:v>0.99657373123842763</c:v>
                </c:pt>
                <c:pt idx="11">
                  <c:v>1.0670709199377353</c:v>
                </c:pt>
                <c:pt idx="12">
                  <c:v>1.0742717886211841</c:v>
                </c:pt>
                <c:pt idx="13">
                  <c:v>1.0078948149031022</c:v>
                </c:pt>
              </c:numCache>
            </c:numRef>
          </c:val>
          <c:smooth val="0"/>
          <c:extLst>
            <c:ext xmlns:c16="http://schemas.microsoft.com/office/drawing/2014/chart" uri="{C3380CC4-5D6E-409C-BE32-E72D297353CC}">
              <c16:uniqueId val="{00000005-88E7-4E03-B3F5-824E03E6200D}"/>
            </c:ext>
          </c:extLst>
        </c:ser>
        <c:ser>
          <c:idx val="6"/>
          <c:order val="6"/>
          <c:tx>
            <c:strRef>
              <c:f>'NE RES Emit'!$A$29</c:f>
              <c:strCache>
                <c:ptCount val="1"/>
                <c:pt idx="0">
                  <c:v>PA</c:v>
                </c:pt>
              </c:strCache>
            </c:strRef>
          </c:tx>
          <c:spPr>
            <a:ln w="28575" cap="rnd">
              <a:solidFill>
                <a:schemeClr val="accent1">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Emit'!$V$29:$AI$29</c:f>
              <c:numCache>
                <c:formatCode>0.00</c:formatCode>
                <c:ptCount val="14"/>
                <c:pt idx="0">
                  <c:v>1</c:v>
                </c:pt>
                <c:pt idx="1">
                  <c:v>0.96112554400733552</c:v>
                </c:pt>
                <c:pt idx="2">
                  <c:v>0.85089443899095196</c:v>
                </c:pt>
                <c:pt idx="3">
                  <c:v>0.98270342590102</c:v>
                </c:pt>
                <c:pt idx="4">
                  <c:v>1.0952944210644311</c:v>
                </c:pt>
                <c:pt idx="5">
                  <c:v>1.0199197912063727</c:v>
                </c:pt>
                <c:pt idx="6">
                  <c:v>0.91147175636686273</c:v>
                </c:pt>
                <c:pt idx="7">
                  <c:v>0.91379642257796312</c:v>
                </c:pt>
                <c:pt idx="8">
                  <c:v>1.0701538990444699</c:v>
                </c:pt>
                <c:pt idx="9">
                  <c:v>0.96484248556855634</c:v>
                </c:pt>
                <c:pt idx="10">
                  <c:v>0.8801035117068382</c:v>
                </c:pt>
                <c:pt idx="11">
                  <c:v>0.95221715020025566</c:v>
                </c:pt>
                <c:pt idx="12">
                  <c:v>0.99336744444504976</c:v>
                </c:pt>
                <c:pt idx="13">
                  <c:v>0.89070121283286596</c:v>
                </c:pt>
              </c:numCache>
            </c:numRef>
          </c:val>
          <c:smooth val="0"/>
          <c:extLst>
            <c:ext xmlns:c16="http://schemas.microsoft.com/office/drawing/2014/chart" uri="{C3380CC4-5D6E-409C-BE32-E72D297353CC}">
              <c16:uniqueId val="{00000006-88E7-4E03-B3F5-824E03E6200D}"/>
            </c:ext>
          </c:extLst>
        </c:ser>
        <c:ser>
          <c:idx val="7"/>
          <c:order val="7"/>
          <c:tx>
            <c:strRef>
              <c:f>'NE RES Emit'!$A$30</c:f>
              <c:strCache>
                <c:ptCount val="1"/>
                <c:pt idx="0">
                  <c:v>RI</c:v>
                </c:pt>
              </c:strCache>
            </c:strRef>
          </c:tx>
          <c:spPr>
            <a:ln w="28575" cap="rnd">
              <a:solidFill>
                <a:schemeClr val="accent2">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Emit'!$V$30:$AI$30</c:f>
              <c:numCache>
                <c:formatCode>0.00</c:formatCode>
                <c:ptCount val="14"/>
                <c:pt idx="0">
                  <c:v>1</c:v>
                </c:pt>
                <c:pt idx="1">
                  <c:v>0.95491855782426605</c:v>
                </c:pt>
                <c:pt idx="2">
                  <c:v>0.91972026789557226</c:v>
                </c:pt>
                <c:pt idx="3">
                  <c:v>1.0096663487993578</c:v>
                </c:pt>
                <c:pt idx="4">
                  <c:v>1.0421405218069568</c:v>
                </c:pt>
                <c:pt idx="5">
                  <c:v>1.0958328468994056</c:v>
                </c:pt>
                <c:pt idx="6">
                  <c:v>0.81811392760276225</c:v>
                </c:pt>
                <c:pt idx="7">
                  <c:v>0.83009369200694338</c:v>
                </c:pt>
                <c:pt idx="8">
                  <c:v>1.0345652629931852</c:v>
                </c:pt>
                <c:pt idx="9">
                  <c:v>0.92708268589256015</c:v>
                </c:pt>
                <c:pt idx="10">
                  <c:v>0.84919937443930249</c:v>
                </c:pt>
                <c:pt idx="11">
                  <c:v>0.95580322741396173</c:v>
                </c:pt>
                <c:pt idx="12">
                  <c:v>0.94227861655005207</c:v>
                </c:pt>
                <c:pt idx="13">
                  <c:v>0.9197972080725253</c:v>
                </c:pt>
              </c:numCache>
            </c:numRef>
          </c:val>
          <c:smooth val="0"/>
          <c:extLst>
            <c:ext xmlns:c16="http://schemas.microsoft.com/office/drawing/2014/chart" uri="{C3380CC4-5D6E-409C-BE32-E72D297353CC}">
              <c16:uniqueId val="{00000007-88E7-4E03-B3F5-824E03E6200D}"/>
            </c:ext>
          </c:extLst>
        </c:ser>
        <c:ser>
          <c:idx val="8"/>
          <c:order val="8"/>
          <c:tx>
            <c:strRef>
              <c:f>'NE RES Emit'!$A$31</c:f>
              <c:strCache>
                <c:ptCount val="1"/>
                <c:pt idx="0">
                  <c:v>VT</c:v>
                </c:pt>
              </c:strCache>
            </c:strRef>
          </c:tx>
          <c:spPr>
            <a:ln w="28575" cap="rnd">
              <a:solidFill>
                <a:schemeClr val="accent3">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RES Emit'!$V$31:$AI$31</c:f>
              <c:numCache>
                <c:formatCode>0.00</c:formatCode>
                <c:ptCount val="14"/>
                <c:pt idx="0">
                  <c:v>1</c:v>
                </c:pt>
                <c:pt idx="1">
                  <c:v>0.97553374887354849</c:v>
                </c:pt>
                <c:pt idx="2">
                  <c:v>0.84342007627820237</c:v>
                </c:pt>
                <c:pt idx="3">
                  <c:v>0.9703151210244555</c:v>
                </c:pt>
                <c:pt idx="4">
                  <c:v>1.060344709378445</c:v>
                </c:pt>
                <c:pt idx="5">
                  <c:v>1.085149177968465</c:v>
                </c:pt>
                <c:pt idx="6">
                  <c:v>1.00136913597848</c:v>
                </c:pt>
                <c:pt idx="7">
                  <c:v>1.0490935427004633</c:v>
                </c:pt>
                <c:pt idx="8">
                  <c:v>1.1196695975554001</c:v>
                </c:pt>
                <c:pt idx="9">
                  <c:v>1.1765634078719902</c:v>
                </c:pt>
                <c:pt idx="10">
                  <c:v>1.0754099091021128</c:v>
                </c:pt>
                <c:pt idx="11">
                  <c:v>1.027149075691431</c:v>
                </c:pt>
                <c:pt idx="12">
                  <c:v>1.0027275923170791</c:v>
                </c:pt>
                <c:pt idx="13">
                  <c:v>0.98345851710105836</c:v>
                </c:pt>
              </c:numCache>
            </c:numRef>
          </c:val>
          <c:smooth val="0"/>
          <c:extLst>
            <c:ext xmlns:c16="http://schemas.microsoft.com/office/drawing/2014/chart" uri="{C3380CC4-5D6E-409C-BE32-E72D297353CC}">
              <c16:uniqueId val="{00000008-88E7-4E03-B3F5-824E03E6200D}"/>
            </c:ext>
          </c:extLst>
        </c:ser>
        <c:dLbls>
          <c:showLegendKey val="0"/>
          <c:showVal val="0"/>
          <c:showCatName val="0"/>
          <c:showSerName val="0"/>
          <c:showPercent val="0"/>
          <c:showBubbleSize val="0"/>
        </c:dLbls>
        <c:marker val="1"/>
        <c:smooth val="0"/>
        <c:axId val="1508762223"/>
        <c:axId val="988888575"/>
      </c:lineChart>
      <c:catAx>
        <c:axId val="1508762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8888575"/>
        <c:crosses val="autoZero"/>
        <c:auto val="1"/>
        <c:lblAlgn val="ctr"/>
        <c:lblOffset val="100"/>
        <c:noMultiLvlLbl val="0"/>
      </c:catAx>
      <c:valAx>
        <c:axId val="9888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87622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 Line Fit  Plot</a:t>
            </a:r>
          </a:p>
        </c:rich>
      </c:tx>
      <c:overlay val="0"/>
    </c:title>
    <c:autoTitleDeleted val="0"/>
    <c:plotArea>
      <c:layout/>
      <c:scatterChart>
        <c:scatterStyle val="lineMarker"/>
        <c:varyColors val="0"/>
        <c:ser>
          <c:idx val="0"/>
          <c:order val="0"/>
          <c:spPr>
            <a:ln w="38100">
              <a:noFill/>
            </a:ln>
          </c:spPr>
          <c:xVal>
            <c:numRef>
              <c:f>'Linest Test'!$B$23:$B$35</c:f>
              <c:numCache>
                <c:formatCode>General</c:formatCode>
                <c:ptCount val="13"/>
                <c:pt idx="0">
                  <c:v>21</c:v>
                </c:pt>
                <c:pt idx="1">
                  <c:v>22</c:v>
                </c:pt>
                <c:pt idx="2">
                  <c:v>23</c:v>
                </c:pt>
                <c:pt idx="3">
                  <c:v>24</c:v>
                </c:pt>
                <c:pt idx="4">
                  <c:v>25</c:v>
                </c:pt>
                <c:pt idx="5">
                  <c:v>26</c:v>
                </c:pt>
                <c:pt idx="6">
                  <c:v>27</c:v>
                </c:pt>
                <c:pt idx="7">
                  <c:v>28</c:v>
                </c:pt>
                <c:pt idx="8">
                  <c:v>29</c:v>
                </c:pt>
                <c:pt idx="9">
                  <c:v>30</c:v>
                </c:pt>
                <c:pt idx="10">
                  <c:v>31</c:v>
                </c:pt>
                <c:pt idx="11">
                  <c:v>32</c:v>
                </c:pt>
                <c:pt idx="12">
                  <c:v>33</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DCCE-49CF-BE07-51A77936F813}"/>
            </c:ext>
          </c:extLst>
        </c:ser>
        <c:ser>
          <c:idx val="1"/>
          <c:order val="1"/>
          <c:tx>
            <c:v>Predicted 226882</c:v>
          </c:tx>
          <c:spPr>
            <a:ln w="38100">
              <a:noFill/>
            </a:ln>
          </c:spPr>
          <c:xVal>
            <c:numRef>
              <c:f>'Linest Test'!$B$23:$B$35</c:f>
              <c:numCache>
                <c:formatCode>General</c:formatCode>
                <c:ptCount val="13"/>
                <c:pt idx="0">
                  <c:v>21</c:v>
                </c:pt>
                <c:pt idx="1">
                  <c:v>22</c:v>
                </c:pt>
                <c:pt idx="2">
                  <c:v>23</c:v>
                </c:pt>
                <c:pt idx="3">
                  <c:v>24</c:v>
                </c:pt>
                <c:pt idx="4">
                  <c:v>25</c:v>
                </c:pt>
                <c:pt idx="5">
                  <c:v>26</c:v>
                </c:pt>
                <c:pt idx="6">
                  <c:v>27</c:v>
                </c:pt>
                <c:pt idx="7">
                  <c:v>28</c:v>
                </c:pt>
                <c:pt idx="8">
                  <c:v>29</c:v>
                </c:pt>
                <c:pt idx="9">
                  <c:v>30</c:v>
                </c:pt>
                <c:pt idx="10">
                  <c:v>31</c:v>
                </c:pt>
                <c:pt idx="11">
                  <c:v>32</c:v>
                </c:pt>
                <c:pt idx="12">
                  <c:v>33</c:v>
                </c:pt>
              </c:numCache>
            </c:numRef>
          </c:xVal>
          <c:yVal>
            <c:numRef>
              <c:f>'Linest Test'!$Z$28:$Z$40</c:f>
              <c:numCache>
                <c:formatCode>General</c:formatCode>
                <c:ptCount val="13"/>
                <c:pt idx="0">
                  <c:v>224498.27073235973</c:v>
                </c:pt>
                <c:pt idx="1">
                  <c:v>208444.85028069746</c:v>
                </c:pt>
                <c:pt idx="2">
                  <c:v>211700.97893027225</c:v>
                </c:pt>
                <c:pt idx="3">
                  <c:v>197900.74300359748</c:v>
                </c:pt>
                <c:pt idx="4">
                  <c:v>218915.84215656851</c:v>
                </c:pt>
                <c:pt idx="5">
                  <c:v>224376.69974994834</c:v>
                </c:pt>
                <c:pt idx="6">
                  <c:v>221115.55273047322</c:v>
                </c:pt>
                <c:pt idx="7">
                  <c:v>207509.13912852854</c:v>
                </c:pt>
                <c:pt idx="8">
                  <c:v>209456.96708617511</c:v>
                </c:pt>
                <c:pt idx="9">
                  <c:v>215765.79735024914</c:v>
                </c:pt>
                <c:pt idx="10">
                  <c:v>220112.17657643085</c:v>
                </c:pt>
                <c:pt idx="11">
                  <c:v>202798.91101402283</c:v>
                </c:pt>
                <c:pt idx="12">
                  <c:v>202202.82095958671</c:v>
                </c:pt>
              </c:numCache>
            </c:numRef>
          </c:yVal>
          <c:smooth val="0"/>
          <c:extLst>
            <c:ext xmlns:c16="http://schemas.microsoft.com/office/drawing/2014/chart" uri="{C3380CC4-5D6E-409C-BE32-E72D297353CC}">
              <c16:uniqueId val="{00000002-DCCE-49CF-BE07-51A77936F813}"/>
            </c:ext>
          </c:extLst>
        </c:ser>
        <c:dLbls>
          <c:showLegendKey val="0"/>
          <c:showVal val="0"/>
          <c:showCatName val="0"/>
          <c:showSerName val="0"/>
          <c:showPercent val="0"/>
          <c:showBubbleSize val="0"/>
        </c:dLbls>
        <c:axId val="1508763183"/>
        <c:axId val="1508762223"/>
      </c:scatterChart>
      <c:valAx>
        <c:axId val="1508763183"/>
        <c:scaling>
          <c:orientation val="minMax"/>
        </c:scaling>
        <c:delete val="0"/>
        <c:axPos val="b"/>
        <c:title>
          <c:tx>
            <c:rich>
              <a:bodyPr/>
              <a:lstStyle/>
              <a:p>
                <a:pPr>
                  <a:defRPr/>
                </a:pPr>
                <a:r>
                  <a:rPr lang="en-US"/>
                  <a:t>20</a:t>
                </a:r>
              </a:p>
            </c:rich>
          </c:tx>
          <c:overlay val="0"/>
        </c:title>
        <c:numFmt formatCode="General" sourceLinked="1"/>
        <c:majorTickMark val="out"/>
        <c:minorTickMark val="none"/>
        <c:tickLblPos val="nextTo"/>
        <c:crossAx val="1508762223"/>
        <c:crosses val="autoZero"/>
        <c:crossBetween val="midCat"/>
      </c:valAx>
      <c:valAx>
        <c:axId val="1508762223"/>
        <c:scaling>
          <c:orientation val="minMax"/>
        </c:scaling>
        <c:delete val="0"/>
        <c:axPos val="l"/>
        <c:title>
          <c:tx>
            <c:rich>
              <a:bodyPr/>
              <a:lstStyle/>
              <a:p>
                <a:pPr>
                  <a:defRPr/>
                </a:pPr>
                <a:r>
                  <a:rPr lang="en-US"/>
                  <a:t>226882</a:t>
                </a:r>
              </a:p>
            </c:rich>
          </c:tx>
          <c:overlay val="0"/>
        </c:title>
        <c:numFmt formatCode="General" sourceLinked="1"/>
        <c:majorTickMark val="out"/>
        <c:minorTickMark val="none"/>
        <c:tickLblPos val="nextTo"/>
        <c:crossAx val="1508763183"/>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6380 Line Fit  Plot</a:t>
            </a:r>
          </a:p>
        </c:rich>
      </c:tx>
      <c:overlay val="0"/>
    </c:title>
    <c:autoTitleDeleted val="0"/>
    <c:plotArea>
      <c:layout/>
      <c:scatterChart>
        <c:scatterStyle val="lineMarker"/>
        <c:varyColors val="0"/>
        <c:ser>
          <c:idx val="0"/>
          <c:order val="0"/>
          <c:spPr>
            <a:ln w="38100">
              <a:noFill/>
            </a:ln>
          </c:spPr>
          <c:xVal>
            <c:numRef>
              <c:f>'Linest Test'!$C$23:$C$35</c:f>
              <c:numCache>
                <c:formatCode>General</c:formatCode>
                <c:ptCount val="13"/>
                <c:pt idx="0">
                  <c:v>5722</c:v>
                </c:pt>
                <c:pt idx="1">
                  <c:v>5861</c:v>
                </c:pt>
                <c:pt idx="2">
                  <c:v>5296</c:v>
                </c:pt>
                <c:pt idx="3">
                  <c:v>6168</c:v>
                </c:pt>
                <c:pt idx="4">
                  <c:v>6398</c:v>
                </c:pt>
                <c:pt idx="5">
                  <c:v>6268</c:v>
                </c:pt>
                <c:pt idx="6">
                  <c:v>5711</c:v>
                </c:pt>
                <c:pt idx="7">
                  <c:v>5796</c:v>
                </c:pt>
                <c:pt idx="8">
                  <c:v>6061</c:v>
                </c:pt>
                <c:pt idx="9">
                  <c:v>6245</c:v>
                </c:pt>
                <c:pt idx="10">
                  <c:v>5535</c:v>
                </c:pt>
                <c:pt idx="11">
                  <c:v>5515</c:v>
                </c:pt>
                <c:pt idx="12">
                  <c:v>5708</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FD7A-4CCE-9FD3-B7C91C25B3BF}"/>
            </c:ext>
          </c:extLst>
        </c:ser>
        <c:ser>
          <c:idx val="1"/>
          <c:order val="1"/>
          <c:tx>
            <c:v>Predicted 226882</c:v>
          </c:tx>
          <c:spPr>
            <a:ln w="38100">
              <a:noFill/>
            </a:ln>
          </c:spPr>
          <c:xVal>
            <c:numRef>
              <c:f>'Linest Test'!$C$23:$C$35</c:f>
              <c:numCache>
                <c:formatCode>General</c:formatCode>
                <c:ptCount val="13"/>
                <c:pt idx="0">
                  <c:v>5722</c:v>
                </c:pt>
                <c:pt idx="1">
                  <c:v>5861</c:v>
                </c:pt>
                <c:pt idx="2">
                  <c:v>5296</c:v>
                </c:pt>
                <c:pt idx="3">
                  <c:v>6168</c:v>
                </c:pt>
                <c:pt idx="4">
                  <c:v>6398</c:v>
                </c:pt>
                <c:pt idx="5">
                  <c:v>6268</c:v>
                </c:pt>
                <c:pt idx="6">
                  <c:v>5711</c:v>
                </c:pt>
                <c:pt idx="7">
                  <c:v>5796</c:v>
                </c:pt>
                <c:pt idx="8">
                  <c:v>6061</c:v>
                </c:pt>
                <c:pt idx="9">
                  <c:v>6245</c:v>
                </c:pt>
                <c:pt idx="10">
                  <c:v>5535</c:v>
                </c:pt>
                <c:pt idx="11">
                  <c:v>5515</c:v>
                </c:pt>
                <c:pt idx="12">
                  <c:v>5708</c:v>
                </c:pt>
              </c:numCache>
            </c:numRef>
          </c:xVal>
          <c:yVal>
            <c:numRef>
              <c:f>'Linest Test'!$Z$28:$Z$40</c:f>
              <c:numCache>
                <c:formatCode>General</c:formatCode>
                <c:ptCount val="13"/>
                <c:pt idx="0">
                  <c:v>224498.27073235973</c:v>
                </c:pt>
                <c:pt idx="1">
                  <c:v>208444.85028069746</c:v>
                </c:pt>
                <c:pt idx="2">
                  <c:v>211700.97893027225</c:v>
                </c:pt>
                <c:pt idx="3">
                  <c:v>197900.74300359748</c:v>
                </c:pt>
                <c:pt idx="4">
                  <c:v>218915.84215656851</c:v>
                </c:pt>
                <c:pt idx="5">
                  <c:v>224376.69974994834</c:v>
                </c:pt>
                <c:pt idx="6">
                  <c:v>221115.55273047322</c:v>
                </c:pt>
                <c:pt idx="7">
                  <c:v>207509.13912852854</c:v>
                </c:pt>
                <c:pt idx="8">
                  <c:v>209456.96708617511</c:v>
                </c:pt>
                <c:pt idx="9">
                  <c:v>215765.79735024914</c:v>
                </c:pt>
                <c:pt idx="10">
                  <c:v>220112.17657643085</c:v>
                </c:pt>
                <c:pt idx="11">
                  <c:v>202798.91101402283</c:v>
                </c:pt>
                <c:pt idx="12">
                  <c:v>202202.82095958671</c:v>
                </c:pt>
              </c:numCache>
            </c:numRef>
          </c:yVal>
          <c:smooth val="0"/>
          <c:extLst>
            <c:ext xmlns:c16="http://schemas.microsoft.com/office/drawing/2014/chart" uri="{C3380CC4-5D6E-409C-BE32-E72D297353CC}">
              <c16:uniqueId val="{00000002-FD7A-4CCE-9FD3-B7C91C25B3BF}"/>
            </c:ext>
          </c:extLst>
        </c:ser>
        <c:dLbls>
          <c:showLegendKey val="0"/>
          <c:showVal val="0"/>
          <c:showCatName val="0"/>
          <c:showSerName val="0"/>
          <c:showPercent val="0"/>
          <c:showBubbleSize val="0"/>
        </c:dLbls>
        <c:axId val="749456895"/>
        <c:axId val="749455455"/>
      </c:scatterChart>
      <c:valAx>
        <c:axId val="749456895"/>
        <c:scaling>
          <c:orientation val="minMax"/>
        </c:scaling>
        <c:delete val="0"/>
        <c:axPos val="b"/>
        <c:title>
          <c:tx>
            <c:rich>
              <a:bodyPr/>
              <a:lstStyle/>
              <a:p>
                <a:pPr>
                  <a:defRPr/>
                </a:pPr>
                <a:r>
                  <a:rPr lang="en-US"/>
                  <a:t>6380</a:t>
                </a:r>
              </a:p>
            </c:rich>
          </c:tx>
          <c:overlay val="0"/>
        </c:title>
        <c:numFmt formatCode="General" sourceLinked="1"/>
        <c:majorTickMark val="out"/>
        <c:minorTickMark val="none"/>
        <c:tickLblPos val="nextTo"/>
        <c:crossAx val="749455455"/>
        <c:crosses val="autoZero"/>
        <c:crossBetween val="midCat"/>
      </c:valAx>
      <c:valAx>
        <c:axId val="749455455"/>
        <c:scaling>
          <c:orientation val="minMax"/>
        </c:scaling>
        <c:delete val="0"/>
        <c:axPos val="l"/>
        <c:title>
          <c:tx>
            <c:rich>
              <a:bodyPr/>
              <a:lstStyle/>
              <a:p>
                <a:pPr>
                  <a:defRPr/>
                </a:pPr>
                <a:r>
                  <a:rPr lang="en-US"/>
                  <a:t>226882</a:t>
                </a:r>
              </a:p>
            </c:rich>
          </c:tx>
          <c:overlay val="0"/>
        </c:title>
        <c:numFmt formatCode="General" sourceLinked="1"/>
        <c:majorTickMark val="out"/>
        <c:minorTickMark val="none"/>
        <c:tickLblPos val="nextTo"/>
        <c:crossAx val="749456895"/>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Normal Probability Plot</a:t>
            </a:r>
          </a:p>
        </c:rich>
      </c:tx>
      <c:overlay val="0"/>
    </c:title>
    <c:autoTitleDeleted val="0"/>
    <c:plotArea>
      <c:layout/>
      <c:scatterChart>
        <c:scatterStyle val="lineMarker"/>
        <c:varyColors val="0"/>
        <c:ser>
          <c:idx val="0"/>
          <c:order val="0"/>
          <c:spPr>
            <a:ln w="38100">
              <a:noFill/>
            </a:ln>
          </c:spPr>
          <c:xVal>
            <c:numRef>
              <c:f>'Linest Test'!$AD$28:$AD$40</c:f>
              <c:numCache>
                <c:formatCode>General</c:formatCode>
                <c:ptCount val="13"/>
                <c:pt idx="0">
                  <c:v>3.5714285714285716</c:v>
                </c:pt>
                <c:pt idx="1">
                  <c:v>10.714285714285715</c:v>
                </c:pt>
                <c:pt idx="2">
                  <c:v>17.857142857142858</c:v>
                </c:pt>
                <c:pt idx="3">
                  <c:v>25.000000000000004</c:v>
                </c:pt>
                <c:pt idx="4">
                  <c:v>32.142857142857146</c:v>
                </c:pt>
                <c:pt idx="5">
                  <c:v>39.285714285714285</c:v>
                </c:pt>
                <c:pt idx="6">
                  <c:v>46.428571428571431</c:v>
                </c:pt>
                <c:pt idx="7">
                  <c:v>53.571428571428569</c:v>
                </c:pt>
                <c:pt idx="8">
                  <c:v>60.714285714285715</c:v>
                </c:pt>
                <c:pt idx="9">
                  <c:v>67.857142857142861</c:v>
                </c:pt>
                <c:pt idx="10">
                  <c:v>75</c:v>
                </c:pt>
                <c:pt idx="11">
                  <c:v>82.142857142857139</c:v>
                </c:pt>
                <c:pt idx="12">
                  <c:v>89.285714285714292</c:v>
                </c:pt>
              </c:numCache>
            </c:numRef>
          </c:xVal>
          <c:yVal>
            <c:numRef>
              <c:f>'Linest Test'!$AE$28:$AE$40</c:f>
              <c:numCache>
                <c:formatCode>General</c:formatCode>
                <c:ptCount val="13"/>
                <c:pt idx="0">
                  <c:v>188154</c:v>
                </c:pt>
                <c:pt idx="1">
                  <c:v>194115</c:v>
                </c:pt>
                <c:pt idx="2">
                  <c:v>201014</c:v>
                </c:pt>
                <c:pt idx="3">
                  <c:v>202243</c:v>
                </c:pt>
                <c:pt idx="4">
                  <c:v>204019</c:v>
                </c:pt>
                <c:pt idx="5">
                  <c:v>206543</c:v>
                </c:pt>
                <c:pt idx="6">
                  <c:v>214397</c:v>
                </c:pt>
                <c:pt idx="7">
                  <c:v>219982</c:v>
                </c:pt>
                <c:pt idx="8">
                  <c:v>221127</c:v>
                </c:pt>
                <c:pt idx="9">
                  <c:v>221732</c:v>
                </c:pt>
                <c:pt idx="10">
                  <c:v>222560</c:v>
                </c:pt>
                <c:pt idx="11">
                  <c:v>222912</c:v>
                </c:pt>
                <c:pt idx="12">
                  <c:v>225886</c:v>
                </c:pt>
              </c:numCache>
            </c:numRef>
          </c:yVal>
          <c:smooth val="0"/>
          <c:extLst>
            <c:ext xmlns:c16="http://schemas.microsoft.com/office/drawing/2014/chart" uri="{C3380CC4-5D6E-409C-BE32-E72D297353CC}">
              <c16:uniqueId val="{00000001-42A0-466E-827A-4B95A0AFF08E}"/>
            </c:ext>
          </c:extLst>
        </c:ser>
        <c:dLbls>
          <c:showLegendKey val="0"/>
          <c:showVal val="0"/>
          <c:showCatName val="0"/>
          <c:showSerName val="0"/>
          <c:showPercent val="0"/>
          <c:showBubbleSize val="0"/>
        </c:dLbls>
        <c:axId val="1509916751"/>
        <c:axId val="368708063"/>
      </c:scatterChart>
      <c:valAx>
        <c:axId val="1509916751"/>
        <c:scaling>
          <c:orientation val="minMax"/>
        </c:scaling>
        <c:delete val="0"/>
        <c:axPos val="b"/>
        <c:title>
          <c:tx>
            <c:rich>
              <a:bodyPr/>
              <a:lstStyle/>
              <a:p>
                <a:pPr>
                  <a:defRPr/>
                </a:pPr>
                <a:r>
                  <a:rPr lang="en-US"/>
                  <a:t>Sample Percentile</a:t>
                </a:r>
              </a:p>
            </c:rich>
          </c:tx>
          <c:overlay val="0"/>
        </c:title>
        <c:numFmt formatCode="General" sourceLinked="1"/>
        <c:majorTickMark val="out"/>
        <c:minorTickMark val="none"/>
        <c:tickLblPos val="nextTo"/>
        <c:crossAx val="368708063"/>
        <c:crosses val="autoZero"/>
        <c:crossBetween val="midCat"/>
      </c:valAx>
      <c:valAx>
        <c:axId val="368708063"/>
        <c:scaling>
          <c:orientation val="minMax"/>
        </c:scaling>
        <c:delete val="0"/>
        <c:axPos val="l"/>
        <c:title>
          <c:tx>
            <c:rich>
              <a:bodyPr/>
              <a:lstStyle/>
              <a:p>
                <a:pPr>
                  <a:defRPr/>
                </a:pPr>
                <a:r>
                  <a:rPr lang="en-US"/>
                  <a:t>226882</a:t>
                </a:r>
              </a:p>
            </c:rich>
          </c:tx>
          <c:overlay val="0"/>
        </c:title>
        <c:numFmt formatCode="General" sourceLinked="1"/>
        <c:majorTickMark val="out"/>
        <c:minorTickMark val="none"/>
        <c:tickLblPos val="nextTo"/>
        <c:crossAx val="1509916751"/>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X Variable 1  Residual Plot</a:t>
            </a:r>
          </a:p>
        </c:rich>
      </c:tx>
      <c:overlay val="0"/>
    </c:title>
    <c:autoTitleDeleted val="0"/>
    <c:plotArea>
      <c:layout/>
      <c:scatterChart>
        <c:scatterStyle val="lineMarker"/>
        <c:varyColors val="0"/>
        <c:ser>
          <c:idx val="0"/>
          <c:order val="0"/>
          <c:spPr>
            <a:ln w="38100">
              <a:noFill/>
            </a:ln>
          </c:spPr>
          <c:xVal>
            <c:numRef>
              <c:f>'Linest Test'!$B$22:$B$35</c:f>
              <c:numCache>
                <c:formatCode>General</c:formatCode>
                <c:ptCount val="14"/>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numCache>
            </c:numRef>
          </c:xVal>
          <c:yVal>
            <c:numRef>
              <c:f>'Linest Test'!$AA$28:$AA$41</c:f>
              <c:numCache>
                <c:formatCode>General</c:formatCode>
                <c:ptCount val="14"/>
                <c:pt idx="0">
                  <c:v>2383.7292676402722</c:v>
                </c:pt>
                <c:pt idx="1">
                  <c:v>12682.149719302543</c:v>
                </c:pt>
                <c:pt idx="2">
                  <c:v>11211.021069727751</c:v>
                </c:pt>
                <c:pt idx="3">
                  <c:v>-3785.743003597483</c:v>
                </c:pt>
                <c:pt idx="4">
                  <c:v>-16672.842156568513</c:v>
                </c:pt>
                <c:pt idx="5">
                  <c:v>-1816.6997499483405</c:v>
                </c:pt>
                <c:pt idx="6">
                  <c:v>616.44726952677593</c:v>
                </c:pt>
                <c:pt idx="7">
                  <c:v>-19355.139128528535</c:v>
                </c:pt>
                <c:pt idx="8">
                  <c:v>-5437.9670861751074</c:v>
                </c:pt>
                <c:pt idx="9">
                  <c:v>4216.2026497508632</c:v>
                </c:pt>
                <c:pt idx="10">
                  <c:v>5773.8234235691489</c:v>
                </c:pt>
                <c:pt idx="11">
                  <c:v>-1784.9110140228295</c:v>
                </c:pt>
                <c:pt idx="12">
                  <c:v>4340.1790404132917</c:v>
                </c:pt>
                <c:pt idx="13">
                  <c:v>7629.7496989102219</c:v>
                </c:pt>
              </c:numCache>
            </c:numRef>
          </c:yVal>
          <c:smooth val="0"/>
          <c:extLst>
            <c:ext xmlns:c16="http://schemas.microsoft.com/office/drawing/2014/chart" uri="{C3380CC4-5D6E-409C-BE32-E72D297353CC}">
              <c16:uniqueId val="{00000001-8D91-4057-BAF5-1EEB121CC828}"/>
            </c:ext>
          </c:extLst>
        </c:ser>
        <c:dLbls>
          <c:showLegendKey val="0"/>
          <c:showVal val="0"/>
          <c:showCatName val="0"/>
          <c:showSerName val="0"/>
          <c:showPercent val="0"/>
          <c:showBubbleSize val="0"/>
        </c:dLbls>
        <c:axId val="454259423"/>
        <c:axId val="454261823"/>
      </c:scatterChart>
      <c:valAx>
        <c:axId val="454259423"/>
        <c:scaling>
          <c:orientation val="minMax"/>
        </c:scaling>
        <c:delete val="0"/>
        <c:axPos val="b"/>
        <c:title>
          <c:tx>
            <c:rich>
              <a:bodyPr/>
              <a:lstStyle/>
              <a:p>
                <a:pPr>
                  <a:defRPr/>
                </a:pPr>
                <a:r>
                  <a:rPr lang="en-US"/>
                  <a:t>X Variable 1</a:t>
                </a:r>
              </a:p>
            </c:rich>
          </c:tx>
          <c:overlay val="0"/>
        </c:title>
        <c:numFmt formatCode="General" sourceLinked="1"/>
        <c:majorTickMark val="out"/>
        <c:minorTickMark val="none"/>
        <c:tickLblPos val="nextTo"/>
        <c:crossAx val="454261823"/>
        <c:crosses val="autoZero"/>
        <c:crossBetween val="midCat"/>
      </c:valAx>
      <c:valAx>
        <c:axId val="454261823"/>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454259423"/>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X Variable 2  Residual Plot</a:t>
            </a:r>
          </a:p>
        </c:rich>
      </c:tx>
      <c:overlay val="0"/>
    </c:title>
    <c:autoTitleDeleted val="0"/>
    <c:plotArea>
      <c:layout/>
      <c:scatterChart>
        <c:scatterStyle val="lineMarker"/>
        <c:varyColors val="0"/>
        <c:ser>
          <c:idx val="0"/>
          <c:order val="0"/>
          <c:spPr>
            <a:ln w="38100">
              <a:noFill/>
            </a:ln>
          </c:spPr>
          <c:xVal>
            <c:numRef>
              <c:f>'Linest Test'!$C$22:$C$35</c:f>
              <c:numCache>
                <c:formatCode>General</c:formatCode>
                <c:ptCount val="14"/>
                <c:pt idx="0">
                  <c:v>6380</c:v>
                </c:pt>
                <c:pt idx="1">
                  <c:v>5722</c:v>
                </c:pt>
                <c:pt idx="2">
                  <c:v>5861</c:v>
                </c:pt>
                <c:pt idx="3">
                  <c:v>5296</c:v>
                </c:pt>
                <c:pt idx="4">
                  <c:v>6168</c:v>
                </c:pt>
                <c:pt idx="5">
                  <c:v>6398</c:v>
                </c:pt>
                <c:pt idx="6">
                  <c:v>6268</c:v>
                </c:pt>
                <c:pt idx="7">
                  <c:v>5711</c:v>
                </c:pt>
                <c:pt idx="8">
                  <c:v>5796</c:v>
                </c:pt>
                <c:pt idx="9">
                  <c:v>6061</c:v>
                </c:pt>
                <c:pt idx="10">
                  <c:v>6245</c:v>
                </c:pt>
                <c:pt idx="11">
                  <c:v>5535</c:v>
                </c:pt>
                <c:pt idx="12">
                  <c:v>5515</c:v>
                </c:pt>
                <c:pt idx="13">
                  <c:v>5708</c:v>
                </c:pt>
              </c:numCache>
            </c:numRef>
          </c:xVal>
          <c:yVal>
            <c:numRef>
              <c:f>'Linest Test'!$AA$28:$AA$41</c:f>
              <c:numCache>
                <c:formatCode>General</c:formatCode>
                <c:ptCount val="14"/>
                <c:pt idx="0">
                  <c:v>2383.7292676402722</c:v>
                </c:pt>
                <c:pt idx="1">
                  <c:v>12682.149719302543</c:v>
                </c:pt>
                <c:pt idx="2">
                  <c:v>11211.021069727751</c:v>
                </c:pt>
                <c:pt idx="3">
                  <c:v>-3785.743003597483</c:v>
                </c:pt>
                <c:pt idx="4">
                  <c:v>-16672.842156568513</c:v>
                </c:pt>
                <c:pt idx="5">
                  <c:v>-1816.6997499483405</c:v>
                </c:pt>
                <c:pt idx="6">
                  <c:v>616.44726952677593</c:v>
                </c:pt>
                <c:pt idx="7">
                  <c:v>-19355.139128528535</c:v>
                </c:pt>
                <c:pt idx="8">
                  <c:v>-5437.9670861751074</c:v>
                </c:pt>
                <c:pt idx="9">
                  <c:v>4216.2026497508632</c:v>
                </c:pt>
                <c:pt idx="10">
                  <c:v>5773.8234235691489</c:v>
                </c:pt>
                <c:pt idx="11">
                  <c:v>-1784.9110140228295</c:v>
                </c:pt>
                <c:pt idx="12">
                  <c:v>4340.1790404132917</c:v>
                </c:pt>
                <c:pt idx="13">
                  <c:v>7629.7496989102219</c:v>
                </c:pt>
              </c:numCache>
            </c:numRef>
          </c:yVal>
          <c:smooth val="0"/>
          <c:extLst>
            <c:ext xmlns:c16="http://schemas.microsoft.com/office/drawing/2014/chart" uri="{C3380CC4-5D6E-409C-BE32-E72D297353CC}">
              <c16:uniqueId val="{00000001-42C7-4C3C-B9A3-CA2F4BF051B3}"/>
            </c:ext>
          </c:extLst>
        </c:ser>
        <c:dLbls>
          <c:showLegendKey val="0"/>
          <c:showVal val="0"/>
          <c:showCatName val="0"/>
          <c:showSerName val="0"/>
          <c:showPercent val="0"/>
          <c:showBubbleSize val="0"/>
        </c:dLbls>
        <c:axId val="223081055"/>
        <c:axId val="223081535"/>
      </c:scatterChart>
      <c:valAx>
        <c:axId val="223081055"/>
        <c:scaling>
          <c:orientation val="minMax"/>
        </c:scaling>
        <c:delete val="0"/>
        <c:axPos val="b"/>
        <c:title>
          <c:tx>
            <c:rich>
              <a:bodyPr/>
              <a:lstStyle/>
              <a:p>
                <a:pPr>
                  <a:defRPr/>
                </a:pPr>
                <a:r>
                  <a:rPr lang="en-US"/>
                  <a:t>X Variable 2</a:t>
                </a:r>
              </a:p>
            </c:rich>
          </c:tx>
          <c:overlay val="0"/>
        </c:title>
        <c:numFmt formatCode="General" sourceLinked="1"/>
        <c:majorTickMark val="out"/>
        <c:minorTickMark val="none"/>
        <c:tickLblPos val="nextTo"/>
        <c:crossAx val="223081535"/>
        <c:crosses val="autoZero"/>
        <c:crossBetween val="midCat"/>
      </c:valAx>
      <c:valAx>
        <c:axId val="223081535"/>
        <c:scaling>
          <c:orientation val="minMax"/>
        </c:scaling>
        <c:delete val="0"/>
        <c:axPos val="l"/>
        <c:title>
          <c:tx>
            <c:rich>
              <a:bodyPr/>
              <a:lstStyle/>
              <a:p>
                <a:pPr>
                  <a:defRPr/>
                </a:pPr>
                <a:r>
                  <a:rPr lang="en-US"/>
                  <a:t>Residuals</a:t>
                </a:r>
              </a:p>
            </c:rich>
          </c:tx>
          <c:overlay val="0"/>
        </c:title>
        <c:numFmt formatCode="General" sourceLinked="1"/>
        <c:majorTickMark val="out"/>
        <c:minorTickMark val="none"/>
        <c:tickLblPos val="nextTo"/>
        <c:crossAx val="223081055"/>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X Variable 1 Line Fit  Plot</a:t>
            </a:r>
          </a:p>
        </c:rich>
      </c:tx>
      <c:overlay val="0"/>
    </c:title>
    <c:autoTitleDeleted val="0"/>
    <c:plotArea>
      <c:layout/>
      <c:scatterChart>
        <c:scatterStyle val="lineMarker"/>
        <c:varyColors val="0"/>
        <c:ser>
          <c:idx val="0"/>
          <c:order val="0"/>
          <c:tx>
            <c:v>Y</c:v>
          </c:tx>
          <c:spPr>
            <a:ln w="38100">
              <a:noFill/>
            </a:ln>
          </c:spPr>
          <c:xVal>
            <c:numRef>
              <c:f>'Linest Test'!$B$22:$B$35</c:f>
              <c:numCache>
                <c:formatCode>General</c:formatCode>
                <c:ptCount val="14"/>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DC9A-46EE-B271-BF28E69C1D24}"/>
            </c:ext>
          </c:extLst>
        </c:ser>
        <c:ser>
          <c:idx val="1"/>
          <c:order val="1"/>
          <c:tx>
            <c:v>Predicted Y</c:v>
          </c:tx>
          <c:spPr>
            <a:ln w="38100">
              <a:noFill/>
            </a:ln>
          </c:spPr>
          <c:xVal>
            <c:numRef>
              <c:f>'Linest Test'!$B$22:$B$35</c:f>
              <c:numCache>
                <c:formatCode>General</c:formatCode>
                <c:ptCount val="14"/>
                <c:pt idx="0">
                  <c:v>20</c:v>
                </c:pt>
                <c:pt idx="1">
                  <c:v>21</c:v>
                </c:pt>
                <c:pt idx="2">
                  <c:v>22</c:v>
                </c:pt>
                <c:pt idx="3">
                  <c:v>23</c:v>
                </c:pt>
                <c:pt idx="4">
                  <c:v>24</c:v>
                </c:pt>
                <c:pt idx="5">
                  <c:v>25</c:v>
                </c:pt>
                <c:pt idx="6">
                  <c:v>26</c:v>
                </c:pt>
                <c:pt idx="7">
                  <c:v>27</c:v>
                </c:pt>
                <c:pt idx="8">
                  <c:v>28</c:v>
                </c:pt>
                <c:pt idx="9">
                  <c:v>29</c:v>
                </c:pt>
                <c:pt idx="10">
                  <c:v>30</c:v>
                </c:pt>
                <c:pt idx="11">
                  <c:v>31</c:v>
                </c:pt>
                <c:pt idx="12">
                  <c:v>32</c:v>
                </c:pt>
                <c:pt idx="13">
                  <c:v>33</c:v>
                </c:pt>
              </c:numCache>
            </c:numRef>
          </c:xVal>
          <c:yVal>
            <c:numRef>
              <c:f>'Linest Test'!$Z$28:$Z$41</c:f>
              <c:numCache>
                <c:formatCode>General</c:formatCode>
                <c:ptCount val="14"/>
                <c:pt idx="0">
                  <c:v>224498.27073235973</c:v>
                </c:pt>
                <c:pt idx="1">
                  <c:v>208444.85028069746</c:v>
                </c:pt>
                <c:pt idx="2">
                  <c:v>211700.97893027225</c:v>
                </c:pt>
                <c:pt idx="3">
                  <c:v>197900.74300359748</c:v>
                </c:pt>
                <c:pt idx="4">
                  <c:v>218915.84215656851</c:v>
                </c:pt>
                <c:pt idx="5">
                  <c:v>224376.69974994834</c:v>
                </c:pt>
                <c:pt idx="6">
                  <c:v>221115.55273047322</c:v>
                </c:pt>
                <c:pt idx="7">
                  <c:v>207509.13912852854</c:v>
                </c:pt>
                <c:pt idx="8">
                  <c:v>209456.96708617511</c:v>
                </c:pt>
                <c:pt idx="9">
                  <c:v>215765.79735024914</c:v>
                </c:pt>
                <c:pt idx="10">
                  <c:v>220112.17657643085</c:v>
                </c:pt>
                <c:pt idx="11">
                  <c:v>202798.91101402283</c:v>
                </c:pt>
                <c:pt idx="12">
                  <c:v>202202.82095958671</c:v>
                </c:pt>
                <c:pt idx="13">
                  <c:v>206767.25030108978</c:v>
                </c:pt>
              </c:numCache>
            </c:numRef>
          </c:yVal>
          <c:smooth val="0"/>
          <c:extLst>
            <c:ext xmlns:c16="http://schemas.microsoft.com/office/drawing/2014/chart" uri="{C3380CC4-5D6E-409C-BE32-E72D297353CC}">
              <c16:uniqueId val="{00000002-DC9A-46EE-B271-BF28E69C1D24}"/>
            </c:ext>
          </c:extLst>
        </c:ser>
        <c:dLbls>
          <c:showLegendKey val="0"/>
          <c:showVal val="0"/>
          <c:showCatName val="0"/>
          <c:showSerName val="0"/>
          <c:showPercent val="0"/>
          <c:showBubbleSize val="0"/>
        </c:dLbls>
        <c:axId val="223083935"/>
        <c:axId val="192880479"/>
      </c:scatterChart>
      <c:valAx>
        <c:axId val="223083935"/>
        <c:scaling>
          <c:orientation val="minMax"/>
        </c:scaling>
        <c:delete val="0"/>
        <c:axPos val="b"/>
        <c:title>
          <c:tx>
            <c:rich>
              <a:bodyPr/>
              <a:lstStyle/>
              <a:p>
                <a:pPr>
                  <a:defRPr/>
                </a:pPr>
                <a:r>
                  <a:rPr lang="en-US"/>
                  <a:t>X Variable 1</a:t>
                </a:r>
              </a:p>
            </c:rich>
          </c:tx>
          <c:overlay val="0"/>
        </c:title>
        <c:numFmt formatCode="General" sourceLinked="1"/>
        <c:majorTickMark val="out"/>
        <c:minorTickMark val="none"/>
        <c:tickLblPos val="nextTo"/>
        <c:crossAx val="192880479"/>
        <c:crosses val="autoZero"/>
        <c:crossBetween val="midCat"/>
      </c:valAx>
      <c:valAx>
        <c:axId val="192880479"/>
        <c:scaling>
          <c:orientation val="minMax"/>
        </c:scaling>
        <c:delete val="0"/>
        <c:axPos val="l"/>
        <c:title>
          <c:tx>
            <c:rich>
              <a:bodyPr/>
              <a:lstStyle/>
              <a:p>
                <a:pPr>
                  <a:defRPr/>
                </a:pPr>
                <a:r>
                  <a:rPr lang="en-US"/>
                  <a:t>Y</a:t>
                </a:r>
              </a:p>
            </c:rich>
          </c:tx>
          <c:overlay val="0"/>
        </c:title>
        <c:numFmt formatCode="General" sourceLinked="1"/>
        <c:majorTickMark val="out"/>
        <c:minorTickMark val="none"/>
        <c:tickLblPos val="nextTo"/>
        <c:crossAx val="223083935"/>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X Variable 2 Line Fit  Plot</a:t>
            </a:r>
          </a:p>
        </c:rich>
      </c:tx>
      <c:overlay val="0"/>
    </c:title>
    <c:autoTitleDeleted val="0"/>
    <c:plotArea>
      <c:layout/>
      <c:scatterChart>
        <c:scatterStyle val="lineMarker"/>
        <c:varyColors val="0"/>
        <c:ser>
          <c:idx val="0"/>
          <c:order val="0"/>
          <c:tx>
            <c:v>Y</c:v>
          </c:tx>
          <c:spPr>
            <a:ln w="38100">
              <a:noFill/>
            </a:ln>
          </c:spPr>
          <c:xVal>
            <c:numRef>
              <c:f>'Linest Test'!$C$22:$C$35</c:f>
              <c:numCache>
                <c:formatCode>General</c:formatCode>
                <c:ptCount val="14"/>
                <c:pt idx="0">
                  <c:v>6380</c:v>
                </c:pt>
                <c:pt idx="1">
                  <c:v>5722</c:v>
                </c:pt>
                <c:pt idx="2">
                  <c:v>5861</c:v>
                </c:pt>
                <c:pt idx="3">
                  <c:v>5296</c:v>
                </c:pt>
                <c:pt idx="4">
                  <c:v>6168</c:v>
                </c:pt>
                <c:pt idx="5">
                  <c:v>6398</c:v>
                </c:pt>
                <c:pt idx="6">
                  <c:v>6268</c:v>
                </c:pt>
                <c:pt idx="7">
                  <c:v>5711</c:v>
                </c:pt>
                <c:pt idx="8">
                  <c:v>5796</c:v>
                </c:pt>
                <c:pt idx="9">
                  <c:v>6061</c:v>
                </c:pt>
                <c:pt idx="10">
                  <c:v>6245</c:v>
                </c:pt>
                <c:pt idx="11">
                  <c:v>5535</c:v>
                </c:pt>
                <c:pt idx="12">
                  <c:v>5515</c:v>
                </c:pt>
                <c:pt idx="13">
                  <c:v>5708</c:v>
                </c:pt>
              </c:numCache>
            </c:numRef>
          </c:xVal>
          <c:yVal>
            <c:numRef>
              <c:f>'Linest Test'!#REF!</c:f>
              <c:numCache>
                <c:formatCode>General</c:formatCode>
                <c:ptCount val="1"/>
                <c:pt idx="0">
                  <c:v>1</c:v>
                </c:pt>
              </c:numCache>
            </c:numRef>
          </c:yVal>
          <c:smooth val="0"/>
          <c:extLst>
            <c:ext xmlns:c16="http://schemas.microsoft.com/office/drawing/2014/chart" uri="{C3380CC4-5D6E-409C-BE32-E72D297353CC}">
              <c16:uniqueId val="{00000001-574C-4A8A-9637-2ACCF8C34650}"/>
            </c:ext>
          </c:extLst>
        </c:ser>
        <c:ser>
          <c:idx val="1"/>
          <c:order val="1"/>
          <c:tx>
            <c:v>Predicted Y</c:v>
          </c:tx>
          <c:spPr>
            <a:ln w="38100">
              <a:noFill/>
            </a:ln>
          </c:spPr>
          <c:xVal>
            <c:numRef>
              <c:f>'Linest Test'!$C$22:$C$35</c:f>
              <c:numCache>
                <c:formatCode>General</c:formatCode>
                <c:ptCount val="14"/>
                <c:pt idx="0">
                  <c:v>6380</c:v>
                </c:pt>
                <c:pt idx="1">
                  <c:v>5722</c:v>
                </c:pt>
                <c:pt idx="2">
                  <c:v>5861</c:v>
                </c:pt>
                <c:pt idx="3">
                  <c:v>5296</c:v>
                </c:pt>
                <c:pt idx="4">
                  <c:v>6168</c:v>
                </c:pt>
                <c:pt idx="5">
                  <c:v>6398</c:v>
                </c:pt>
                <c:pt idx="6">
                  <c:v>6268</c:v>
                </c:pt>
                <c:pt idx="7">
                  <c:v>5711</c:v>
                </c:pt>
                <c:pt idx="8">
                  <c:v>5796</c:v>
                </c:pt>
                <c:pt idx="9">
                  <c:v>6061</c:v>
                </c:pt>
                <c:pt idx="10">
                  <c:v>6245</c:v>
                </c:pt>
                <c:pt idx="11">
                  <c:v>5535</c:v>
                </c:pt>
                <c:pt idx="12">
                  <c:v>5515</c:v>
                </c:pt>
                <c:pt idx="13">
                  <c:v>5708</c:v>
                </c:pt>
              </c:numCache>
            </c:numRef>
          </c:xVal>
          <c:yVal>
            <c:numRef>
              <c:f>'Linest Test'!$Z$28:$Z$41</c:f>
              <c:numCache>
                <c:formatCode>General</c:formatCode>
                <c:ptCount val="14"/>
                <c:pt idx="0">
                  <c:v>224498.27073235973</c:v>
                </c:pt>
                <c:pt idx="1">
                  <c:v>208444.85028069746</c:v>
                </c:pt>
                <c:pt idx="2">
                  <c:v>211700.97893027225</c:v>
                </c:pt>
                <c:pt idx="3">
                  <c:v>197900.74300359748</c:v>
                </c:pt>
                <c:pt idx="4">
                  <c:v>218915.84215656851</c:v>
                </c:pt>
                <c:pt idx="5">
                  <c:v>224376.69974994834</c:v>
                </c:pt>
                <c:pt idx="6">
                  <c:v>221115.55273047322</c:v>
                </c:pt>
                <c:pt idx="7">
                  <c:v>207509.13912852854</c:v>
                </c:pt>
                <c:pt idx="8">
                  <c:v>209456.96708617511</c:v>
                </c:pt>
                <c:pt idx="9">
                  <c:v>215765.79735024914</c:v>
                </c:pt>
                <c:pt idx="10">
                  <c:v>220112.17657643085</c:v>
                </c:pt>
                <c:pt idx="11">
                  <c:v>202798.91101402283</c:v>
                </c:pt>
                <c:pt idx="12">
                  <c:v>202202.82095958671</c:v>
                </c:pt>
                <c:pt idx="13">
                  <c:v>206767.25030108978</c:v>
                </c:pt>
              </c:numCache>
            </c:numRef>
          </c:yVal>
          <c:smooth val="0"/>
          <c:extLst>
            <c:ext xmlns:c16="http://schemas.microsoft.com/office/drawing/2014/chart" uri="{C3380CC4-5D6E-409C-BE32-E72D297353CC}">
              <c16:uniqueId val="{00000002-574C-4A8A-9637-2ACCF8C34650}"/>
            </c:ext>
          </c:extLst>
        </c:ser>
        <c:dLbls>
          <c:showLegendKey val="0"/>
          <c:showVal val="0"/>
          <c:showCatName val="0"/>
          <c:showSerName val="0"/>
          <c:showPercent val="0"/>
          <c:showBubbleSize val="0"/>
        </c:dLbls>
        <c:axId val="1637182207"/>
        <c:axId val="223083935"/>
      </c:scatterChart>
      <c:valAx>
        <c:axId val="1637182207"/>
        <c:scaling>
          <c:orientation val="minMax"/>
        </c:scaling>
        <c:delete val="0"/>
        <c:axPos val="b"/>
        <c:title>
          <c:tx>
            <c:rich>
              <a:bodyPr/>
              <a:lstStyle/>
              <a:p>
                <a:pPr>
                  <a:defRPr/>
                </a:pPr>
                <a:r>
                  <a:rPr lang="en-US"/>
                  <a:t>X Variable 2</a:t>
                </a:r>
              </a:p>
            </c:rich>
          </c:tx>
          <c:overlay val="0"/>
        </c:title>
        <c:numFmt formatCode="General" sourceLinked="1"/>
        <c:majorTickMark val="out"/>
        <c:minorTickMark val="none"/>
        <c:tickLblPos val="nextTo"/>
        <c:crossAx val="223083935"/>
        <c:crosses val="autoZero"/>
        <c:crossBetween val="midCat"/>
      </c:valAx>
      <c:valAx>
        <c:axId val="223083935"/>
        <c:scaling>
          <c:orientation val="minMax"/>
        </c:scaling>
        <c:delete val="0"/>
        <c:axPos val="l"/>
        <c:title>
          <c:tx>
            <c:rich>
              <a:bodyPr/>
              <a:lstStyle/>
              <a:p>
                <a:pPr>
                  <a:defRPr/>
                </a:pPr>
                <a:r>
                  <a:rPr lang="en-US"/>
                  <a:t>Y</a:t>
                </a:r>
              </a:p>
            </c:rich>
          </c:tx>
          <c:overlay val="0"/>
        </c:title>
        <c:numFmt formatCode="General" sourceLinked="1"/>
        <c:majorTickMark val="out"/>
        <c:minorTickMark val="none"/>
        <c:tickLblPos val="nextTo"/>
        <c:crossAx val="1637182207"/>
        <c:crosses val="autoZero"/>
        <c:crossBetween val="midCat"/>
      </c:valAx>
    </c:plotArea>
    <c:legend>
      <c:legendPos val="r"/>
      <c:overlay val="0"/>
    </c:legend>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Normal Probability Plot</a:t>
            </a:r>
          </a:p>
        </c:rich>
      </c:tx>
      <c:overlay val="0"/>
    </c:title>
    <c:autoTitleDeleted val="0"/>
    <c:plotArea>
      <c:layout/>
      <c:scatterChart>
        <c:scatterStyle val="lineMarker"/>
        <c:varyColors val="0"/>
        <c:ser>
          <c:idx val="0"/>
          <c:order val="0"/>
          <c:spPr>
            <a:ln w="38100">
              <a:noFill/>
            </a:ln>
          </c:spPr>
          <c:xVal>
            <c:numRef>
              <c:f>'Linest Test'!$AD$28:$AD$41</c:f>
              <c:numCache>
                <c:formatCode>General</c:formatCode>
                <c:ptCount val="14"/>
                <c:pt idx="0">
                  <c:v>3.5714285714285716</c:v>
                </c:pt>
                <c:pt idx="1">
                  <c:v>10.714285714285715</c:v>
                </c:pt>
                <c:pt idx="2">
                  <c:v>17.857142857142858</c:v>
                </c:pt>
                <c:pt idx="3">
                  <c:v>25.000000000000004</c:v>
                </c:pt>
                <c:pt idx="4">
                  <c:v>32.142857142857146</c:v>
                </c:pt>
                <c:pt idx="5">
                  <c:v>39.285714285714285</c:v>
                </c:pt>
                <c:pt idx="6">
                  <c:v>46.428571428571431</c:v>
                </c:pt>
                <c:pt idx="7">
                  <c:v>53.571428571428569</c:v>
                </c:pt>
                <c:pt idx="8">
                  <c:v>60.714285714285715</c:v>
                </c:pt>
                <c:pt idx="9">
                  <c:v>67.857142857142861</c:v>
                </c:pt>
                <c:pt idx="10">
                  <c:v>75</c:v>
                </c:pt>
                <c:pt idx="11">
                  <c:v>82.142857142857139</c:v>
                </c:pt>
                <c:pt idx="12">
                  <c:v>89.285714285714292</c:v>
                </c:pt>
                <c:pt idx="13">
                  <c:v>96.428571428571431</c:v>
                </c:pt>
              </c:numCache>
            </c:numRef>
          </c:xVal>
          <c:yVal>
            <c:numRef>
              <c:f>'Linest Test'!$AE$28:$AE$41</c:f>
              <c:numCache>
                <c:formatCode>General</c:formatCode>
                <c:ptCount val="14"/>
                <c:pt idx="0">
                  <c:v>188154</c:v>
                </c:pt>
                <c:pt idx="1">
                  <c:v>194115</c:v>
                </c:pt>
                <c:pt idx="2">
                  <c:v>201014</c:v>
                </c:pt>
                <c:pt idx="3">
                  <c:v>202243</c:v>
                </c:pt>
                <c:pt idx="4">
                  <c:v>204019</c:v>
                </c:pt>
                <c:pt idx="5">
                  <c:v>206543</c:v>
                </c:pt>
                <c:pt idx="6">
                  <c:v>214397</c:v>
                </c:pt>
                <c:pt idx="7">
                  <c:v>219982</c:v>
                </c:pt>
                <c:pt idx="8">
                  <c:v>221127</c:v>
                </c:pt>
                <c:pt idx="9">
                  <c:v>221732</c:v>
                </c:pt>
                <c:pt idx="10">
                  <c:v>222560</c:v>
                </c:pt>
                <c:pt idx="11">
                  <c:v>222912</c:v>
                </c:pt>
                <c:pt idx="12">
                  <c:v>225886</c:v>
                </c:pt>
                <c:pt idx="13">
                  <c:v>226882</c:v>
                </c:pt>
              </c:numCache>
            </c:numRef>
          </c:yVal>
          <c:smooth val="0"/>
          <c:extLst>
            <c:ext xmlns:c16="http://schemas.microsoft.com/office/drawing/2014/chart" uri="{C3380CC4-5D6E-409C-BE32-E72D297353CC}">
              <c16:uniqueId val="{00000001-73F1-48AA-BB2F-204683C27C13}"/>
            </c:ext>
          </c:extLst>
        </c:ser>
        <c:dLbls>
          <c:showLegendKey val="0"/>
          <c:showVal val="0"/>
          <c:showCatName val="0"/>
          <c:showSerName val="0"/>
          <c:showPercent val="0"/>
          <c:showBubbleSize val="0"/>
        </c:dLbls>
        <c:axId val="1001842767"/>
        <c:axId val="1001841807"/>
      </c:scatterChart>
      <c:valAx>
        <c:axId val="1001842767"/>
        <c:scaling>
          <c:orientation val="minMax"/>
        </c:scaling>
        <c:delete val="0"/>
        <c:axPos val="b"/>
        <c:title>
          <c:tx>
            <c:rich>
              <a:bodyPr/>
              <a:lstStyle/>
              <a:p>
                <a:pPr>
                  <a:defRPr/>
                </a:pPr>
                <a:r>
                  <a:rPr lang="en-US"/>
                  <a:t>Sample Percentile</a:t>
                </a:r>
              </a:p>
            </c:rich>
          </c:tx>
          <c:overlay val="0"/>
        </c:title>
        <c:numFmt formatCode="General" sourceLinked="1"/>
        <c:majorTickMark val="out"/>
        <c:minorTickMark val="none"/>
        <c:tickLblPos val="nextTo"/>
        <c:crossAx val="1001841807"/>
        <c:crosses val="autoZero"/>
        <c:crossBetween val="midCat"/>
      </c:valAx>
      <c:valAx>
        <c:axId val="1001841807"/>
        <c:scaling>
          <c:orientation val="minMax"/>
        </c:scaling>
        <c:delete val="0"/>
        <c:axPos val="l"/>
        <c:title>
          <c:tx>
            <c:rich>
              <a:bodyPr/>
              <a:lstStyle/>
              <a:p>
                <a:pPr>
                  <a:defRPr/>
                </a:pPr>
                <a:r>
                  <a:rPr lang="en-US"/>
                  <a:t>Y</a:t>
                </a:r>
              </a:p>
            </c:rich>
          </c:tx>
          <c:overlay val="0"/>
        </c:title>
        <c:numFmt formatCode="General" sourceLinked="1"/>
        <c:majorTickMark val="out"/>
        <c:minorTickMark val="none"/>
        <c:tickLblPos val="nextTo"/>
        <c:crossAx val="1001842767"/>
        <c:crosses val="autoZero"/>
        <c:crossBetween val="midCat"/>
      </c:valAx>
    </c:plotArea>
    <c:plotVisOnly val="1"/>
    <c:dispBlanksAs val="gap"/>
    <c:extLst>
      <c:ext xmlns:c16r3="http://schemas.microsoft.com/office/drawing/2017/03/chart" uri="{56B9EC1D-385E-4148-901F-78D8002777C0}">
        <c16r3:dataDisplayOptions16>
          <c16r3:dispNaAsBlank val="1"/>
        </c16r3:dataDisplayOptions16>
      </c:ext>
    </c:extLst>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Relative</a:t>
            </a:r>
            <a:r>
              <a:rPr lang="en-US" baseline="0"/>
              <a:t> rate of emission change: 2010 to 2023, States in the Northeast</a:t>
            </a:r>
            <a:endParaRPr lang="en-US"/>
          </a:p>
        </c:rich>
      </c:tx>
      <c:layout>
        <c:manualLayout>
          <c:xMode val="edge"/>
          <c:yMode val="edge"/>
          <c:x val="0.20622318158017366"/>
          <c:y val="1.2098765941751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Normalized annual change</c:v>
          </c:tx>
          <c:spPr>
            <a:solidFill>
              <a:schemeClr val="accent1"/>
            </a:solidFill>
            <a:ln>
              <a:solidFill>
                <a:schemeClr val="accent1"/>
              </a:solidFill>
            </a:ln>
            <a:effectLst/>
          </c:spPr>
          <c:invertIfNegative val="0"/>
          <c:dPt>
            <c:idx val="1"/>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1-27C2-4743-B5E4-5C7C18CD5DC3}"/>
              </c:ext>
            </c:extLst>
          </c:dPt>
          <c:cat>
            <c:strRef>
              <c:f>'NE RES Emit'!$A$3:$A$11</c:f>
              <c:strCache>
                <c:ptCount val="9"/>
                <c:pt idx="0">
                  <c:v>CT</c:v>
                </c:pt>
                <c:pt idx="1">
                  <c:v>MA</c:v>
                </c:pt>
                <c:pt idx="2">
                  <c:v>ME</c:v>
                </c:pt>
                <c:pt idx="3">
                  <c:v>NH</c:v>
                </c:pt>
                <c:pt idx="4">
                  <c:v>NJ</c:v>
                </c:pt>
                <c:pt idx="5">
                  <c:v>NY</c:v>
                </c:pt>
                <c:pt idx="6">
                  <c:v>PA</c:v>
                </c:pt>
                <c:pt idx="7">
                  <c:v>RI</c:v>
                </c:pt>
                <c:pt idx="8">
                  <c:v>VT</c:v>
                </c:pt>
              </c:strCache>
            </c:strRef>
          </c:cat>
          <c:val>
            <c:numRef>
              <c:f>'NE RES Emit'!$AR$3:$AR$11</c:f>
              <c:numCache>
                <c:formatCode>0.00%</c:formatCode>
                <c:ptCount val="9"/>
                <c:pt idx="0">
                  <c:v>-3.6718623971452253E-3</c:v>
                </c:pt>
                <c:pt idx="1">
                  <c:v>-4.2841875410486036E-3</c:v>
                </c:pt>
                <c:pt idx="2">
                  <c:v>8.4465551469441562E-3</c:v>
                </c:pt>
                <c:pt idx="3">
                  <c:v>1.3409459201896193E-2</c:v>
                </c:pt>
                <c:pt idx="4">
                  <c:v>1.887861326013973E-3</c:v>
                </c:pt>
                <c:pt idx="5">
                  <c:v>4.7834577767856407E-3</c:v>
                </c:pt>
                <c:pt idx="6">
                  <c:v>-3.1296064326943036E-3</c:v>
                </c:pt>
                <c:pt idx="7">
                  <c:v>-6.309939821871698E-3</c:v>
                </c:pt>
                <c:pt idx="8">
                  <c:v>6.8639821161492294E-3</c:v>
                </c:pt>
              </c:numCache>
            </c:numRef>
          </c:val>
          <c:extLst>
            <c:ext xmlns:c16="http://schemas.microsoft.com/office/drawing/2014/chart" uri="{C3380CC4-5D6E-409C-BE32-E72D297353CC}">
              <c16:uniqueId val="{00000002-27C2-4743-B5E4-5C7C18CD5DC3}"/>
            </c:ext>
          </c:extLst>
        </c:ser>
        <c:dLbls>
          <c:showLegendKey val="0"/>
          <c:showVal val="0"/>
          <c:showCatName val="0"/>
          <c:showSerName val="0"/>
          <c:showPercent val="0"/>
          <c:showBubbleSize val="0"/>
        </c:dLbls>
        <c:gapWidth val="219"/>
        <c:overlap val="-27"/>
        <c:axId val="306987040"/>
        <c:axId val="306992800"/>
      </c:barChart>
      <c:catAx>
        <c:axId val="3069870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92800"/>
        <c:crosses val="autoZero"/>
        <c:auto val="1"/>
        <c:lblAlgn val="ctr"/>
        <c:lblOffset val="200"/>
        <c:noMultiLvlLbl val="0"/>
      </c:catAx>
      <c:valAx>
        <c:axId val="306992800"/>
        <c:scaling>
          <c:orientation val="minMax"/>
          <c:max val="6.0000000000000012E-2"/>
          <c:min val="-6.0000000000000012E-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870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 Commercial CO2 Emissions (MMTCO2) from Fossil Fuel Combustion </a:t>
            </a:r>
            <a:br>
              <a:rPr lang="en-US"/>
            </a:br>
            <a:r>
              <a:rPr lang="en-US"/>
              <a:t>vs Heating Degree Days: 1990-2023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MA Commercial CO2 Emissions MMT</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C Emit'!$B$4:$AI$4</c:f>
              <c:numCache>
                <c:formatCode>0.00</c:formatCode>
                <c:ptCount val="34"/>
                <c:pt idx="0">
                  <c:v>8.2436340146856661</c:v>
                </c:pt>
                <c:pt idx="1">
                  <c:v>9.0733242425638281</c:v>
                </c:pt>
                <c:pt idx="2">
                  <c:v>8.7731958416707734</c:v>
                </c:pt>
                <c:pt idx="3">
                  <c:v>7.8593064581380805</c:v>
                </c:pt>
                <c:pt idx="4">
                  <c:v>8.8428244351548209</c:v>
                </c:pt>
                <c:pt idx="5">
                  <c:v>8.9164746765879404</c:v>
                </c:pt>
                <c:pt idx="6">
                  <c:v>9.0137298002959536</c:v>
                </c:pt>
                <c:pt idx="7">
                  <c:v>9.4539774915902797</c:v>
                </c:pt>
                <c:pt idx="8">
                  <c:v>8.0917947839946081</c:v>
                </c:pt>
                <c:pt idx="9">
                  <c:v>6.007387837135739</c:v>
                </c:pt>
                <c:pt idx="10">
                  <c:v>6.6758156775609185</c:v>
                </c:pt>
                <c:pt idx="11">
                  <c:v>5.6657419103675863</c:v>
                </c:pt>
                <c:pt idx="12">
                  <c:v>5.6723000231933938</c:v>
                </c:pt>
                <c:pt idx="13">
                  <c:v>6.9850804448309871</c:v>
                </c:pt>
                <c:pt idx="14">
                  <c:v>6.4472042757616261</c:v>
                </c:pt>
                <c:pt idx="15">
                  <c:v>6.6171921062045334</c:v>
                </c:pt>
                <c:pt idx="16">
                  <c:v>5.0325846073217013</c:v>
                </c:pt>
                <c:pt idx="17">
                  <c:v>5.3523574274197134</c:v>
                </c:pt>
                <c:pt idx="18">
                  <c:v>5.6720630559633332</c:v>
                </c:pt>
                <c:pt idx="19">
                  <c:v>5.8011713980000001</c:v>
                </c:pt>
                <c:pt idx="20">
                  <c:v>6.7136842662999996</c:v>
                </c:pt>
                <c:pt idx="21">
                  <c:v>6.3516471911566672</c:v>
                </c:pt>
                <c:pt idx="22">
                  <c:v>5.2351624247633337</c:v>
                </c:pt>
                <c:pt idx="23">
                  <c:v>6.7672685907200014</c:v>
                </c:pt>
                <c:pt idx="24">
                  <c:v>7.2071672654666665</c:v>
                </c:pt>
                <c:pt idx="25">
                  <c:v>7.6189326138933327</c:v>
                </c:pt>
                <c:pt idx="26">
                  <c:v>7.0324210341366662</c:v>
                </c:pt>
                <c:pt idx="27">
                  <c:v>7.3788659441566677</c:v>
                </c:pt>
                <c:pt idx="28">
                  <c:v>7.9212817119700007</c:v>
                </c:pt>
                <c:pt idx="29">
                  <c:v>8.1033406311733334</c:v>
                </c:pt>
                <c:pt idx="30">
                  <c:v>7.3149852073833328</c:v>
                </c:pt>
                <c:pt idx="31">
                  <c:v>7.4474480110066663</c:v>
                </c:pt>
                <c:pt idx="32">
                  <c:v>8.2031815594299999</c:v>
                </c:pt>
                <c:pt idx="33">
                  <c:v>7.6097484345666677</c:v>
                </c:pt>
              </c:numCache>
            </c:numRef>
          </c:val>
          <c:smooth val="0"/>
          <c:extLst>
            <c:ext xmlns:c16="http://schemas.microsoft.com/office/drawing/2014/chart" uri="{C3380CC4-5D6E-409C-BE32-E72D297353CC}">
              <c16:uniqueId val="{00000000-B1A4-4993-BB28-404EEB093D42}"/>
            </c:ext>
          </c:extLst>
        </c:ser>
        <c:dLbls>
          <c:showLegendKey val="0"/>
          <c:showVal val="0"/>
          <c:showCatName val="0"/>
          <c:showSerName val="0"/>
          <c:showPercent val="0"/>
          <c:showBubbleSize val="0"/>
        </c:dLbls>
        <c:marker val="1"/>
        <c:smooth val="0"/>
        <c:axId val="380168543"/>
        <c:axId val="380168063"/>
      </c:lineChart>
      <c:lineChart>
        <c:grouping val="standard"/>
        <c:varyColors val="0"/>
        <c:ser>
          <c:idx val="1"/>
          <c:order val="1"/>
          <c:tx>
            <c:v>MA Heating Degree Days</c:v>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HDD'!$B$4:$AI$4</c:f>
              <c:numCache>
                <c:formatCode>0.00</c:formatCode>
                <c:ptCount val="34"/>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pt idx="33">
                  <c:v>5254</c:v>
                </c:pt>
              </c:numCache>
            </c:numRef>
          </c:val>
          <c:smooth val="0"/>
          <c:extLst>
            <c:ext xmlns:c16="http://schemas.microsoft.com/office/drawing/2014/chart" uri="{C3380CC4-5D6E-409C-BE32-E72D297353CC}">
              <c16:uniqueId val="{00000002-B1A4-4993-BB28-404EEB093D42}"/>
            </c:ext>
          </c:extLst>
        </c:ser>
        <c:dLbls>
          <c:showLegendKey val="0"/>
          <c:showVal val="0"/>
          <c:showCatName val="0"/>
          <c:showSerName val="0"/>
          <c:showPercent val="0"/>
          <c:showBubbleSize val="0"/>
        </c:dLbls>
        <c:marker val="1"/>
        <c:smooth val="0"/>
        <c:axId val="977204895"/>
        <c:axId val="496183984"/>
      </c:lineChart>
      <c:catAx>
        <c:axId val="380168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063"/>
        <c:crosses val="autoZero"/>
        <c:auto val="1"/>
        <c:lblAlgn val="ctr"/>
        <c:lblOffset val="100"/>
        <c:noMultiLvlLbl val="0"/>
      </c:catAx>
      <c:valAx>
        <c:axId val="38016806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543"/>
        <c:crosses val="autoZero"/>
        <c:crossBetween val="between"/>
      </c:valAx>
      <c:valAx>
        <c:axId val="49618398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204895"/>
        <c:crosses val="max"/>
        <c:crossBetween val="between"/>
      </c:valAx>
      <c:catAx>
        <c:axId val="977204895"/>
        <c:scaling>
          <c:orientation val="minMax"/>
        </c:scaling>
        <c:delete val="1"/>
        <c:axPos val="b"/>
        <c:numFmt formatCode="General" sourceLinked="1"/>
        <c:majorTickMark val="out"/>
        <c:minorTickMark val="none"/>
        <c:tickLblPos val="nextTo"/>
        <c:crossAx val="4961839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Commerical  CO2 emissions in Northeast States</a:t>
            </a:r>
            <a:r>
              <a:rPr lang="en-US" baseline="0"/>
              <a:t> -- MMTCO2 indexed to 2010 level </a:t>
            </a:r>
            <a:br>
              <a:rPr lang="en-US" baseline="0"/>
            </a:br>
            <a:r>
              <a:rPr lang="en-US" baseline="0"/>
              <a:t>(2010 level = 100% for each series)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'NE C Emit'!$A$24</c:f>
              <c:strCache>
                <c:ptCount val="1"/>
                <c:pt idx="0">
                  <c:v>MA</c:v>
                </c:pt>
              </c:strCache>
            </c:strRef>
          </c:tx>
          <c:spPr>
            <a:solidFill>
              <a:schemeClr val="accent2"/>
            </a:solidFill>
            <a:ln>
              <a:noFill/>
            </a:ln>
            <a:effectLst/>
          </c:spPr>
          <c:invertIfNegative val="0"/>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Emit'!$V$24:$AI$24</c:f>
              <c:numCache>
                <c:formatCode>0.00</c:formatCode>
                <c:ptCount val="14"/>
                <c:pt idx="0">
                  <c:v>1</c:v>
                </c:pt>
                <c:pt idx="1">
                  <c:v>0.94607475407197605</c:v>
                </c:pt>
                <c:pt idx="2">
                  <c:v>0.77977489216193085</c:v>
                </c:pt>
                <c:pt idx="3">
                  <c:v>1.0079813590116196</c:v>
                </c:pt>
                <c:pt idx="4">
                  <c:v>1.0735040522599124</c:v>
                </c:pt>
                <c:pt idx="5">
                  <c:v>1.1348363002617381</c:v>
                </c:pt>
                <c:pt idx="6">
                  <c:v>1.0474756862542074</c:v>
                </c:pt>
                <c:pt idx="7">
                  <c:v>1.0990784867849108</c:v>
                </c:pt>
                <c:pt idx="8">
                  <c:v>1.1798710510906292</c:v>
                </c:pt>
                <c:pt idx="9">
                  <c:v>1.2069886383917174</c:v>
                </c:pt>
                <c:pt idx="10">
                  <c:v>1.0895634821705309</c:v>
                </c:pt>
                <c:pt idx="11">
                  <c:v>1.1092937522233308</c:v>
                </c:pt>
                <c:pt idx="12">
                  <c:v>1.2218598960047435</c:v>
                </c:pt>
                <c:pt idx="13">
                  <c:v>1.1334683212263272</c:v>
                </c:pt>
              </c:numCache>
            </c:numRef>
          </c:val>
          <c:extLst>
            <c:ext xmlns:c16="http://schemas.microsoft.com/office/drawing/2014/chart" uri="{C3380CC4-5D6E-409C-BE32-E72D297353CC}">
              <c16:uniqueId val="{00000000-4CE9-484F-8EEA-B8C97FB1ACFB}"/>
            </c:ext>
          </c:extLst>
        </c:ser>
        <c:dLbls>
          <c:showLegendKey val="0"/>
          <c:showVal val="0"/>
          <c:showCatName val="0"/>
          <c:showSerName val="0"/>
          <c:showPercent val="0"/>
          <c:showBubbleSize val="0"/>
        </c:dLbls>
        <c:gapWidth val="219"/>
        <c:overlap val="-27"/>
        <c:axId val="1508762223"/>
        <c:axId val="988888575"/>
      </c:barChart>
      <c:lineChart>
        <c:grouping val="standard"/>
        <c:varyColors val="0"/>
        <c:ser>
          <c:idx val="0"/>
          <c:order val="0"/>
          <c:tx>
            <c:strRef>
              <c:f>'NE C Emit'!$A$23</c:f>
              <c:strCache>
                <c:ptCount val="1"/>
                <c:pt idx="0">
                  <c:v>CT</c:v>
                </c:pt>
              </c:strCache>
            </c:strRef>
          </c:tx>
          <c:spPr>
            <a:ln w="28575" cap="rnd">
              <a:solidFill>
                <a:schemeClr val="accent1"/>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Emit'!$V$23:$AI$23</c:f>
              <c:numCache>
                <c:formatCode>0.00</c:formatCode>
                <c:ptCount val="14"/>
                <c:pt idx="0">
                  <c:v>1</c:v>
                </c:pt>
                <c:pt idx="1">
                  <c:v>1.0693967178863388</c:v>
                </c:pt>
                <c:pt idx="2">
                  <c:v>0.96333740110757693</c:v>
                </c:pt>
                <c:pt idx="3">
                  <c:v>1.0687934147025162</c:v>
                </c:pt>
                <c:pt idx="4">
                  <c:v>1.1351712363336142</c:v>
                </c:pt>
                <c:pt idx="5">
                  <c:v>1.2956310741057329</c:v>
                </c:pt>
                <c:pt idx="6">
                  <c:v>1.1660415212238406</c:v>
                </c:pt>
                <c:pt idx="7">
                  <c:v>1.1695319970480693</c:v>
                </c:pt>
                <c:pt idx="8">
                  <c:v>1.2897648643028408</c:v>
                </c:pt>
                <c:pt idx="9">
                  <c:v>1.2504356352402084</c:v>
                </c:pt>
                <c:pt idx="10">
                  <c:v>1.1363014253645047</c:v>
                </c:pt>
                <c:pt idx="11">
                  <c:v>1.2507956691373499</c:v>
                </c:pt>
                <c:pt idx="12">
                  <c:v>1.2655519141971254</c:v>
                </c:pt>
                <c:pt idx="13">
                  <c:v>1.2598086858250133</c:v>
                </c:pt>
              </c:numCache>
            </c:numRef>
          </c:val>
          <c:smooth val="0"/>
          <c:extLst>
            <c:ext xmlns:c16="http://schemas.microsoft.com/office/drawing/2014/chart" uri="{C3380CC4-5D6E-409C-BE32-E72D297353CC}">
              <c16:uniqueId val="{00000001-4CE9-484F-8EEA-B8C97FB1ACFB}"/>
            </c:ext>
          </c:extLst>
        </c:ser>
        <c:ser>
          <c:idx val="2"/>
          <c:order val="2"/>
          <c:tx>
            <c:strRef>
              <c:f>'NE C Emit'!$A$25</c:f>
              <c:strCache>
                <c:ptCount val="1"/>
                <c:pt idx="0">
                  <c:v>ME</c:v>
                </c:pt>
              </c:strCache>
            </c:strRef>
          </c:tx>
          <c:spPr>
            <a:ln w="28575" cap="rnd">
              <a:solidFill>
                <a:schemeClr val="accent3"/>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Emit'!$V$25:$AI$25</c:f>
              <c:numCache>
                <c:formatCode>0.00</c:formatCode>
                <c:ptCount val="14"/>
                <c:pt idx="0">
                  <c:v>1</c:v>
                </c:pt>
                <c:pt idx="1">
                  <c:v>1.0816303253423105</c:v>
                </c:pt>
                <c:pt idx="2">
                  <c:v>0.92562887335290656</c:v>
                </c:pt>
                <c:pt idx="3">
                  <c:v>0.94653012788174962</c:v>
                </c:pt>
                <c:pt idx="4">
                  <c:v>1.0021523994225714</c:v>
                </c:pt>
                <c:pt idx="5">
                  <c:v>1.0444619720817478</c:v>
                </c:pt>
                <c:pt idx="6">
                  <c:v>0.9530821497139248</c:v>
                </c:pt>
                <c:pt idx="7">
                  <c:v>0.99787961092833632</c:v>
                </c:pt>
                <c:pt idx="8">
                  <c:v>1.0236912579056234</c:v>
                </c:pt>
                <c:pt idx="9">
                  <c:v>1.0414916039373652</c:v>
                </c:pt>
                <c:pt idx="10">
                  <c:v>0.94707814387432632</c:v>
                </c:pt>
                <c:pt idx="11">
                  <c:v>1.0264601372908451</c:v>
                </c:pt>
                <c:pt idx="12">
                  <c:v>1.0291309622976124</c:v>
                </c:pt>
                <c:pt idx="13">
                  <c:v>1.0766526380325456</c:v>
                </c:pt>
              </c:numCache>
            </c:numRef>
          </c:val>
          <c:smooth val="0"/>
          <c:extLst>
            <c:ext xmlns:c16="http://schemas.microsoft.com/office/drawing/2014/chart" uri="{C3380CC4-5D6E-409C-BE32-E72D297353CC}">
              <c16:uniqueId val="{00000002-4CE9-484F-8EEA-B8C97FB1ACFB}"/>
            </c:ext>
          </c:extLst>
        </c:ser>
        <c:ser>
          <c:idx val="3"/>
          <c:order val="3"/>
          <c:tx>
            <c:strRef>
              <c:f>'NE C Emit'!$A$26</c:f>
              <c:strCache>
                <c:ptCount val="1"/>
                <c:pt idx="0">
                  <c:v>NH</c:v>
                </c:pt>
              </c:strCache>
            </c:strRef>
          </c:tx>
          <c:spPr>
            <a:ln w="28575" cap="rnd">
              <a:solidFill>
                <a:schemeClr val="accent4"/>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Emit'!$V$26:$AI$26</c:f>
              <c:numCache>
                <c:formatCode>0.00</c:formatCode>
                <c:ptCount val="14"/>
                <c:pt idx="0">
                  <c:v>1</c:v>
                </c:pt>
                <c:pt idx="1">
                  <c:v>1.0996892453829663</c:v>
                </c:pt>
                <c:pt idx="2">
                  <c:v>1.0101090897799656</c:v>
                </c:pt>
                <c:pt idx="3">
                  <c:v>1.0413070477442092</c:v>
                </c:pt>
                <c:pt idx="4">
                  <c:v>1.1557606183080333</c:v>
                </c:pt>
                <c:pt idx="5">
                  <c:v>1.2067558107781233</c:v>
                </c:pt>
                <c:pt idx="6">
                  <c:v>1.1313397291399427</c:v>
                </c:pt>
                <c:pt idx="7">
                  <c:v>1.0660174922018304</c:v>
                </c:pt>
                <c:pt idx="8">
                  <c:v>1.195295491567067</c:v>
                </c:pt>
                <c:pt idx="9">
                  <c:v>1.2038126380614689</c:v>
                </c:pt>
                <c:pt idx="10">
                  <c:v>1.0859328687442824</c:v>
                </c:pt>
                <c:pt idx="11">
                  <c:v>1.1418335272590683</c:v>
                </c:pt>
                <c:pt idx="12">
                  <c:v>1.1682489652712948</c:v>
                </c:pt>
                <c:pt idx="13">
                  <c:v>1.1788543562127614</c:v>
                </c:pt>
              </c:numCache>
            </c:numRef>
          </c:val>
          <c:smooth val="0"/>
          <c:extLst>
            <c:ext xmlns:c16="http://schemas.microsoft.com/office/drawing/2014/chart" uri="{C3380CC4-5D6E-409C-BE32-E72D297353CC}">
              <c16:uniqueId val="{00000003-4CE9-484F-8EEA-B8C97FB1ACFB}"/>
            </c:ext>
          </c:extLst>
        </c:ser>
        <c:ser>
          <c:idx val="4"/>
          <c:order val="4"/>
          <c:tx>
            <c:strRef>
              <c:f>'NE C Emit'!$A$27</c:f>
              <c:strCache>
                <c:ptCount val="1"/>
                <c:pt idx="0">
                  <c:v>NJ</c:v>
                </c:pt>
              </c:strCache>
            </c:strRef>
          </c:tx>
          <c:spPr>
            <a:ln w="28575" cap="rnd">
              <a:solidFill>
                <a:schemeClr val="accent5"/>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Emit'!$V$27:$AI$27</c:f>
              <c:numCache>
                <c:formatCode>0.00</c:formatCode>
                <c:ptCount val="14"/>
                <c:pt idx="0">
                  <c:v>1</c:v>
                </c:pt>
                <c:pt idx="1">
                  <c:v>1.070515638013809</c:v>
                </c:pt>
                <c:pt idx="2">
                  <c:v>0.95672980866101454</c:v>
                </c:pt>
                <c:pt idx="3">
                  <c:v>0.9486071667960726</c:v>
                </c:pt>
                <c:pt idx="4">
                  <c:v>1.107345435671252</c:v>
                </c:pt>
                <c:pt idx="5">
                  <c:v>0.96577217675841642</c:v>
                </c:pt>
                <c:pt idx="6">
                  <c:v>0.90608937430605174</c:v>
                </c:pt>
                <c:pt idx="7">
                  <c:v>0.87861131733482356</c:v>
                </c:pt>
                <c:pt idx="8">
                  <c:v>0.96998134623503496</c:v>
                </c:pt>
                <c:pt idx="9">
                  <c:v>0.91780577276721709</c:v>
                </c:pt>
                <c:pt idx="10">
                  <c:v>0.81521318892344896</c:v>
                </c:pt>
                <c:pt idx="11">
                  <c:v>0.90009237837090716</c:v>
                </c:pt>
                <c:pt idx="12">
                  <c:v>0.925532364623463</c:v>
                </c:pt>
                <c:pt idx="13">
                  <c:v>0.86938234467706377</c:v>
                </c:pt>
              </c:numCache>
            </c:numRef>
          </c:val>
          <c:smooth val="0"/>
          <c:extLst>
            <c:ext xmlns:c16="http://schemas.microsoft.com/office/drawing/2014/chart" uri="{C3380CC4-5D6E-409C-BE32-E72D297353CC}">
              <c16:uniqueId val="{00000004-4CE9-484F-8EEA-B8C97FB1ACFB}"/>
            </c:ext>
          </c:extLst>
        </c:ser>
        <c:ser>
          <c:idx val="5"/>
          <c:order val="5"/>
          <c:tx>
            <c:strRef>
              <c:f>'NE C Emit'!$A$28</c:f>
              <c:strCache>
                <c:ptCount val="1"/>
                <c:pt idx="0">
                  <c:v>NY</c:v>
                </c:pt>
              </c:strCache>
            </c:strRef>
          </c:tx>
          <c:spPr>
            <a:ln w="28575" cap="rnd">
              <a:solidFill>
                <a:schemeClr val="accent6"/>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Emit'!$V$28:$AI$28</c:f>
              <c:numCache>
                <c:formatCode>0.00</c:formatCode>
                <c:ptCount val="14"/>
                <c:pt idx="0">
                  <c:v>1</c:v>
                </c:pt>
                <c:pt idx="1">
                  <c:v>0.99960759426841261</c:v>
                </c:pt>
                <c:pt idx="2">
                  <c:v>0.86258825846814702</c:v>
                </c:pt>
                <c:pt idx="3">
                  <c:v>0.92211690448237293</c:v>
                </c:pt>
                <c:pt idx="4">
                  <c:v>0.90874575179190409</c:v>
                </c:pt>
                <c:pt idx="5">
                  <c:v>0.94270586747387075</c:v>
                </c:pt>
                <c:pt idx="6">
                  <c:v>0.89797617018300147</c:v>
                </c:pt>
                <c:pt idx="7">
                  <c:v>0.91114465979441495</c:v>
                </c:pt>
                <c:pt idx="8">
                  <c:v>0.95765016176528239</c:v>
                </c:pt>
                <c:pt idx="9">
                  <c:v>0.94630322997776806</c:v>
                </c:pt>
                <c:pt idx="10">
                  <c:v>0.83817528550094289</c:v>
                </c:pt>
                <c:pt idx="11">
                  <c:v>0.89845987620727163</c:v>
                </c:pt>
                <c:pt idx="12">
                  <c:v>0.92137224179185706</c:v>
                </c:pt>
                <c:pt idx="13">
                  <c:v>0.88868639938938365</c:v>
                </c:pt>
              </c:numCache>
            </c:numRef>
          </c:val>
          <c:smooth val="0"/>
          <c:extLst>
            <c:ext xmlns:c16="http://schemas.microsoft.com/office/drawing/2014/chart" uri="{C3380CC4-5D6E-409C-BE32-E72D297353CC}">
              <c16:uniqueId val="{00000005-4CE9-484F-8EEA-B8C97FB1ACFB}"/>
            </c:ext>
          </c:extLst>
        </c:ser>
        <c:ser>
          <c:idx val="6"/>
          <c:order val="6"/>
          <c:tx>
            <c:strRef>
              <c:f>'NE C Emit'!$A$29</c:f>
              <c:strCache>
                <c:ptCount val="1"/>
                <c:pt idx="0">
                  <c:v>PA</c:v>
                </c:pt>
              </c:strCache>
            </c:strRef>
          </c:tx>
          <c:spPr>
            <a:ln w="28575" cap="rnd">
              <a:solidFill>
                <a:schemeClr val="accent1">
                  <a:lumMod val="60000"/>
                </a:schemeClr>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Emit'!$V$29:$AI$29</c:f>
              <c:numCache>
                <c:formatCode>0.00</c:formatCode>
                <c:ptCount val="14"/>
                <c:pt idx="0">
                  <c:v>1</c:v>
                </c:pt>
                <c:pt idx="1">
                  <c:v>0.97917687957234867</c:v>
                </c:pt>
                <c:pt idx="2">
                  <c:v>0.8612019856196651</c:v>
                </c:pt>
                <c:pt idx="3">
                  <c:v>0.99904878985872458</c:v>
                </c:pt>
                <c:pt idx="4">
                  <c:v>1.0709636708853134</c:v>
                </c:pt>
                <c:pt idx="5">
                  <c:v>1.113583987630516</c:v>
                </c:pt>
                <c:pt idx="6">
                  <c:v>1.0407496942225181</c:v>
                </c:pt>
                <c:pt idx="7">
                  <c:v>1.0719295671062088</c:v>
                </c:pt>
                <c:pt idx="8">
                  <c:v>1.2035473647571111</c:v>
                </c:pt>
                <c:pt idx="9">
                  <c:v>1.1801474490222892</c:v>
                </c:pt>
                <c:pt idx="10">
                  <c:v>1.0612924608953356</c:v>
                </c:pt>
                <c:pt idx="11">
                  <c:v>1.1317470126183664</c:v>
                </c:pt>
                <c:pt idx="12">
                  <c:v>1.2041423090577417</c:v>
                </c:pt>
                <c:pt idx="13">
                  <c:v>1.143175148333238</c:v>
                </c:pt>
              </c:numCache>
            </c:numRef>
          </c:val>
          <c:smooth val="0"/>
          <c:extLst>
            <c:ext xmlns:c16="http://schemas.microsoft.com/office/drawing/2014/chart" uri="{C3380CC4-5D6E-409C-BE32-E72D297353CC}">
              <c16:uniqueId val="{00000006-4CE9-484F-8EEA-B8C97FB1ACFB}"/>
            </c:ext>
          </c:extLst>
        </c:ser>
        <c:ser>
          <c:idx val="7"/>
          <c:order val="7"/>
          <c:tx>
            <c:strRef>
              <c:f>'NE C Emit'!$A$30</c:f>
              <c:strCache>
                <c:ptCount val="1"/>
                <c:pt idx="0">
                  <c:v>RI</c:v>
                </c:pt>
              </c:strCache>
            </c:strRef>
          </c:tx>
          <c:spPr>
            <a:ln w="28575" cap="rnd">
              <a:solidFill>
                <a:schemeClr val="accent2">
                  <a:lumMod val="60000"/>
                </a:schemeClr>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Emit'!$V$30:$AI$30</c:f>
              <c:numCache>
                <c:formatCode>0.00</c:formatCode>
                <c:ptCount val="14"/>
                <c:pt idx="0">
                  <c:v>1</c:v>
                </c:pt>
                <c:pt idx="1">
                  <c:v>0.94124143472824184</c:v>
                </c:pt>
                <c:pt idx="2">
                  <c:v>0.85553667684261558</c:v>
                </c:pt>
                <c:pt idx="3">
                  <c:v>0.98665958680802812</c:v>
                </c:pt>
                <c:pt idx="4">
                  <c:v>1.2268347125138923</c:v>
                </c:pt>
                <c:pt idx="5">
                  <c:v>1.0861145980330023</c:v>
                </c:pt>
                <c:pt idx="6">
                  <c:v>0.93422497729165677</c:v>
                </c:pt>
                <c:pt idx="7">
                  <c:v>0.94529114546812021</c:v>
                </c:pt>
                <c:pt idx="8">
                  <c:v>1.0660240257549183</c:v>
                </c:pt>
                <c:pt idx="9">
                  <c:v>1.0187320531617761</c:v>
                </c:pt>
                <c:pt idx="10">
                  <c:v>0.87634576582912715</c:v>
                </c:pt>
                <c:pt idx="11">
                  <c:v>1.0236008856630667</c:v>
                </c:pt>
                <c:pt idx="12">
                  <c:v>1.0074436773552007</c:v>
                </c:pt>
                <c:pt idx="13">
                  <c:v>0.95973742646379079</c:v>
                </c:pt>
              </c:numCache>
            </c:numRef>
          </c:val>
          <c:smooth val="0"/>
          <c:extLst>
            <c:ext xmlns:c16="http://schemas.microsoft.com/office/drawing/2014/chart" uri="{C3380CC4-5D6E-409C-BE32-E72D297353CC}">
              <c16:uniqueId val="{00000007-4CE9-484F-8EEA-B8C97FB1ACFB}"/>
            </c:ext>
          </c:extLst>
        </c:ser>
        <c:ser>
          <c:idx val="8"/>
          <c:order val="8"/>
          <c:tx>
            <c:strRef>
              <c:f>'NE C Emit'!$A$31</c:f>
              <c:strCache>
                <c:ptCount val="1"/>
                <c:pt idx="0">
                  <c:v>VT</c:v>
                </c:pt>
              </c:strCache>
            </c:strRef>
          </c:tx>
          <c:spPr>
            <a:ln w="28575" cap="rnd">
              <a:solidFill>
                <a:schemeClr val="accent3">
                  <a:lumMod val="60000"/>
                </a:schemeClr>
              </a:solidFill>
              <a:round/>
            </a:ln>
            <a:effectLst/>
          </c:spPr>
          <c:marker>
            <c:symbol val="none"/>
          </c:marker>
          <c:cat>
            <c:strRef>
              <c:f>'NE C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C Emit'!$V$31:$AI$31</c:f>
              <c:numCache>
                <c:formatCode>0.00</c:formatCode>
                <c:ptCount val="14"/>
                <c:pt idx="0">
                  <c:v>1</c:v>
                </c:pt>
                <c:pt idx="1">
                  <c:v>1.0247567197504024</c:v>
                </c:pt>
                <c:pt idx="2">
                  <c:v>0.96762475655675173</c:v>
                </c:pt>
                <c:pt idx="3">
                  <c:v>1.217737283010865</c:v>
                </c:pt>
                <c:pt idx="4">
                  <c:v>1.271381827622212</c:v>
                </c:pt>
                <c:pt idx="5">
                  <c:v>1.5907769934050437</c:v>
                </c:pt>
                <c:pt idx="6">
                  <c:v>1.3766525466120549</c:v>
                </c:pt>
                <c:pt idx="7">
                  <c:v>1.2302894845186996</c:v>
                </c:pt>
                <c:pt idx="8">
                  <c:v>1.4542540131384427</c:v>
                </c:pt>
                <c:pt idx="9">
                  <c:v>1.4158492993078928</c:v>
                </c:pt>
                <c:pt idx="10">
                  <c:v>1.4054213504546405</c:v>
                </c:pt>
                <c:pt idx="11">
                  <c:v>1.4746805360458219</c:v>
                </c:pt>
                <c:pt idx="12">
                  <c:v>1.4791435701472204</c:v>
                </c:pt>
                <c:pt idx="13">
                  <c:v>1.3912264398798531</c:v>
                </c:pt>
              </c:numCache>
            </c:numRef>
          </c:val>
          <c:smooth val="0"/>
          <c:extLst>
            <c:ext xmlns:c16="http://schemas.microsoft.com/office/drawing/2014/chart" uri="{C3380CC4-5D6E-409C-BE32-E72D297353CC}">
              <c16:uniqueId val="{00000008-4CE9-484F-8EEA-B8C97FB1ACFB}"/>
            </c:ext>
          </c:extLst>
        </c:ser>
        <c:dLbls>
          <c:showLegendKey val="0"/>
          <c:showVal val="0"/>
          <c:showCatName val="0"/>
          <c:showSerName val="0"/>
          <c:showPercent val="0"/>
          <c:showBubbleSize val="0"/>
        </c:dLbls>
        <c:marker val="1"/>
        <c:smooth val="0"/>
        <c:axId val="1508762223"/>
        <c:axId val="988888575"/>
      </c:lineChart>
      <c:catAx>
        <c:axId val="1508762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8888575"/>
        <c:crosses val="autoZero"/>
        <c:auto val="1"/>
        <c:lblAlgn val="ctr"/>
        <c:lblOffset val="100"/>
        <c:noMultiLvlLbl val="0"/>
      </c:catAx>
      <c:valAx>
        <c:axId val="9888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87622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Relative</a:t>
            </a:r>
            <a:r>
              <a:rPr lang="en-US" baseline="0"/>
              <a:t> rate of commercial emission change: 2010 to 2023, States in the Northeast</a:t>
            </a:r>
            <a:endParaRPr lang="en-US"/>
          </a:p>
        </c:rich>
      </c:tx>
      <c:layout>
        <c:manualLayout>
          <c:xMode val="edge"/>
          <c:yMode val="edge"/>
          <c:x val="0.20622318158017366"/>
          <c:y val="1.2098765941751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Normalized annual change</c:v>
          </c:tx>
          <c:spPr>
            <a:solidFill>
              <a:schemeClr val="accent1"/>
            </a:solidFill>
            <a:ln>
              <a:solidFill>
                <a:schemeClr val="accent1"/>
              </a:solidFill>
            </a:ln>
            <a:effectLst/>
          </c:spPr>
          <c:invertIfNegative val="0"/>
          <c:dPt>
            <c:idx val="1"/>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1-60C4-48C9-A94F-C112B05ACB19}"/>
              </c:ext>
            </c:extLst>
          </c:dPt>
          <c:cat>
            <c:strRef>
              <c:f>'NE RES Emit'!$A$3:$A$11</c:f>
              <c:strCache>
                <c:ptCount val="9"/>
                <c:pt idx="0">
                  <c:v>CT</c:v>
                </c:pt>
                <c:pt idx="1">
                  <c:v>MA</c:v>
                </c:pt>
                <c:pt idx="2">
                  <c:v>ME</c:v>
                </c:pt>
                <c:pt idx="3">
                  <c:v>NH</c:v>
                </c:pt>
                <c:pt idx="4">
                  <c:v>NJ</c:v>
                </c:pt>
                <c:pt idx="5">
                  <c:v>NY</c:v>
                </c:pt>
                <c:pt idx="6">
                  <c:v>PA</c:v>
                </c:pt>
                <c:pt idx="7">
                  <c:v>RI</c:v>
                </c:pt>
                <c:pt idx="8">
                  <c:v>VT</c:v>
                </c:pt>
              </c:strCache>
            </c:strRef>
          </c:cat>
          <c:val>
            <c:numRef>
              <c:f>'NE C Emit'!$AR$3:$AR$11</c:f>
              <c:numCache>
                <c:formatCode>0.00%</c:formatCode>
                <c:ptCount val="9"/>
                <c:pt idx="0">
                  <c:v>1.7263950463407719E-2</c:v>
                </c:pt>
                <c:pt idx="1">
                  <c:v>1.8751704965564518E-2</c:v>
                </c:pt>
                <c:pt idx="2">
                  <c:v>3.2949970080000525E-3</c:v>
                </c:pt>
                <c:pt idx="3">
                  <c:v>9.2547688532272649E-3</c:v>
                </c:pt>
                <c:pt idx="4">
                  <c:v>-1.3252319918918934E-2</c:v>
                </c:pt>
                <c:pt idx="5">
                  <c:v>-5.551412625508732E-3</c:v>
                </c:pt>
                <c:pt idx="6">
                  <c:v>1.6453404420491261E-2</c:v>
                </c:pt>
                <c:pt idx="7">
                  <c:v>-3.1928756811445622E-4</c:v>
                </c:pt>
                <c:pt idx="8">
                  <c:v>2.7117403520450022E-2</c:v>
                </c:pt>
              </c:numCache>
            </c:numRef>
          </c:val>
          <c:extLst>
            <c:ext xmlns:c16="http://schemas.microsoft.com/office/drawing/2014/chart" uri="{C3380CC4-5D6E-409C-BE32-E72D297353CC}">
              <c16:uniqueId val="{00000002-60C4-48C9-A94F-C112B05ACB19}"/>
            </c:ext>
          </c:extLst>
        </c:ser>
        <c:dLbls>
          <c:showLegendKey val="0"/>
          <c:showVal val="0"/>
          <c:showCatName val="0"/>
          <c:showSerName val="0"/>
          <c:showPercent val="0"/>
          <c:showBubbleSize val="0"/>
        </c:dLbls>
        <c:gapWidth val="219"/>
        <c:overlap val="-27"/>
        <c:axId val="306987040"/>
        <c:axId val="306992800"/>
      </c:barChart>
      <c:catAx>
        <c:axId val="3069870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92800"/>
        <c:crosses val="autoZero"/>
        <c:auto val="1"/>
        <c:lblAlgn val="ctr"/>
        <c:lblOffset val="200"/>
        <c:noMultiLvlLbl val="0"/>
      </c:catAx>
      <c:valAx>
        <c:axId val="306992800"/>
        <c:scaling>
          <c:orientation val="minMax"/>
          <c:max val="6.0000000000000012E-2"/>
          <c:min val="-6.0000000000000012E-2"/>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870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 Industrial CO2 Emissions (MMTCO2) from Fossil Fuel Combustion </a:t>
            </a:r>
            <a:br>
              <a:rPr lang="en-US"/>
            </a:br>
            <a:r>
              <a:rPr lang="en-US"/>
              <a:t>vs Heating Degree Days: 1990-2023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MA Industrial CO2 Emissions MMT</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I emit'!$B$4:$AI$4</c:f>
              <c:numCache>
                <c:formatCode>0.00</c:formatCode>
                <c:ptCount val="34"/>
                <c:pt idx="0">
                  <c:v>5.15523183792694</c:v>
                </c:pt>
                <c:pt idx="1">
                  <c:v>4.4763874955796332</c:v>
                </c:pt>
                <c:pt idx="2">
                  <c:v>6.0724209816809003</c:v>
                </c:pt>
                <c:pt idx="3">
                  <c:v>6.3646902992130334</c:v>
                </c:pt>
                <c:pt idx="4">
                  <c:v>5.6025020504973666</c:v>
                </c:pt>
                <c:pt idx="5">
                  <c:v>4.9583511117927603</c:v>
                </c:pt>
                <c:pt idx="6">
                  <c:v>4.9662449571596401</c:v>
                </c:pt>
                <c:pt idx="7">
                  <c:v>5.0379893690455271</c:v>
                </c:pt>
                <c:pt idx="8">
                  <c:v>4.8950117755839671</c:v>
                </c:pt>
                <c:pt idx="9">
                  <c:v>5.4243200764757393</c:v>
                </c:pt>
                <c:pt idx="10">
                  <c:v>5.297398188506234</c:v>
                </c:pt>
                <c:pt idx="11">
                  <c:v>6.5619497399087869</c:v>
                </c:pt>
                <c:pt idx="12">
                  <c:v>6.4348036389976535</c:v>
                </c:pt>
                <c:pt idx="13">
                  <c:v>4.0994712908511266</c:v>
                </c:pt>
                <c:pt idx="14">
                  <c:v>3.9263144964954537</c:v>
                </c:pt>
                <c:pt idx="15">
                  <c:v>4.2366197435463731</c:v>
                </c:pt>
                <c:pt idx="16">
                  <c:v>4.2014566287700603</c:v>
                </c:pt>
                <c:pt idx="17">
                  <c:v>4.0771950055096333</c:v>
                </c:pt>
                <c:pt idx="18">
                  <c:v>3.6027068453455202</c:v>
                </c:pt>
                <c:pt idx="19">
                  <c:v>2.9510930234756669</c:v>
                </c:pt>
                <c:pt idx="20">
                  <c:v>3.3626839142748142</c:v>
                </c:pt>
                <c:pt idx="21">
                  <c:v>3.6432220478216939</c:v>
                </c:pt>
                <c:pt idx="22">
                  <c:v>3.1345155576142467</c:v>
                </c:pt>
                <c:pt idx="23">
                  <c:v>3.2392069186160204</c:v>
                </c:pt>
                <c:pt idx="24">
                  <c:v>3.159581195311127</c:v>
                </c:pt>
                <c:pt idx="25">
                  <c:v>3.1859818680151002</c:v>
                </c:pt>
                <c:pt idx="26">
                  <c:v>3.1794808272397868</c:v>
                </c:pt>
                <c:pt idx="27">
                  <c:v>3.302350424969787</c:v>
                </c:pt>
                <c:pt idx="28">
                  <c:v>3.2872287196531205</c:v>
                </c:pt>
                <c:pt idx="29">
                  <c:v>3.3377021922890067</c:v>
                </c:pt>
                <c:pt idx="30">
                  <c:v>3.1396031860599996</c:v>
                </c:pt>
                <c:pt idx="31">
                  <c:v>3.3083244565066661</c:v>
                </c:pt>
                <c:pt idx="32">
                  <c:v>3.3279154713933332</c:v>
                </c:pt>
                <c:pt idx="33">
                  <c:v>3.0655111484066668</c:v>
                </c:pt>
              </c:numCache>
            </c:numRef>
          </c:val>
          <c:smooth val="0"/>
          <c:extLst>
            <c:ext xmlns:c16="http://schemas.microsoft.com/office/drawing/2014/chart" uri="{C3380CC4-5D6E-409C-BE32-E72D297353CC}">
              <c16:uniqueId val="{00000000-B635-4A5A-BF33-397B3284045C}"/>
            </c:ext>
          </c:extLst>
        </c:ser>
        <c:dLbls>
          <c:showLegendKey val="0"/>
          <c:showVal val="0"/>
          <c:showCatName val="0"/>
          <c:showSerName val="0"/>
          <c:showPercent val="0"/>
          <c:showBubbleSize val="0"/>
        </c:dLbls>
        <c:marker val="1"/>
        <c:smooth val="0"/>
        <c:axId val="380168543"/>
        <c:axId val="380168063"/>
      </c:lineChart>
      <c:lineChart>
        <c:grouping val="standard"/>
        <c:varyColors val="0"/>
        <c:ser>
          <c:idx val="1"/>
          <c:order val="1"/>
          <c:tx>
            <c:v>MA Heating Degree Days</c:v>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0"/>
          </c:trendline>
          <c:cat>
            <c:strRef>
              <c:f>'NE RES Emit'!$B$2:$AI$2</c:f>
              <c:strCache>
                <c:ptCount val="34"/>
                <c:pt idx="0">
                  <c:v>1990+B2:AB2:AI2</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strCache>
            </c:strRef>
          </c:cat>
          <c:val>
            <c:numRef>
              <c:f>'NE HDD'!$B$4:$AI$4</c:f>
              <c:numCache>
                <c:formatCode>0.00</c:formatCode>
                <c:ptCount val="34"/>
                <c:pt idx="0">
                  <c:v>5758</c:v>
                </c:pt>
                <c:pt idx="1">
                  <c:v>5826</c:v>
                </c:pt>
                <c:pt idx="2">
                  <c:v>6750</c:v>
                </c:pt>
                <c:pt idx="3">
                  <c:v>6587</c:v>
                </c:pt>
                <c:pt idx="4">
                  <c:v>6515</c:v>
                </c:pt>
                <c:pt idx="5">
                  <c:v>6452</c:v>
                </c:pt>
                <c:pt idx="6">
                  <c:v>6532</c:v>
                </c:pt>
                <c:pt idx="7">
                  <c:v>6493</c:v>
                </c:pt>
                <c:pt idx="8">
                  <c:v>5556</c:v>
                </c:pt>
                <c:pt idx="9">
                  <c:v>5836</c:v>
                </c:pt>
                <c:pt idx="10">
                  <c:v>6361</c:v>
                </c:pt>
                <c:pt idx="11">
                  <c:v>5961</c:v>
                </c:pt>
                <c:pt idx="12">
                  <c:v>5959</c:v>
                </c:pt>
                <c:pt idx="13">
                  <c:v>6732</c:v>
                </c:pt>
                <c:pt idx="14">
                  <c:v>6447</c:v>
                </c:pt>
                <c:pt idx="15">
                  <c:v>6415</c:v>
                </c:pt>
                <c:pt idx="16">
                  <c:v>5657</c:v>
                </c:pt>
                <c:pt idx="17">
                  <c:v>6264</c:v>
                </c:pt>
                <c:pt idx="18">
                  <c:v>6182</c:v>
                </c:pt>
                <c:pt idx="19">
                  <c:v>6380</c:v>
                </c:pt>
                <c:pt idx="20">
                  <c:v>5722</c:v>
                </c:pt>
                <c:pt idx="21">
                  <c:v>5861</c:v>
                </c:pt>
                <c:pt idx="22">
                  <c:v>5296</c:v>
                </c:pt>
                <c:pt idx="23">
                  <c:v>6168</c:v>
                </c:pt>
                <c:pt idx="24">
                  <c:v>6398</c:v>
                </c:pt>
                <c:pt idx="25">
                  <c:v>6268</c:v>
                </c:pt>
                <c:pt idx="26">
                  <c:v>5711</c:v>
                </c:pt>
                <c:pt idx="27">
                  <c:v>5796</c:v>
                </c:pt>
                <c:pt idx="28">
                  <c:v>6061</c:v>
                </c:pt>
                <c:pt idx="29">
                  <c:v>6245</c:v>
                </c:pt>
                <c:pt idx="30">
                  <c:v>5535</c:v>
                </c:pt>
                <c:pt idx="31">
                  <c:v>5515</c:v>
                </c:pt>
                <c:pt idx="32">
                  <c:v>5708</c:v>
                </c:pt>
                <c:pt idx="33">
                  <c:v>5254</c:v>
                </c:pt>
              </c:numCache>
            </c:numRef>
          </c:val>
          <c:smooth val="0"/>
          <c:extLst>
            <c:ext xmlns:c16="http://schemas.microsoft.com/office/drawing/2014/chart" uri="{C3380CC4-5D6E-409C-BE32-E72D297353CC}">
              <c16:uniqueId val="{00000002-B635-4A5A-BF33-397B3284045C}"/>
            </c:ext>
          </c:extLst>
        </c:ser>
        <c:dLbls>
          <c:showLegendKey val="0"/>
          <c:showVal val="0"/>
          <c:showCatName val="0"/>
          <c:showSerName val="0"/>
          <c:showPercent val="0"/>
          <c:showBubbleSize val="0"/>
        </c:dLbls>
        <c:marker val="1"/>
        <c:smooth val="0"/>
        <c:axId val="977204895"/>
        <c:axId val="496183984"/>
      </c:lineChart>
      <c:catAx>
        <c:axId val="380168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063"/>
        <c:crosses val="autoZero"/>
        <c:auto val="1"/>
        <c:lblAlgn val="ctr"/>
        <c:lblOffset val="100"/>
        <c:noMultiLvlLbl val="0"/>
      </c:catAx>
      <c:valAx>
        <c:axId val="38016806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0168543"/>
        <c:crosses val="autoZero"/>
        <c:crossBetween val="between"/>
      </c:valAx>
      <c:valAx>
        <c:axId val="496183984"/>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7204895"/>
        <c:crosses val="max"/>
        <c:crossBetween val="between"/>
      </c:valAx>
      <c:catAx>
        <c:axId val="977204895"/>
        <c:scaling>
          <c:orientation val="minMax"/>
        </c:scaling>
        <c:delete val="1"/>
        <c:axPos val="b"/>
        <c:numFmt formatCode="General" sourceLinked="1"/>
        <c:majorTickMark val="out"/>
        <c:minorTickMark val="none"/>
        <c:tickLblPos val="nextTo"/>
        <c:crossAx val="4961839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Industrial CO2 emissions in Northeast States</a:t>
            </a:r>
            <a:r>
              <a:rPr lang="en-US" baseline="0"/>
              <a:t> -- MMTCO2 indexed to 2010 level </a:t>
            </a:r>
            <a:br>
              <a:rPr lang="en-US" baseline="0"/>
            </a:br>
            <a:r>
              <a:rPr lang="en-US" baseline="0"/>
              <a:t>(2010 level = 100% for each series)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'NE I emit'!$A$24</c:f>
              <c:strCache>
                <c:ptCount val="1"/>
                <c:pt idx="0">
                  <c:v>MA</c:v>
                </c:pt>
              </c:strCache>
            </c:strRef>
          </c:tx>
          <c:spPr>
            <a:solidFill>
              <a:schemeClr val="accent2"/>
            </a:solidFill>
            <a:ln>
              <a:noFill/>
            </a:ln>
            <a:effectLst/>
          </c:spPr>
          <c:invertIfNegative val="0"/>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emit'!$V$24:$AI$24</c:f>
              <c:numCache>
                <c:formatCode>0.00</c:formatCode>
                <c:ptCount val="14"/>
                <c:pt idx="0">
                  <c:v>1</c:v>
                </c:pt>
                <c:pt idx="1">
                  <c:v>1.083426852091562</c:v>
                </c:pt>
                <c:pt idx="2">
                  <c:v>0.93214695092453448</c:v>
                </c:pt>
                <c:pt idx="3">
                  <c:v>0.96328022531804858</c:v>
                </c:pt>
                <c:pt idx="4">
                  <c:v>0.93960100796227009</c:v>
                </c:pt>
                <c:pt idx="5">
                  <c:v>0.94745207971834577</c:v>
                </c:pt>
                <c:pt idx="6">
                  <c:v>0.94551879043483145</c:v>
                </c:pt>
                <c:pt idx="7">
                  <c:v>0.98205793620717441</c:v>
                </c:pt>
                <c:pt idx="8">
                  <c:v>0.9775610207366261</c:v>
                </c:pt>
                <c:pt idx="9">
                  <c:v>0.99257089794263487</c:v>
                </c:pt>
                <c:pt idx="10">
                  <c:v>0.93365991752367139</c:v>
                </c:pt>
                <c:pt idx="11">
                  <c:v>0.98383450269072614</c:v>
                </c:pt>
                <c:pt idx="12">
                  <c:v>0.98966050816317086</c:v>
                </c:pt>
                <c:pt idx="13">
                  <c:v>0.91162631592977583</c:v>
                </c:pt>
              </c:numCache>
            </c:numRef>
          </c:val>
          <c:extLst>
            <c:ext xmlns:c16="http://schemas.microsoft.com/office/drawing/2014/chart" uri="{C3380CC4-5D6E-409C-BE32-E72D297353CC}">
              <c16:uniqueId val="{00000000-9D57-4A77-AB89-3042F27C1050}"/>
            </c:ext>
          </c:extLst>
        </c:ser>
        <c:dLbls>
          <c:showLegendKey val="0"/>
          <c:showVal val="0"/>
          <c:showCatName val="0"/>
          <c:showSerName val="0"/>
          <c:showPercent val="0"/>
          <c:showBubbleSize val="0"/>
        </c:dLbls>
        <c:gapWidth val="219"/>
        <c:overlap val="-27"/>
        <c:axId val="1508762223"/>
        <c:axId val="988888575"/>
      </c:barChart>
      <c:lineChart>
        <c:grouping val="standard"/>
        <c:varyColors val="0"/>
        <c:ser>
          <c:idx val="0"/>
          <c:order val="0"/>
          <c:tx>
            <c:strRef>
              <c:f>'NE I emit'!$A$23</c:f>
              <c:strCache>
                <c:ptCount val="1"/>
                <c:pt idx="0">
                  <c:v>CT</c:v>
                </c:pt>
              </c:strCache>
            </c:strRef>
          </c:tx>
          <c:spPr>
            <a:ln w="28575" cap="rnd">
              <a:solidFill>
                <a:schemeClr val="accent1"/>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emit'!$V$23:$AI$23</c:f>
              <c:numCache>
                <c:formatCode>0.00</c:formatCode>
                <c:ptCount val="14"/>
                <c:pt idx="0">
                  <c:v>1</c:v>
                </c:pt>
                <c:pt idx="1">
                  <c:v>1.0564858456605155</c:v>
                </c:pt>
                <c:pt idx="2">
                  <c:v>1.0038146328577366</c:v>
                </c:pt>
                <c:pt idx="3">
                  <c:v>1.1238069125013646</c:v>
                </c:pt>
                <c:pt idx="4">
                  <c:v>1.0581793255626877</c:v>
                </c:pt>
                <c:pt idx="5">
                  <c:v>0.96582339621722346</c:v>
                </c:pt>
                <c:pt idx="6">
                  <c:v>0.91847989520687645</c:v>
                </c:pt>
                <c:pt idx="7">
                  <c:v>0.92413326374638627</c:v>
                </c:pt>
                <c:pt idx="8">
                  <c:v>0.93744038798501428</c:v>
                </c:pt>
                <c:pt idx="9">
                  <c:v>0.9302648480690876</c:v>
                </c:pt>
                <c:pt idx="10">
                  <c:v>0.90225712834644212</c:v>
                </c:pt>
                <c:pt idx="11">
                  <c:v>0.86975928029244687</c:v>
                </c:pt>
                <c:pt idx="12">
                  <c:v>0.84674584465723335</c:v>
                </c:pt>
                <c:pt idx="13">
                  <c:v>0.82426123655801153</c:v>
                </c:pt>
              </c:numCache>
            </c:numRef>
          </c:val>
          <c:smooth val="0"/>
          <c:extLst>
            <c:ext xmlns:c16="http://schemas.microsoft.com/office/drawing/2014/chart" uri="{C3380CC4-5D6E-409C-BE32-E72D297353CC}">
              <c16:uniqueId val="{00000001-9D57-4A77-AB89-3042F27C1050}"/>
            </c:ext>
          </c:extLst>
        </c:ser>
        <c:ser>
          <c:idx val="2"/>
          <c:order val="2"/>
          <c:tx>
            <c:strRef>
              <c:f>'NE I emit'!$A$25</c:f>
              <c:strCache>
                <c:ptCount val="1"/>
                <c:pt idx="0">
                  <c:v>ME</c:v>
                </c:pt>
              </c:strCache>
            </c:strRef>
          </c:tx>
          <c:spPr>
            <a:ln w="28575" cap="rnd">
              <a:solidFill>
                <a:schemeClr val="accent3"/>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emit'!$V$25:$AI$25</c:f>
              <c:numCache>
                <c:formatCode>0.00</c:formatCode>
                <c:ptCount val="14"/>
                <c:pt idx="0">
                  <c:v>1</c:v>
                </c:pt>
                <c:pt idx="1">
                  <c:v>0.96678051246873864</c:v>
                </c:pt>
                <c:pt idx="2">
                  <c:v>0.89244145489407078</c:v>
                </c:pt>
                <c:pt idx="3">
                  <c:v>0.87375873956721206</c:v>
                </c:pt>
                <c:pt idx="4">
                  <c:v>0.69214745527581933</c:v>
                </c:pt>
                <c:pt idx="5">
                  <c:v>0.60162072563383473</c:v>
                </c:pt>
                <c:pt idx="6">
                  <c:v>0.54527371819295734</c:v>
                </c:pt>
                <c:pt idx="7">
                  <c:v>0.52349492183785784</c:v>
                </c:pt>
                <c:pt idx="8">
                  <c:v>0.58071005223710748</c:v>
                </c:pt>
                <c:pt idx="9">
                  <c:v>0.62526129192514479</c:v>
                </c:pt>
                <c:pt idx="10">
                  <c:v>0.6342850657751421</c:v>
                </c:pt>
                <c:pt idx="11">
                  <c:v>0.62124157325091145</c:v>
                </c:pt>
                <c:pt idx="12">
                  <c:v>0.60180777112279693</c:v>
                </c:pt>
                <c:pt idx="13">
                  <c:v>0.54438731812474384</c:v>
                </c:pt>
              </c:numCache>
            </c:numRef>
          </c:val>
          <c:smooth val="0"/>
          <c:extLst>
            <c:ext xmlns:c16="http://schemas.microsoft.com/office/drawing/2014/chart" uri="{C3380CC4-5D6E-409C-BE32-E72D297353CC}">
              <c16:uniqueId val="{00000002-9D57-4A77-AB89-3042F27C1050}"/>
            </c:ext>
          </c:extLst>
        </c:ser>
        <c:ser>
          <c:idx val="3"/>
          <c:order val="3"/>
          <c:tx>
            <c:strRef>
              <c:f>'NE I emit'!$A$26</c:f>
              <c:strCache>
                <c:ptCount val="1"/>
                <c:pt idx="0">
                  <c:v>NH</c:v>
                </c:pt>
              </c:strCache>
            </c:strRef>
          </c:tx>
          <c:spPr>
            <a:ln w="28575" cap="rnd">
              <a:solidFill>
                <a:schemeClr val="accent4"/>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emit'!$V$26:$AI$26</c:f>
              <c:numCache>
                <c:formatCode>0.00</c:formatCode>
                <c:ptCount val="14"/>
                <c:pt idx="0">
                  <c:v>1</c:v>
                </c:pt>
                <c:pt idx="1">
                  <c:v>1.0051574190712553</c:v>
                </c:pt>
                <c:pt idx="2">
                  <c:v>0.91866308923779616</c:v>
                </c:pt>
                <c:pt idx="3">
                  <c:v>1.042706037547573</c:v>
                </c:pt>
                <c:pt idx="4">
                  <c:v>1.09510019896837</c:v>
                </c:pt>
                <c:pt idx="5">
                  <c:v>1.0047582000752096</c:v>
                </c:pt>
                <c:pt idx="6">
                  <c:v>0.95272284215062197</c:v>
                </c:pt>
                <c:pt idx="7">
                  <c:v>1.0971710435129685</c:v>
                </c:pt>
                <c:pt idx="8">
                  <c:v>1.0847438437503725</c:v>
                </c:pt>
                <c:pt idx="9">
                  <c:v>1.0931582299737301</c:v>
                </c:pt>
                <c:pt idx="10">
                  <c:v>1.0484046103172204</c:v>
                </c:pt>
                <c:pt idx="11">
                  <c:v>1.0136651019140142</c:v>
                </c:pt>
                <c:pt idx="12">
                  <c:v>1.0329999201018711</c:v>
                </c:pt>
                <c:pt idx="13">
                  <c:v>1.0730755202394806</c:v>
                </c:pt>
              </c:numCache>
            </c:numRef>
          </c:val>
          <c:smooth val="0"/>
          <c:extLst>
            <c:ext xmlns:c16="http://schemas.microsoft.com/office/drawing/2014/chart" uri="{C3380CC4-5D6E-409C-BE32-E72D297353CC}">
              <c16:uniqueId val="{00000003-9D57-4A77-AB89-3042F27C1050}"/>
            </c:ext>
          </c:extLst>
        </c:ser>
        <c:ser>
          <c:idx val="4"/>
          <c:order val="4"/>
          <c:tx>
            <c:strRef>
              <c:f>'NE I emit'!$A$27</c:f>
              <c:strCache>
                <c:ptCount val="1"/>
                <c:pt idx="0">
                  <c:v>NJ</c:v>
                </c:pt>
              </c:strCache>
            </c:strRef>
          </c:tx>
          <c:spPr>
            <a:ln w="28575" cap="rnd">
              <a:solidFill>
                <a:schemeClr val="accent5"/>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emit'!$V$27:$AI$27</c:f>
              <c:numCache>
                <c:formatCode>0.00</c:formatCode>
                <c:ptCount val="14"/>
                <c:pt idx="0">
                  <c:v>1</c:v>
                </c:pt>
                <c:pt idx="1">
                  <c:v>1.058961202254576</c:v>
                </c:pt>
                <c:pt idx="2">
                  <c:v>1.0563549208591743</c:v>
                </c:pt>
                <c:pt idx="3">
                  <c:v>1.0931861763041324</c:v>
                </c:pt>
                <c:pt idx="4">
                  <c:v>1.1030578048341162</c:v>
                </c:pt>
                <c:pt idx="5">
                  <c:v>1.0707130545974084</c:v>
                </c:pt>
                <c:pt idx="6">
                  <c:v>1.1350783428177662</c:v>
                </c:pt>
                <c:pt idx="7">
                  <c:v>1.0186279428375293</c:v>
                </c:pt>
                <c:pt idx="8">
                  <c:v>1.1126720391999378</c:v>
                </c:pt>
                <c:pt idx="9">
                  <c:v>1.1388302050866439</c:v>
                </c:pt>
                <c:pt idx="10">
                  <c:v>1.0546132822435159</c:v>
                </c:pt>
                <c:pt idx="11">
                  <c:v>1.1022777674463375</c:v>
                </c:pt>
                <c:pt idx="12">
                  <c:v>1.2831947156000578</c:v>
                </c:pt>
                <c:pt idx="13">
                  <c:v>1.3070231051761545</c:v>
                </c:pt>
              </c:numCache>
            </c:numRef>
          </c:val>
          <c:smooth val="0"/>
          <c:extLst>
            <c:ext xmlns:c16="http://schemas.microsoft.com/office/drawing/2014/chart" uri="{C3380CC4-5D6E-409C-BE32-E72D297353CC}">
              <c16:uniqueId val="{00000004-9D57-4A77-AB89-3042F27C1050}"/>
            </c:ext>
          </c:extLst>
        </c:ser>
        <c:ser>
          <c:idx val="5"/>
          <c:order val="5"/>
          <c:tx>
            <c:strRef>
              <c:f>'NE I emit'!$A$28</c:f>
              <c:strCache>
                <c:ptCount val="1"/>
                <c:pt idx="0">
                  <c:v>NY</c:v>
                </c:pt>
              </c:strCache>
            </c:strRef>
          </c:tx>
          <c:spPr>
            <a:ln w="28575" cap="rnd">
              <a:solidFill>
                <a:schemeClr val="accent6"/>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emit'!$V$28:$AI$28</c:f>
              <c:numCache>
                <c:formatCode>0.00</c:formatCode>
                <c:ptCount val="14"/>
                <c:pt idx="0">
                  <c:v>1</c:v>
                </c:pt>
                <c:pt idx="1">
                  <c:v>1.0217437277261858</c:v>
                </c:pt>
                <c:pt idx="2">
                  <c:v>0.98849130629231763</c:v>
                </c:pt>
                <c:pt idx="3">
                  <c:v>1.0248520779541757</c:v>
                </c:pt>
                <c:pt idx="4">
                  <c:v>1.030315151031338</c:v>
                </c:pt>
                <c:pt idx="5">
                  <c:v>1.0405190338088088</c:v>
                </c:pt>
                <c:pt idx="6">
                  <c:v>1.0185351094450958</c:v>
                </c:pt>
                <c:pt idx="7">
                  <c:v>1.0283950459211864</c:v>
                </c:pt>
                <c:pt idx="8">
                  <c:v>1.1017166642696556</c:v>
                </c:pt>
                <c:pt idx="9">
                  <c:v>1.1276212330750974</c:v>
                </c:pt>
                <c:pt idx="10">
                  <c:v>1.0913426011761811</c:v>
                </c:pt>
                <c:pt idx="11">
                  <c:v>1.1084376847895552</c:v>
                </c:pt>
                <c:pt idx="12">
                  <c:v>1.1145047607572107</c:v>
                </c:pt>
                <c:pt idx="13">
                  <c:v>1.0795318422111557</c:v>
                </c:pt>
              </c:numCache>
            </c:numRef>
          </c:val>
          <c:smooth val="0"/>
          <c:extLst>
            <c:ext xmlns:c16="http://schemas.microsoft.com/office/drawing/2014/chart" uri="{C3380CC4-5D6E-409C-BE32-E72D297353CC}">
              <c16:uniqueId val="{00000005-9D57-4A77-AB89-3042F27C1050}"/>
            </c:ext>
          </c:extLst>
        </c:ser>
        <c:ser>
          <c:idx val="6"/>
          <c:order val="6"/>
          <c:tx>
            <c:strRef>
              <c:f>'NE I emit'!$A$29</c:f>
              <c:strCache>
                <c:ptCount val="1"/>
                <c:pt idx="0">
                  <c:v>PA</c:v>
                </c:pt>
              </c:strCache>
            </c:strRef>
          </c:tx>
          <c:spPr>
            <a:ln w="28575" cap="rnd">
              <a:solidFill>
                <a:schemeClr val="accent1">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emit'!$V$29:$AI$29</c:f>
              <c:numCache>
                <c:formatCode>0.00</c:formatCode>
                <c:ptCount val="14"/>
                <c:pt idx="0">
                  <c:v>1</c:v>
                </c:pt>
                <c:pt idx="1">
                  <c:v>1.1018383954445721</c:v>
                </c:pt>
                <c:pt idx="2">
                  <c:v>1.204434132603061</c:v>
                </c:pt>
                <c:pt idx="3">
                  <c:v>1.4040739261024398</c:v>
                </c:pt>
                <c:pt idx="4">
                  <c:v>1.6124889776314089</c:v>
                </c:pt>
                <c:pt idx="5">
                  <c:v>1.5400732254475562</c:v>
                </c:pt>
                <c:pt idx="6">
                  <c:v>1.5272324812360549</c:v>
                </c:pt>
                <c:pt idx="7">
                  <c:v>1.5898608216667622</c:v>
                </c:pt>
                <c:pt idx="8">
                  <c:v>1.7294351456543702</c:v>
                </c:pt>
                <c:pt idx="9">
                  <c:v>1.8535856674095375</c:v>
                </c:pt>
                <c:pt idx="10">
                  <c:v>1.7336368525573709</c:v>
                </c:pt>
                <c:pt idx="11">
                  <c:v>1.9138778140222139</c:v>
                </c:pt>
                <c:pt idx="12">
                  <c:v>2.1817480465121637</c:v>
                </c:pt>
                <c:pt idx="13">
                  <c:v>2.3662271322885005</c:v>
                </c:pt>
              </c:numCache>
            </c:numRef>
          </c:val>
          <c:smooth val="0"/>
          <c:extLst>
            <c:ext xmlns:c16="http://schemas.microsoft.com/office/drawing/2014/chart" uri="{C3380CC4-5D6E-409C-BE32-E72D297353CC}">
              <c16:uniqueId val="{00000006-9D57-4A77-AB89-3042F27C1050}"/>
            </c:ext>
          </c:extLst>
        </c:ser>
        <c:ser>
          <c:idx val="7"/>
          <c:order val="7"/>
          <c:tx>
            <c:strRef>
              <c:f>'NE I emit'!$A$30</c:f>
              <c:strCache>
                <c:ptCount val="1"/>
                <c:pt idx="0">
                  <c:v>RI</c:v>
                </c:pt>
              </c:strCache>
            </c:strRef>
          </c:tx>
          <c:spPr>
            <a:ln w="28575" cap="rnd">
              <a:solidFill>
                <a:schemeClr val="accent2">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emit'!$V$30:$AI$30</c:f>
              <c:numCache>
                <c:formatCode>0.00</c:formatCode>
                <c:ptCount val="14"/>
                <c:pt idx="0">
                  <c:v>1</c:v>
                </c:pt>
                <c:pt idx="1">
                  <c:v>0.93670452412859173</c:v>
                </c:pt>
                <c:pt idx="2">
                  <c:v>0.91359279321485165</c:v>
                </c:pt>
                <c:pt idx="3">
                  <c:v>0.92976706917685026</c:v>
                </c:pt>
                <c:pt idx="4">
                  <c:v>0.94053466259669416</c:v>
                </c:pt>
                <c:pt idx="5">
                  <c:v>0.98663974562167678</c:v>
                </c:pt>
                <c:pt idx="6">
                  <c:v>1.0047760106569885</c:v>
                </c:pt>
                <c:pt idx="7">
                  <c:v>1.0418842608927357</c:v>
                </c:pt>
                <c:pt idx="8">
                  <c:v>1.0435714506578544</c:v>
                </c:pt>
                <c:pt idx="9">
                  <c:v>1.0130488427545892</c:v>
                </c:pt>
                <c:pt idx="10">
                  <c:v>0.97878148113832086</c:v>
                </c:pt>
                <c:pt idx="11">
                  <c:v>0.95972627449846071</c:v>
                </c:pt>
                <c:pt idx="12">
                  <c:v>0.96390810503140645</c:v>
                </c:pt>
                <c:pt idx="13">
                  <c:v>0.93477937660594856</c:v>
                </c:pt>
              </c:numCache>
            </c:numRef>
          </c:val>
          <c:smooth val="0"/>
          <c:extLst>
            <c:ext xmlns:c16="http://schemas.microsoft.com/office/drawing/2014/chart" uri="{C3380CC4-5D6E-409C-BE32-E72D297353CC}">
              <c16:uniqueId val="{00000007-9D57-4A77-AB89-3042F27C1050}"/>
            </c:ext>
          </c:extLst>
        </c:ser>
        <c:ser>
          <c:idx val="8"/>
          <c:order val="8"/>
          <c:tx>
            <c:strRef>
              <c:f>'NE I emit'!$A$31</c:f>
              <c:strCache>
                <c:ptCount val="1"/>
                <c:pt idx="0">
                  <c:v>VT</c:v>
                </c:pt>
              </c:strCache>
            </c:strRef>
          </c:tx>
          <c:spPr>
            <a:ln w="28575" cap="rnd">
              <a:solidFill>
                <a:schemeClr val="accent3">
                  <a:lumMod val="60000"/>
                </a:schemeClr>
              </a:solidFill>
              <a:round/>
            </a:ln>
            <a:effectLst/>
          </c:spPr>
          <c:marker>
            <c:symbol val="none"/>
          </c:marker>
          <c:cat>
            <c:strRef>
              <c:f>'NE RES Emit'!$V$22:$AI$22</c:f>
              <c:strCache>
                <c:ptCount val="14"/>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strCache>
            </c:strRef>
          </c:cat>
          <c:val>
            <c:numRef>
              <c:f>'NE I emit'!$V$31:$AI$31</c:f>
              <c:numCache>
                <c:formatCode>0.00</c:formatCode>
                <c:ptCount val="14"/>
                <c:pt idx="0">
                  <c:v>1</c:v>
                </c:pt>
                <c:pt idx="1">
                  <c:v>1.0898795567153161</c:v>
                </c:pt>
                <c:pt idx="2">
                  <c:v>0.97489088395484558</c:v>
                </c:pt>
                <c:pt idx="3">
                  <c:v>0.77543799230551613</c:v>
                </c:pt>
                <c:pt idx="4">
                  <c:v>0.83651846554751019</c:v>
                </c:pt>
                <c:pt idx="5">
                  <c:v>0.77508782512517027</c:v>
                </c:pt>
                <c:pt idx="6">
                  <c:v>0.79011105086785216</c:v>
                </c:pt>
                <c:pt idx="7">
                  <c:v>0.86060314920671821</c:v>
                </c:pt>
                <c:pt idx="8">
                  <c:v>0.85923551883455596</c:v>
                </c:pt>
                <c:pt idx="9">
                  <c:v>0.86179092663708834</c:v>
                </c:pt>
                <c:pt idx="10">
                  <c:v>0.91654348062227375</c:v>
                </c:pt>
                <c:pt idx="11">
                  <c:v>0.78986671507791661</c:v>
                </c:pt>
                <c:pt idx="12">
                  <c:v>0.81348935294002245</c:v>
                </c:pt>
                <c:pt idx="13">
                  <c:v>0.78476873786893031</c:v>
                </c:pt>
              </c:numCache>
            </c:numRef>
          </c:val>
          <c:smooth val="0"/>
          <c:extLst>
            <c:ext xmlns:c16="http://schemas.microsoft.com/office/drawing/2014/chart" uri="{C3380CC4-5D6E-409C-BE32-E72D297353CC}">
              <c16:uniqueId val="{00000008-9D57-4A77-AB89-3042F27C1050}"/>
            </c:ext>
          </c:extLst>
        </c:ser>
        <c:dLbls>
          <c:showLegendKey val="0"/>
          <c:showVal val="0"/>
          <c:showCatName val="0"/>
          <c:showSerName val="0"/>
          <c:showPercent val="0"/>
          <c:showBubbleSize val="0"/>
        </c:dLbls>
        <c:marker val="1"/>
        <c:smooth val="0"/>
        <c:axId val="1508762223"/>
        <c:axId val="988888575"/>
      </c:lineChart>
      <c:catAx>
        <c:axId val="1508762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8888575"/>
        <c:crosses val="autoZero"/>
        <c:auto val="1"/>
        <c:lblAlgn val="ctr"/>
        <c:lblOffset val="100"/>
        <c:noMultiLvlLbl val="0"/>
      </c:catAx>
      <c:valAx>
        <c:axId val="988888575"/>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87622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Relative</a:t>
            </a:r>
            <a:r>
              <a:rPr lang="en-US" baseline="0"/>
              <a:t> rate of industrial emission change: 2010 to 2023, States in the Northeast</a:t>
            </a:r>
            <a:endParaRPr lang="en-US"/>
          </a:p>
        </c:rich>
      </c:tx>
      <c:layout>
        <c:manualLayout>
          <c:xMode val="edge"/>
          <c:yMode val="edge"/>
          <c:x val="0.20622318158017366"/>
          <c:y val="1.2098765941751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Normalized annual change</c:v>
          </c:tx>
          <c:spPr>
            <a:solidFill>
              <a:schemeClr val="accent1"/>
            </a:solidFill>
            <a:ln>
              <a:solidFill>
                <a:schemeClr val="accent1"/>
              </a:solidFill>
            </a:ln>
            <a:effectLst/>
          </c:spPr>
          <c:invertIfNegative val="0"/>
          <c:dPt>
            <c:idx val="1"/>
            <c:invertIfNegative val="0"/>
            <c:bubble3D val="0"/>
            <c:spPr>
              <a:solidFill>
                <a:schemeClr val="accent2"/>
              </a:solidFill>
              <a:ln>
                <a:solidFill>
                  <a:schemeClr val="accent2"/>
                </a:solidFill>
              </a:ln>
              <a:effectLst/>
            </c:spPr>
            <c:extLst>
              <c:ext xmlns:c16="http://schemas.microsoft.com/office/drawing/2014/chart" uri="{C3380CC4-5D6E-409C-BE32-E72D297353CC}">
                <c16:uniqueId val="{00000001-885A-4744-A11E-C81A9B9FA445}"/>
              </c:ext>
            </c:extLst>
          </c:dPt>
          <c:cat>
            <c:strRef>
              <c:f>'NE RES Emit'!$A$3:$A$11</c:f>
              <c:strCache>
                <c:ptCount val="9"/>
                <c:pt idx="0">
                  <c:v>CT</c:v>
                </c:pt>
                <c:pt idx="1">
                  <c:v>MA</c:v>
                </c:pt>
                <c:pt idx="2">
                  <c:v>ME</c:v>
                </c:pt>
                <c:pt idx="3">
                  <c:v>NH</c:v>
                </c:pt>
                <c:pt idx="4">
                  <c:v>NJ</c:v>
                </c:pt>
                <c:pt idx="5">
                  <c:v>NY</c:v>
                </c:pt>
                <c:pt idx="6">
                  <c:v>PA</c:v>
                </c:pt>
                <c:pt idx="7">
                  <c:v>RI</c:v>
                </c:pt>
                <c:pt idx="8">
                  <c:v>VT</c:v>
                </c:pt>
              </c:strCache>
            </c:strRef>
          </c:cat>
          <c:val>
            <c:numRef>
              <c:f>'NE I emit'!$AR$3:$AR$11</c:f>
              <c:numCache>
                <c:formatCode>0.00%</c:formatCode>
                <c:ptCount val="9"/>
                <c:pt idx="0">
                  <c:v>-1.8579645024280982E-2</c:v>
                </c:pt>
                <c:pt idx="1">
                  <c:v>-3.4676703415346967E-3</c:v>
                </c:pt>
                <c:pt idx="2">
                  <c:v>-4.5896692263132352E-2</c:v>
                </c:pt>
                <c:pt idx="3">
                  <c:v>5.3738619817234349E-3</c:v>
                </c:pt>
                <c:pt idx="4">
                  <c:v>1.3447811398978497E-2</c:v>
                </c:pt>
                <c:pt idx="5">
                  <c:v>8.9109529226151125E-3</c:v>
                </c:pt>
                <c:pt idx="6">
                  <c:v>5.4306766571388457E-2</c:v>
                </c:pt>
                <c:pt idx="7">
                  <c:v>1.7588693340027334E-3</c:v>
                </c:pt>
                <c:pt idx="8">
                  <c:v>-1.5390624097991228E-2</c:v>
                </c:pt>
              </c:numCache>
            </c:numRef>
          </c:val>
          <c:extLst>
            <c:ext xmlns:c16="http://schemas.microsoft.com/office/drawing/2014/chart" uri="{C3380CC4-5D6E-409C-BE32-E72D297353CC}">
              <c16:uniqueId val="{00000002-885A-4744-A11E-C81A9B9FA445}"/>
            </c:ext>
          </c:extLst>
        </c:ser>
        <c:dLbls>
          <c:showLegendKey val="0"/>
          <c:showVal val="0"/>
          <c:showCatName val="0"/>
          <c:showSerName val="0"/>
          <c:showPercent val="0"/>
          <c:showBubbleSize val="0"/>
        </c:dLbls>
        <c:gapWidth val="219"/>
        <c:overlap val="-27"/>
        <c:axId val="306987040"/>
        <c:axId val="306992800"/>
      </c:barChart>
      <c:catAx>
        <c:axId val="3069870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92800"/>
        <c:crosses val="autoZero"/>
        <c:auto val="1"/>
        <c:lblAlgn val="ctr"/>
        <c:lblOffset val="200"/>
        <c:noMultiLvlLbl val="0"/>
      </c:catAx>
      <c:valAx>
        <c:axId val="30699280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069870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chart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chart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0E07069-E431-4565-930E-584D49E9BC01}">
  <sheetPr/>
  <sheetViews>
    <sheetView zoomScale="167" workbookViewId="0" zoomToFit="1"/>
    <sheetView zoomScale="167" workbookViewId="1" zoomToFit="1"/>
  </sheetViews>
  <pageMargins left="0.7" right="0.7" top="0.75" bottom="0.75" header="0.3" footer="0.3"/>
  <drawing r:id="rId1"/>
</chartsheet>
</file>

<file path=xl/chartsheets/sheet10.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FDABBD6-18F1-416F-AEA4-C7F084FF4B94}">
  <sheetPr/>
  <sheetViews>
    <sheetView zoomScale="167" workbookViewId="0" zoomToFit="1"/>
    <sheetView zoomScale="167" workbookViewId="1" zoomToFit="1"/>
  </sheetViews>
  <pageMargins left="0.7" right="0.7" top="0.75" bottom="0.75" header="0.3" footer="0.3"/>
  <drawing r:id="rId1"/>
</chartsheet>
</file>

<file path=xl/chartsheets/sheet1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5A14AE2A-FAA1-4B21-988B-E7E477468E70}">
  <sheetPr/>
  <sheetViews>
    <sheetView zoomScale="167" workbookViewId="0" zoomToFit="1"/>
    <sheetView zoomScale="167" workbookViewId="1" zoomToFit="1"/>
  </sheetViews>
  <pageMargins left="0.7" right="0.7" top="0.75" bottom="0.75" header="0.3" footer="0.3"/>
  <drawing r:id="rId1"/>
</chartsheet>
</file>

<file path=xl/chartsheets/sheet1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B1C60687-3CA5-48F4-8B77-4AC850334451}">
  <sheetPr/>
  <sheetViews>
    <sheetView zoomScale="167" workbookViewId="0" zoomToFit="1"/>
    <sheetView zoomScale="167" workbookViewId="1"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55EBAF00-0137-4A03-ABEA-DAB8CF79FCA9}">
  <sheetPr/>
  <sheetViews>
    <sheetView zoomScale="147" workbookViewId="0" zoomToFit="1"/>
    <sheetView zoomScale="147" workbookViewId="1"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E651D61-E6B2-4680-AA15-415F2589D1C1}">
  <sheetPr/>
  <sheetViews>
    <sheetView zoomScale="167" workbookViewId="0" zoomToFit="1"/>
    <sheetView zoomScale="167" workbookViewId="1"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3F4073F-8C36-4D74-B4B9-959B8F7468BB}">
  <sheetPr/>
  <sheetViews>
    <sheetView zoomScale="167" workbookViewId="0" zoomToFit="1"/>
    <sheetView zoomScale="167" workbookViewId="1"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413099A-62DE-4634-AD1F-ABA834047F01}">
  <sheetPr/>
  <sheetViews>
    <sheetView zoomScale="167" workbookViewId="0" zoomToFit="1"/>
    <sheetView zoomScale="167" workbookViewId="1" zoomToFit="1"/>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1B3006F2-B1B9-4D8D-9960-173E709BD1B4}">
  <sheetPr/>
  <sheetViews>
    <sheetView zoomScale="167" workbookViewId="0" zoomToFit="1"/>
    <sheetView zoomScale="167" workbookViewId="1" zoomToFit="1"/>
  </sheetViews>
  <pageMargins left="0.7" right="0.7" top="0.75" bottom="0.75" header="0.3" footer="0.3"/>
  <drawing r:id="rId1"/>
</chartsheet>
</file>

<file path=xl/chartsheets/sheet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9031AD5-E24C-463E-AF9D-F2B698414E9D}">
  <sheetPr/>
  <sheetViews>
    <sheetView zoomScale="167" workbookViewId="0" zoomToFit="1"/>
    <sheetView zoomScale="167" workbookViewId="1" zoomToFit="1"/>
  </sheetViews>
  <pageMargins left="0.7" right="0.7" top="0.75" bottom="0.75" header="0.3" footer="0.3"/>
  <drawing r:id="rId1"/>
</chartsheet>
</file>

<file path=xl/chartsheets/sheet8.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E343A61-1235-44F8-AF23-E43119851C52}">
  <sheetPr/>
  <sheetViews>
    <sheetView zoomScale="167" workbookViewId="0" zoomToFit="1"/>
    <sheetView zoomScale="167" workbookViewId="1" zoomToFit="1"/>
  </sheetViews>
  <pageMargins left="0.7" right="0.7" top="0.75" bottom="0.75" header="0.3" footer="0.3"/>
  <drawing r:id="rId1"/>
</chartsheet>
</file>

<file path=xl/chartsheets/sheet9.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190FF85-C765-421E-B775-B3C2806F584C}">
  <sheetPr/>
  <sheetViews>
    <sheetView zoomScale="167" workbookViewId="0" zoomToFit="1"/>
    <sheetView zoomScale="167" workbookViewId="1"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8" Type="http://schemas.openxmlformats.org/officeDocument/2006/relationships/chart" Target="../charts/chart20.xml"/><Relationship Id="rId13" Type="http://schemas.openxmlformats.org/officeDocument/2006/relationships/chart" Target="../charts/chart25.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5" Type="http://schemas.openxmlformats.org/officeDocument/2006/relationships/chart" Target="../charts/chart2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 Id="rId14"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absoluteAnchor>
    <xdr:pos x="0" y="0"/>
    <xdr:ext cx="8669694" cy="6298163"/>
    <xdr:graphicFrame macro="">
      <xdr:nvGraphicFramePr>
        <xdr:cNvPr id="2" name="Chart 1">
          <a:extLst>
            <a:ext uri="{FF2B5EF4-FFF2-40B4-BE49-F238E27FC236}">
              <a16:creationId xmlns:a16="http://schemas.microsoft.com/office/drawing/2014/main" id="{7D0C7D14-0211-EB87-87B6-7B335FFAF49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absoluteAnchor>
    <xdr:pos x="0" y="0"/>
    <xdr:ext cx="8675165" cy="6296766"/>
    <xdr:graphicFrame macro="">
      <xdr:nvGraphicFramePr>
        <xdr:cNvPr id="2" name="Chart 1">
          <a:extLst>
            <a:ext uri="{FF2B5EF4-FFF2-40B4-BE49-F238E27FC236}">
              <a16:creationId xmlns:a16="http://schemas.microsoft.com/office/drawing/2014/main" id="{3B6FFB1A-569E-B86E-021D-3EB294BD86C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xdr:wsDr xmlns:xdr="http://schemas.openxmlformats.org/drawingml/2006/spreadsheetDrawing" xmlns:a="http://schemas.openxmlformats.org/drawingml/2006/main">
  <xdr:absoluteAnchor>
    <xdr:pos x="0" y="0"/>
    <xdr:ext cx="8675165" cy="6296766"/>
    <xdr:graphicFrame macro="">
      <xdr:nvGraphicFramePr>
        <xdr:cNvPr id="2" name="Chart 1">
          <a:extLst>
            <a:ext uri="{FF2B5EF4-FFF2-40B4-BE49-F238E27FC236}">
              <a16:creationId xmlns:a16="http://schemas.microsoft.com/office/drawing/2014/main" id="{A803F45E-5D1F-E950-E811-220F5BD33DF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xdr:wsDr xmlns:xdr="http://schemas.openxmlformats.org/drawingml/2006/spreadsheetDrawing" xmlns:a="http://schemas.openxmlformats.org/drawingml/2006/main">
  <xdr:absoluteAnchor>
    <xdr:pos x="0" y="0"/>
    <xdr:ext cx="8675165" cy="6296766"/>
    <xdr:graphicFrame macro="">
      <xdr:nvGraphicFramePr>
        <xdr:cNvPr id="2" name="Chart 1">
          <a:extLst>
            <a:ext uri="{FF2B5EF4-FFF2-40B4-BE49-F238E27FC236}">
              <a16:creationId xmlns:a16="http://schemas.microsoft.com/office/drawing/2014/main" id="{107CC037-4997-913C-DCD1-E89BE9B10DF1}"/>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xdr:wsDr xmlns:xdr="http://schemas.openxmlformats.org/drawingml/2006/spreadsheetDrawing" xmlns:a="http://schemas.openxmlformats.org/drawingml/2006/main">
  <xdr:twoCellAnchor>
    <xdr:from>
      <xdr:col>13</xdr:col>
      <xdr:colOff>238125</xdr:colOff>
      <xdr:row>2</xdr:row>
      <xdr:rowOff>180975</xdr:rowOff>
    </xdr:from>
    <xdr:to>
      <xdr:col>19</xdr:col>
      <xdr:colOff>238125</xdr:colOff>
      <xdr:row>12</xdr:row>
      <xdr:rowOff>180975</xdr:rowOff>
    </xdr:to>
    <xdr:graphicFrame macro="">
      <xdr:nvGraphicFramePr>
        <xdr:cNvPr id="7" name="Chart 6">
          <a:extLst>
            <a:ext uri="{FF2B5EF4-FFF2-40B4-BE49-F238E27FC236}">
              <a16:creationId xmlns:a16="http://schemas.microsoft.com/office/drawing/2014/main" id="{B9601554-420A-5694-365E-17CDB19D65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238125</xdr:colOff>
      <xdr:row>4</xdr:row>
      <xdr:rowOff>180975</xdr:rowOff>
    </xdr:from>
    <xdr:to>
      <xdr:col>20</xdr:col>
      <xdr:colOff>238125</xdr:colOff>
      <xdr:row>14</xdr:row>
      <xdr:rowOff>180975</xdr:rowOff>
    </xdr:to>
    <xdr:graphicFrame macro="">
      <xdr:nvGraphicFramePr>
        <xdr:cNvPr id="8" name="Chart 7">
          <a:extLst>
            <a:ext uri="{FF2B5EF4-FFF2-40B4-BE49-F238E27FC236}">
              <a16:creationId xmlns:a16="http://schemas.microsoft.com/office/drawing/2014/main" id="{40BF6B33-5A01-06D4-8966-5485D65DF3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238125</xdr:colOff>
      <xdr:row>6</xdr:row>
      <xdr:rowOff>180975</xdr:rowOff>
    </xdr:from>
    <xdr:to>
      <xdr:col>21</xdr:col>
      <xdr:colOff>238125</xdr:colOff>
      <xdr:row>16</xdr:row>
      <xdr:rowOff>180975</xdr:rowOff>
    </xdr:to>
    <xdr:graphicFrame macro="">
      <xdr:nvGraphicFramePr>
        <xdr:cNvPr id="9" name="Chart 8">
          <a:extLst>
            <a:ext uri="{FF2B5EF4-FFF2-40B4-BE49-F238E27FC236}">
              <a16:creationId xmlns:a16="http://schemas.microsoft.com/office/drawing/2014/main" id="{81E49001-5668-26A3-25AB-A6B4C073C5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238125</xdr:colOff>
      <xdr:row>8</xdr:row>
      <xdr:rowOff>180975</xdr:rowOff>
    </xdr:from>
    <xdr:to>
      <xdr:col>22</xdr:col>
      <xdr:colOff>238125</xdr:colOff>
      <xdr:row>18</xdr:row>
      <xdr:rowOff>180975</xdr:rowOff>
    </xdr:to>
    <xdr:graphicFrame macro="">
      <xdr:nvGraphicFramePr>
        <xdr:cNvPr id="10" name="Chart 9">
          <a:extLst>
            <a:ext uri="{FF2B5EF4-FFF2-40B4-BE49-F238E27FC236}">
              <a16:creationId xmlns:a16="http://schemas.microsoft.com/office/drawing/2014/main" id="{77F63DE7-0426-CFC5-7A18-8E524BA338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238125</xdr:colOff>
      <xdr:row>10</xdr:row>
      <xdr:rowOff>180975</xdr:rowOff>
    </xdr:from>
    <xdr:to>
      <xdr:col>23</xdr:col>
      <xdr:colOff>238125</xdr:colOff>
      <xdr:row>20</xdr:row>
      <xdr:rowOff>180975</xdr:rowOff>
    </xdr:to>
    <xdr:graphicFrame macro="">
      <xdr:nvGraphicFramePr>
        <xdr:cNvPr id="11" name="Chart 10">
          <a:extLst>
            <a:ext uri="{FF2B5EF4-FFF2-40B4-BE49-F238E27FC236}">
              <a16:creationId xmlns:a16="http://schemas.microsoft.com/office/drawing/2014/main" id="{77D2F51D-D9F9-A496-D8E7-8B90E1DB92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238125</xdr:colOff>
      <xdr:row>2</xdr:row>
      <xdr:rowOff>180975</xdr:rowOff>
    </xdr:from>
    <xdr:to>
      <xdr:col>39</xdr:col>
      <xdr:colOff>238125</xdr:colOff>
      <xdr:row>12</xdr:row>
      <xdr:rowOff>180975</xdr:rowOff>
    </xdr:to>
    <xdr:graphicFrame macro="">
      <xdr:nvGraphicFramePr>
        <xdr:cNvPr id="12" name="Chart 11">
          <a:extLst>
            <a:ext uri="{FF2B5EF4-FFF2-40B4-BE49-F238E27FC236}">
              <a16:creationId xmlns:a16="http://schemas.microsoft.com/office/drawing/2014/main" id="{C5027F57-9CB4-72A0-5D7B-3A1EBD8FC9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238125</xdr:colOff>
      <xdr:row>4</xdr:row>
      <xdr:rowOff>180975</xdr:rowOff>
    </xdr:from>
    <xdr:to>
      <xdr:col>40</xdr:col>
      <xdr:colOff>238125</xdr:colOff>
      <xdr:row>14</xdr:row>
      <xdr:rowOff>180975</xdr:rowOff>
    </xdr:to>
    <xdr:graphicFrame macro="">
      <xdr:nvGraphicFramePr>
        <xdr:cNvPr id="13" name="Chart 12">
          <a:extLst>
            <a:ext uri="{FF2B5EF4-FFF2-40B4-BE49-F238E27FC236}">
              <a16:creationId xmlns:a16="http://schemas.microsoft.com/office/drawing/2014/main" id="{778CE0B9-7345-9A62-DCD5-FAB90E3509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35</xdr:col>
      <xdr:colOff>238125</xdr:colOff>
      <xdr:row>6</xdr:row>
      <xdr:rowOff>180975</xdr:rowOff>
    </xdr:from>
    <xdr:to>
      <xdr:col>41</xdr:col>
      <xdr:colOff>238125</xdr:colOff>
      <xdr:row>16</xdr:row>
      <xdr:rowOff>180975</xdr:rowOff>
    </xdr:to>
    <xdr:graphicFrame macro="">
      <xdr:nvGraphicFramePr>
        <xdr:cNvPr id="14" name="Chart 13">
          <a:extLst>
            <a:ext uri="{FF2B5EF4-FFF2-40B4-BE49-F238E27FC236}">
              <a16:creationId xmlns:a16="http://schemas.microsoft.com/office/drawing/2014/main" id="{16E7BA21-19EC-F44D-5A79-446ED6B090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36</xdr:col>
      <xdr:colOff>238125</xdr:colOff>
      <xdr:row>8</xdr:row>
      <xdr:rowOff>180975</xdr:rowOff>
    </xdr:from>
    <xdr:to>
      <xdr:col>42</xdr:col>
      <xdr:colOff>238125</xdr:colOff>
      <xdr:row>18</xdr:row>
      <xdr:rowOff>180975</xdr:rowOff>
    </xdr:to>
    <xdr:graphicFrame macro="">
      <xdr:nvGraphicFramePr>
        <xdr:cNvPr id="15" name="Chart 14">
          <a:extLst>
            <a:ext uri="{FF2B5EF4-FFF2-40B4-BE49-F238E27FC236}">
              <a16:creationId xmlns:a16="http://schemas.microsoft.com/office/drawing/2014/main" id="{F7D65D14-D9CF-E9F4-979B-3A147750C2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37</xdr:col>
      <xdr:colOff>238125</xdr:colOff>
      <xdr:row>10</xdr:row>
      <xdr:rowOff>180975</xdr:rowOff>
    </xdr:from>
    <xdr:to>
      <xdr:col>43</xdr:col>
      <xdr:colOff>238125</xdr:colOff>
      <xdr:row>20</xdr:row>
      <xdr:rowOff>180975</xdr:rowOff>
    </xdr:to>
    <xdr:graphicFrame macro="">
      <xdr:nvGraphicFramePr>
        <xdr:cNvPr id="16" name="Chart 15">
          <a:extLst>
            <a:ext uri="{FF2B5EF4-FFF2-40B4-BE49-F238E27FC236}">
              <a16:creationId xmlns:a16="http://schemas.microsoft.com/office/drawing/2014/main" id="{02967EDD-C777-E1ED-9CDD-DCC6091AD3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33</xdr:col>
      <xdr:colOff>238125</xdr:colOff>
      <xdr:row>2</xdr:row>
      <xdr:rowOff>180975</xdr:rowOff>
    </xdr:from>
    <xdr:to>
      <xdr:col>39</xdr:col>
      <xdr:colOff>238125</xdr:colOff>
      <xdr:row>12</xdr:row>
      <xdr:rowOff>180975</xdr:rowOff>
    </xdr:to>
    <xdr:graphicFrame macro="">
      <xdr:nvGraphicFramePr>
        <xdr:cNvPr id="17" name="Chart 16">
          <a:extLst>
            <a:ext uri="{FF2B5EF4-FFF2-40B4-BE49-F238E27FC236}">
              <a16:creationId xmlns:a16="http://schemas.microsoft.com/office/drawing/2014/main" id="{734B530A-4F2A-C81B-BDC9-89830BAC39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34</xdr:col>
      <xdr:colOff>238125</xdr:colOff>
      <xdr:row>4</xdr:row>
      <xdr:rowOff>180975</xdr:rowOff>
    </xdr:from>
    <xdr:to>
      <xdr:col>40</xdr:col>
      <xdr:colOff>238125</xdr:colOff>
      <xdr:row>14</xdr:row>
      <xdr:rowOff>180975</xdr:rowOff>
    </xdr:to>
    <xdr:graphicFrame macro="">
      <xdr:nvGraphicFramePr>
        <xdr:cNvPr id="18" name="Chart 17">
          <a:extLst>
            <a:ext uri="{FF2B5EF4-FFF2-40B4-BE49-F238E27FC236}">
              <a16:creationId xmlns:a16="http://schemas.microsoft.com/office/drawing/2014/main" id="{E2FB27E0-C2DA-26C3-AE82-03F6798E2F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35</xdr:col>
      <xdr:colOff>238125</xdr:colOff>
      <xdr:row>6</xdr:row>
      <xdr:rowOff>180975</xdr:rowOff>
    </xdr:from>
    <xdr:to>
      <xdr:col>41</xdr:col>
      <xdr:colOff>238125</xdr:colOff>
      <xdr:row>16</xdr:row>
      <xdr:rowOff>180975</xdr:rowOff>
    </xdr:to>
    <xdr:graphicFrame macro="">
      <xdr:nvGraphicFramePr>
        <xdr:cNvPr id="19" name="Chart 18">
          <a:extLst>
            <a:ext uri="{FF2B5EF4-FFF2-40B4-BE49-F238E27FC236}">
              <a16:creationId xmlns:a16="http://schemas.microsoft.com/office/drawing/2014/main" id="{2C9D7E3B-B815-D61C-ED2F-52047B8F5C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36</xdr:col>
      <xdr:colOff>238125</xdr:colOff>
      <xdr:row>8</xdr:row>
      <xdr:rowOff>180975</xdr:rowOff>
    </xdr:from>
    <xdr:to>
      <xdr:col>42</xdr:col>
      <xdr:colOff>238125</xdr:colOff>
      <xdr:row>18</xdr:row>
      <xdr:rowOff>180975</xdr:rowOff>
    </xdr:to>
    <xdr:graphicFrame macro="">
      <xdr:nvGraphicFramePr>
        <xdr:cNvPr id="20" name="Chart 19">
          <a:extLst>
            <a:ext uri="{FF2B5EF4-FFF2-40B4-BE49-F238E27FC236}">
              <a16:creationId xmlns:a16="http://schemas.microsoft.com/office/drawing/2014/main" id="{55060D5A-F080-DCB3-1AEE-56AEE8D89A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37</xdr:col>
      <xdr:colOff>238125</xdr:colOff>
      <xdr:row>10</xdr:row>
      <xdr:rowOff>180975</xdr:rowOff>
    </xdr:from>
    <xdr:to>
      <xdr:col>43</xdr:col>
      <xdr:colOff>238125</xdr:colOff>
      <xdr:row>20</xdr:row>
      <xdr:rowOff>180975</xdr:rowOff>
    </xdr:to>
    <xdr:graphicFrame macro="">
      <xdr:nvGraphicFramePr>
        <xdr:cNvPr id="21" name="Chart 20">
          <a:extLst>
            <a:ext uri="{FF2B5EF4-FFF2-40B4-BE49-F238E27FC236}">
              <a16:creationId xmlns:a16="http://schemas.microsoft.com/office/drawing/2014/main" id="{AA6AAAAD-C570-AF9E-A16D-E446433527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absoluteAnchor>
    <xdr:pos x="0" y="0"/>
    <xdr:ext cx="8669694" cy="6298163"/>
    <xdr:graphicFrame macro="">
      <xdr:nvGraphicFramePr>
        <xdr:cNvPr id="2" name="Chart 1">
          <a:extLst>
            <a:ext uri="{FF2B5EF4-FFF2-40B4-BE49-F238E27FC236}">
              <a16:creationId xmlns:a16="http://schemas.microsoft.com/office/drawing/2014/main" id="{FA6F8D8E-CA12-9416-249F-3AF294A65CD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69694" cy="6298163"/>
    <xdr:graphicFrame macro="">
      <xdr:nvGraphicFramePr>
        <xdr:cNvPr id="2" name="Chart 1">
          <a:extLst>
            <a:ext uri="{FF2B5EF4-FFF2-40B4-BE49-F238E27FC236}">
              <a16:creationId xmlns:a16="http://schemas.microsoft.com/office/drawing/2014/main" id="{866090DE-A022-BD43-36FD-5E346E73A08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3E01AF7D-14F2-282B-A0AC-002529C8721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DFD9465F-B86C-561C-A462-E596527EA1A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357274B8-EB18-A3C8-217A-DDBDE82706C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A62D4948-FA89-EF4C-4B8D-B1CCF038E5E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6B6CF737-926C-6969-CEBA-D1009FAB550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0" y="0"/>
    <xdr:ext cx="8676173" cy="6298163"/>
    <xdr:graphicFrame macro="">
      <xdr:nvGraphicFramePr>
        <xdr:cNvPr id="2" name="Chart 1">
          <a:extLst>
            <a:ext uri="{FF2B5EF4-FFF2-40B4-BE49-F238E27FC236}">
              <a16:creationId xmlns:a16="http://schemas.microsoft.com/office/drawing/2014/main" id="{79CF2D6D-1A6B-35D5-DAD8-87DAAF91B1B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hyperlink" Target="https://willbrownsberger.com/wp-content/uploads/2023/09/Efficiency-of-Existing-Housing-Stock.xlsx"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doc/statewide-greenhouse-gas-emissions-level-proposed-1990-baseline-update-including-appendices-a-b-may-2021/download"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https://www.epa.gov/statelocalenergy/download-state-inventory-and-projection-tool"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pa.gov/system/files/documents/2024-04/us-ghg-inventory-2024-annex-2-emissions-fossil-fuel-combustion.pdf"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ia.gov/state/seds/sep_use/notes/use_guid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8523C-FD86-4660-8FAE-5C71900AC2E3}">
  <dimension ref="A1:B33"/>
  <sheetViews>
    <sheetView tabSelected="1" workbookViewId="0">
      <selection activeCell="D42" sqref="D42"/>
    </sheetView>
    <sheetView workbookViewId="1">
      <selection activeCell="A26" sqref="A26"/>
    </sheetView>
  </sheetViews>
  <sheetFormatPr defaultRowHeight="15" x14ac:dyDescent="0.25"/>
  <cols>
    <col min="1" max="1" width="16.85546875" customWidth="1"/>
    <col min="2" max="2" width="25.7109375" style="350" customWidth="1"/>
  </cols>
  <sheetData>
    <row r="1" spans="1:2" x14ac:dyDescent="0.25">
      <c r="A1" s="351" t="s">
        <v>2236</v>
      </c>
      <c r="B1" s="352" t="s">
        <v>20</v>
      </c>
    </row>
    <row r="2" spans="1:2" x14ac:dyDescent="0.25">
      <c r="A2" t="s">
        <v>2235</v>
      </c>
      <c r="B2" s="350" t="s">
        <v>2237</v>
      </c>
    </row>
    <row r="3" spans="1:2" x14ac:dyDescent="0.25">
      <c r="A3" t="s">
        <v>2238</v>
      </c>
      <c r="B3" s="350" t="s">
        <v>2239</v>
      </c>
    </row>
    <row r="4" spans="1:2" x14ac:dyDescent="0.25">
      <c r="A4" t="s">
        <v>19</v>
      </c>
      <c r="B4" s="350" t="s">
        <v>2240</v>
      </c>
    </row>
    <row r="5" spans="1:2" x14ac:dyDescent="0.25">
      <c r="A5" t="s">
        <v>2241</v>
      </c>
      <c r="B5" s="350" t="s">
        <v>2242</v>
      </c>
    </row>
    <row r="6" spans="1:2" x14ac:dyDescent="0.25">
      <c r="A6" t="s">
        <v>2244</v>
      </c>
      <c r="B6" s="350" t="s">
        <v>2245</v>
      </c>
    </row>
    <row r="7" spans="1:2" x14ac:dyDescent="0.25">
      <c r="A7" t="s">
        <v>2023</v>
      </c>
      <c r="B7" t="s">
        <v>2248</v>
      </c>
    </row>
    <row r="8" spans="1:2" x14ac:dyDescent="0.25">
      <c r="A8" t="s">
        <v>2247</v>
      </c>
      <c r="B8" t="s">
        <v>2249</v>
      </c>
    </row>
    <row r="9" spans="1:2" x14ac:dyDescent="0.25">
      <c r="A9" t="s">
        <v>2243</v>
      </c>
      <c r="B9" s="350" t="s">
        <v>2246</v>
      </c>
    </row>
    <row r="10" spans="1:2" x14ac:dyDescent="0.25">
      <c r="A10" t="s">
        <v>2250</v>
      </c>
      <c r="B10" t="s">
        <v>2253</v>
      </c>
    </row>
    <row r="11" spans="1:2" x14ac:dyDescent="0.25">
      <c r="A11" t="s">
        <v>2251</v>
      </c>
      <c r="B11" t="s">
        <v>2254</v>
      </c>
    </row>
    <row r="12" spans="1:2" x14ac:dyDescent="0.25">
      <c r="A12" t="s">
        <v>2252</v>
      </c>
      <c r="B12" t="s">
        <v>2255</v>
      </c>
    </row>
    <row r="13" spans="1:2" x14ac:dyDescent="0.25">
      <c r="A13" t="s">
        <v>2256</v>
      </c>
      <c r="B13" s="350" t="s">
        <v>2257</v>
      </c>
    </row>
    <row r="14" spans="1:2" x14ac:dyDescent="0.25">
      <c r="A14" s="350" t="s">
        <v>2258</v>
      </c>
      <c r="B14" s="350" t="s">
        <v>2261</v>
      </c>
    </row>
    <row r="15" spans="1:2" x14ac:dyDescent="0.25">
      <c r="A15" t="s">
        <v>2259</v>
      </c>
      <c r="B15" t="s">
        <v>2262</v>
      </c>
    </row>
    <row r="16" spans="1:2" x14ac:dyDescent="0.25">
      <c r="A16" t="s">
        <v>2260</v>
      </c>
      <c r="B16" t="s">
        <v>2263</v>
      </c>
    </row>
    <row r="17" spans="1:2" x14ac:dyDescent="0.25">
      <c r="A17" t="s">
        <v>2264</v>
      </c>
      <c r="B17" s="350" t="s">
        <v>2265</v>
      </c>
    </row>
    <row r="18" spans="1:2" x14ac:dyDescent="0.25">
      <c r="A18" t="s">
        <v>2266</v>
      </c>
      <c r="B18" s="350" t="s">
        <v>2267</v>
      </c>
    </row>
    <row r="19" spans="1:2" x14ac:dyDescent="0.25">
      <c r="A19" t="s">
        <v>2270</v>
      </c>
      <c r="B19" t="s">
        <v>2271</v>
      </c>
    </row>
    <row r="20" spans="1:2" x14ac:dyDescent="0.25">
      <c r="A20" t="s">
        <v>2268</v>
      </c>
      <c r="B20" t="s">
        <v>2272</v>
      </c>
    </row>
    <row r="21" spans="1:2" x14ac:dyDescent="0.25">
      <c r="A21" t="s">
        <v>2269</v>
      </c>
      <c r="B21" t="s">
        <v>2273</v>
      </c>
    </row>
    <row r="22" spans="1:2" x14ac:dyDescent="0.25">
      <c r="A22" t="s">
        <v>2274</v>
      </c>
      <c r="B22" s="350" t="s">
        <v>2275</v>
      </c>
    </row>
    <row r="23" spans="1:2" x14ac:dyDescent="0.25">
      <c r="A23" t="s">
        <v>2276</v>
      </c>
      <c r="B23" s="350" t="s">
        <v>2277</v>
      </c>
    </row>
    <row r="24" spans="1:2" x14ac:dyDescent="0.25">
      <c r="A24" t="s">
        <v>2278</v>
      </c>
      <c r="B24" s="350" t="s">
        <v>2279</v>
      </c>
    </row>
    <row r="25" spans="1:2" x14ac:dyDescent="0.25">
      <c r="A25" t="s">
        <v>2280</v>
      </c>
      <c r="B25" s="350" t="s">
        <v>2281</v>
      </c>
    </row>
    <row r="26" spans="1:2" x14ac:dyDescent="0.25">
      <c r="A26" s="2" t="s">
        <v>2289</v>
      </c>
    </row>
    <row r="27" spans="1:2" x14ac:dyDescent="0.25">
      <c r="A27" s="346" t="s">
        <v>2282</v>
      </c>
    </row>
    <row r="28" spans="1:2" x14ac:dyDescent="0.25">
      <c r="A28" s="346" t="s">
        <v>2283</v>
      </c>
    </row>
    <row r="29" spans="1:2" x14ac:dyDescent="0.25">
      <c r="A29" s="346" t="s">
        <v>2284</v>
      </c>
    </row>
    <row r="30" spans="1:2" x14ac:dyDescent="0.25">
      <c r="A30" s="346" t="s">
        <v>2285</v>
      </c>
    </row>
    <row r="31" spans="1:2" x14ac:dyDescent="0.25">
      <c r="A31" s="346" t="s">
        <v>2286</v>
      </c>
    </row>
    <row r="32" spans="1:2" x14ac:dyDescent="0.25">
      <c r="A32" s="346" t="s">
        <v>2288</v>
      </c>
    </row>
    <row r="33" spans="1:1" x14ac:dyDescent="0.25">
      <c r="A33" s="346" t="s">
        <v>2287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EB49-1349-459B-9AF1-9F1EA14D079C}">
  <dimension ref="A1:AN59"/>
  <sheetViews>
    <sheetView workbookViewId="0">
      <selection activeCell="AN37" sqref="AN37"/>
    </sheetView>
    <sheetView workbookViewId="1"/>
  </sheetViews>
  <sheetFormatPr defaultRowHeight="15" x14ac:dyDescent="0.25"/>
  <cols>
    <col min="1" max="2" width="12.7109375" customWidth="1"/>
    <col min="40" max="40" width="12" bestFit="1" customWidth="1"/>
    <col min="41" max="41" width="14.140625" customWidth="1"/>
  </cols>
  <sheetData>
    <row r="1" spans="1:39" x14ac:dyDescent="0.25">
      <c r="A1" t="s">
        <v>1953</v>
      </c>
    </row>
    <row r="2" spans="1:39" x14ac:dyDescent="0.25">
      <c r="A2" s="136" t="s">
        <v>1786</v>
      </c>
      <c r="B2" s="136" t="s">
        <v>1821</v>
      </c>
      <c r="C2" s="136" t="s">
        <v>1822</v>
      </c>
      <c r="D2" s="136" t="s">
        <v>1823</v>
      </c>
      <c r="E2" s="136" t="s">
        <v>1824</v>
      </c>
      <c r="F2" s="136" t="s">
        <v>1825</v>
      </c>
      <c r="G2" s="136" t="s">
        <v>1826</v>
      </c>
      <c r="H2" s="136" t="s">
        <v>1827</v>
      </c>
      <c r="I2" s="136" t="s">
        <v>1828</v>
      </c>
      <c r="J2" s="136" t="s">
        <v>1829</v>
      </c>
      <c r="K2" s="136" t="s">
        <v>1830</v>
      </c>
      <c r="L2" s="136" t="s">
        <v>1831</v>
      </c>
      <c r="M2" s="136" t="s">
        <v>1832</v>
      </c>
      <c r="N2" s="136" t="s">
        <v>1833</v>
      </c>
      <c r="O2" s="136" t="s">
        <v>1834</v>
      </c>
      <c r="P2" s="136" t="s">
        <v>1835</v>
      </c>
      <c r="Q2" s="136" t="s">
        <v>1836</v>
      </c>
      <c r="R2" s="136" t="s">
        <v>1837</v>
      </c>
      <c r="S2" s="136" t="s">
        <v>1838</v>
      </c>
      <c r="T2" s="136" t="s">
        <v>1839</v>
      </c>
      <c r="U2" s="136" t="s">
        <v>1840</v>
      </c>
      <c r="V2" s="136" t="s">
        <v>1841</v>
      </c>
      <c r="W2" s="136" t="s">
        <v>1842</v>
      </c>
      <c r="X2" s="136" t="s">
        <v>1843</v>
      </c>
      <c r="Y2" s="136" t="s">
        <v>1844</v>
      </c>
      <c r="Z2" s="136" t="s">
        <v>1845</v>
      </c>
      <c r="AA2" s="136" t="s">
        <v>1846</v>
      </c>
      <c r="AB2" s="136" t="s">
        <v>1847</v>
      </c>
      <c r="AC2" s="136" t="s">
        <v>1848</v>
      </c>
      <c r="AD2" s="136" t="s">
        <v>1849</v>
      </c>
      <c r="AE2" s="136" t="s">
        <v>1850</v>
      </c>
      <c r="AF2" s="136" t="s">
        <v>1851</v>
      </c>
      <c r="AG2" s="136" t="s">
        <v>1852</v>
      </c>
      <c r="AH2" s="136" t="s">
        <v>1853</v>
      </c>
      <c r="AI2" s="136" t="s">
        <v>1854</v>
      </c>
      <c r="AJ2" s="116" t="s">
        <v>1954</v>
      </c>
      <c r="AK2" s="116" t="s">
        <v>1955</v>
      </c>
      <c r="AL2" s="116" t="s">
        <v>1956</v>
      </c>
      <c r="AM2" s="110" t="s">
        <v>1957</v>
      </c>
    </row>
    <row r="3" spans="1:39" x14ac:dyDescent="0.25">
      <c r="A3" s="155" t="s">
        <v>1922</v>
      </c>
      <c r="B3" s="109">
        <v>121498</v>
      </c>
      <c r="C3" s="109">
        <v>117974</v>
      </c>
      <c r="D3" s="109">
        <v>139396</v>
      </c>
      <c r="E3" s="109">
        <v>133544</v>
      </c>
      <c r="F3" s="109">
        <v>128012</v>
      </c>
      <c r="G3" s="109">
        <v>118326</v>
      </c>
      <c r="H3" s="109">
        <v>125743</v>
      </c>
      <c r="I3" s="109">
        <v>121495</v>
      </c>
      <c r="J3" s="109">
        <v>105903</v>
      </c>
      <c r="K3" s="109">
        <v>118920</v>
      </c>
      <c r="L3" s="109">
        <v>130015</v>
      </c>
      <c r="M3" s="109">
        <v>126181</v>
      </c>
      <c r="N3" s="109">
        <v>122444</v>
      </c>
      <c r="O3" s="109">
        <v>145182</v>
      </c>
      <c r="P3" s="109">
        <v>151290</v>
      </c>
      <c r="Q3" s="109">
        <v>139234</v>
      </c>
      <c r="R3" s="109">
        <v>120363</v>
      </c>
      <c r="S3" s="109">
        <v>125047</v>
      </c>
      <c r="T3" s="109">
        <v>122756</v>
      </c>
      <c r="U3" s="109">
        <v>123333</v>
      </c>
      <c r="V3" s="109">
        <v>115692</v>
      </c>
      <c r="W3" s="109">
        <v>111563</v>
      </c>
      <c r="X3" s="109">
        <v>102828</v>
      </c>
      <c r="Y3" s="109">
        <v>112604</v>
      </c>
      <c r="Z3" s="109">
        <v>117808</v>
      </c>
      <c r="AA3" s="109">
        <v>120453</v>
      </c>
      <c r="AB3" s="109">
        <v>99598</v>
      </c>
      <c r="AC3" s="109">
        <v>103809</v>
      </c>
      <c r="AD3" s="109">
        <v>118139</v>
      </c>
      <c r="AE3" s="109">
        <v>115330</v>
      </c>
      <c r="AF3" s="109">
        <v>104346</v>
      </c>
      <c r="AG3" s="109">
        <v>112508</v>
      </c>
      <c r="AH3" s="109">
        <v>112001</v>
      </c>
      <c r="AI3" s="109">
        <v>107491</v>
      </c>
      <c r="AJ3">
        <f t="shared" ref="AJ3:AJ11" si="0">MIN(B3:AI3)</f>
        <v>99598</v>
      </c>
      <c r="AK3" s="113">
        <f>AI3/AJ3-1</f>
        <v>7.9248579288740739E-2</v>
      </c>
      <c r="AL3">
        <f>MAX(B3:AI3)</f>
        <v>151290</v>
      </c>
      <c r="AM3" s="149">
        <f>AJ3/AL3-1</f>
        <v>-0.34167492894441143</v>
      </c>
    </row>
    <row r="4" spans="1:39" x14ac:dyDescent="0.25">
      <c r="A4" s="155" t="s">
        <v>1788</v>
      </c>
      <c r="B4" s="109">
        <v>235836</v>
      </c>
      <c r="C4" s="109">
        <v>224173</v>
      </c>
      <c r="D4" s="109">
        <v>257444</v>
      </c>
      <c r="E4" s="109">
        <v>259618</v>
      </c>
      <c r="F4" s="109">
        <v>256301</v>
      </c>
      <c r="G4" s="109">
        <v>230804</v>
      </c>
      <c r="H4" s="109">
        <v>230690</v>
      </c>
      <c r="I4" s="109">
        <v>227541</v>
      </c>
      <c r="J4" s="109">
        <v>208381</v>
      </c>
      <c r="K4" s="109">
        <v>221843</v>
      </c>
      <c r="L4" s="109">
        <v>245318</v>
      </c>
      <c r="M4" s="109">
        <v>247871</v>
      </c>
      <c r="N4" s="109">
        <v>246947</v>
      </c>
      <c r="O4" s="109">
        <v>258407</v>
      </c>
      <c r="P4" s="109">
        <v>235495</v>
      </c>
      <c r="Q4" s="109">
        <v>235856</v>
      </c>
      <c r="R4" s="109">
        <v>203734</v>
      </c>
      <c r="S4" s="109">
        <v>216722</v>
      </c>
      <c r="T4" s="109">
        <v>233549</v>
      </c>
      <c r="U4" s="109">
        <v>226882</v>
      </c>
      <c r="V4" s="109">
        <v>221127</v>
      </c>
      <c r="W4" s="109">
        <v>222912</v>
      </c>
      <c r="X4" s="109">
        <v>194115</v>
      </c>
      <c r="Y4" s="109">
        <v>202243</v>
      </c>
      <c r="Z4" s="109">
        <v>222560</v>
      </c>
      <c r="AA4" s="109">
        <v>221732</v>
      </c>
      <c r="AB4" s="109">
        <v>188154</v>
      </c>
      <c r="AC4" s="109">
        <v>204019</v>
      </c>
      <c r="AD4" s="109">
        <v>219982</v>
      </c>
      <c r="AE4" s="109">
        <v>225886</v>
      </c>
      <c r="AF4" s="109">
        <v>201014</v>
      </c>
      <c r="AG4" s="109">
        <v>206543</v>
      </c>
      <c r="AH4" s="109">
        <v>214397</v>
      </c>
      <c r="AI4" s="109">
        <v>192025</v>
      </c>
      <c r="AJ4">
        <f t="shared" si="0"/>
        <v>188154</v>
      </c>
      <c r="AK4" s="113">
        <f t="shared" ref="AK4:AK11" si="1">AI4/AJ4-1</f>
        <v>2.0573572711714894E-2</v>
      </c>
      <c r="AL4">
        <f t="shared" ref="AL4:AL11" si="2">MAX(B4:AI4)</f>
        <v>259618</v>
      </c>
      <c r="AM4" s="149">
        <f t="shared" ref="AM4:AM11" si="3">AJ4/AL4-1</f>
        <v>-0.2752659676909921</v>
      </c>
    </row>
    <row r="5" spans="1:39" x14ac:dyDescent="0.25">
      <c r="A5" s="155" t="s">
        <v>1923</v>
      </c>
      <c r="B5" s="109">
        <v>40869</v>
      </c>
      <c r="C5" s="109">
        <v>41031</v>
      </c>
      <c r="D5" s="109">
        <v>41230</v>
      </c>
      <c r="E5" s="109">
        <v>42917</v>
      </c>
      <c r="F5" s="109">
        <v>43974</v>
      </c>
      <c r="G5" s="109">
        <v>54021</v>
      </c>
      <c r="H5" s="109">
        <v>55657</v>
      </c>
      <c r="I5" s="109">
        <v>53756</v>
      </c>
      <c r="J5" s="109">
        <v>57961</v>
      </c>
      <c r="K5" s="109">
        <v>55156</v>
      </c>
      <c r="L5" s="109">
        <v>53571</v>
      </c>
      <c r="M5" s="109">
        <v>53375</v>
      </c>
      <c r="N5" s="109">
        <v>47832</v>
      </c>
      <c r="O5" s="109">
        <v>65665</v>
      </c>
      <c r="P5" s="109">
        <v>71110</v>
      </c>
      <c r="Q5" s="109">
        <v>63717</v>
      </c>
      <c r="R5" s="109">
        <v>55212</v>
      </c>
      <c r="S5" s="109">
        <v>53059</v>
      </c>
      <c r="T5" s="109">
        <v>43202</v>
      </c>
      <c r="U5" s="109">
        <v>40842</v>
      </c>
      <c r="V5" s="109">
        <v>37244</v>
      </c>
      <c r="W5" s="109">
        <v>38045</v>
      </c>
      <c r="X5" s="109">
        <v>31547</v>
      </c>
      <c r="Y5" s="109">
        <v>34039</v>
      </c>
      <c r="Z5" s="109">
        <v>36428</v>
      </c>
      <c r="AA5" s="109">
        <v>42943</v>
      </c>
      <c r="AB5" s="109">
        <v>41786</v>
      </c>
      <c r="AC5" s="109">
        <v>42253</v>
      </c>
      <c r="AD5" s="109">
        <v>44266</v>
      </c>
      <c r="AE5" s="109">
        <v>43161</v>
      </c>
      <c r="AF5" s="109">
        <v>40726</v>
      </c>
      <c r="AG5" s="109">
        <v>37884</v>
      </c>
      <c r="AH5" s="109">
        <v>37806</v>
      </c>
      <c r="AI5" s="109">
        <v>39902</v>
      </c>
      <c r="AJ5">
        <f t="shared" si="0"/>
        <v>31547</v>
      </c>
      <c r="AK5" s="113">
        <f t="shared" si="1"/>
        <v>0.26484293276698256</v>
      </c>
      <c r="AL5">
        <f t="shared" si="2"/>
        <v>71110</v>
      </c>
      <c r="AM5" s="149">
        <f t="shared" si="3"/>
        <v>-0.55636338067782309</v>
      </c>
    </row>
    <row r="6" spans="1:39" x14ac:dyDescent="0.25">
      <c r="A6" s="155" t="s">
        <v>1924</v>
      </c>
      <c r="B6" s="109">
        <v>35471</v>
      </c>
      <c r="C6" s="109">
        <v>35220</v>
      </c>
      <c r="D6" s="109">
        <v>37020</v>
      </c>
      <c r="E6" s="109">
        <v>36993</v>
      </c>
      <c r="F6" s="109">
        <v>37851</v>
      </c>
      <c r="G6" s="109">
        <v>39645</v>
      </c>
      <c r="H6" s="109">
        <v>42243</v>
      </c>
      <c r="I6" s="109">
        <v>41811</v>
      </c>
      <c r="J6" s="109">
        <v>40726</v>
      </c>
      <c r="K6" s="109">
        <v>41153</v>
      </c>
      <c r="L6" s="109">
        <v>42276</v>
      </c>
      <c r="M6" s="109">
        <v>41182</v>
      </c>
      <c r="N6" s="109">
        <v>38627</v>
      </c>
      <c r="O6" s="109">
        <v>47728</v>
      </c>
      <c r="P6" s="109">
        <v>48710</v>
      </c>
      <c r="Q6" s="109">
        <v>45958</v>
      </c>
      <c r="R6" s="109">
        <v>40424</v>
      </c>
      <c r="S6" s="109">
        <v>40809</v>
      </c>
      <c r="T6" s="109">
        <v>40205</v>
      </c>
      <c r="U6" s="109">
        <v>37902</v>
      </c>
      <c r="V6" s="109">
        <v>33731</v>
      </c>
      <c r="W6" s="109">
        <v>35352</v>
      </c>
      <c r="X6" s="109">
        <v>29394</v>
      </c>
      <c r="Y6" s="109">
        <v>34727</v>
      </c>
      <c r="Z6" s="109">
        <v>41174</v>
      </c>
      <c r="AA6" s="109">
        <v>41045</v>
      </c>
      <c r="AB6" s="109">
        <v>37979</v>
      </c>
      <c r="AC6" s="109">
        <v>41388</v>
      </c>
      <c r="AD6" s="109">
        <v>45135</v>
      </c>
      <c r="AE6" s="109">
        <v>44172</v>
      </c>
      <c r="AF6" s="109">
        <v>41193</v>
      </c>
      <c r="AG6" s="109">
        <v>36750</v>
      </c>
      <c r="AH6" s="109">
        <v>38050</v>
      </c>
      <c r="AI6" s="109">
        <v>37890</v>
      </c>
      <c r="AJ6">
        <f t="shared" si="0"/>
        <v>29394</v>
      </c>
      <c r="AK6" s="113">
        <f t="shared" si="1"/>
        <v>0.28903857930189836</v>
      </c>
      <c r="AL6">
        <f t="shared" si="2"/>
        <v>48710</v>
      </c>
      <c r="AM6" s="149">
        <f t="shared" si="3"/>
        <v>-0.39655101621843569</v>
      </c>
    </row>
    <row r="7" spans="1:39" x14ac:dyDescent="0.25">
      <c r="A7" s="155" t="s">
        <v>1939</v>
      </c>
      <c r="B7" s="109">
        <v>260239</v>
      </c>
      <c r="C7" s="109">
        <v>261401</v>
      </c>
      <c r="D7" s="109">
        <v>285555</v>
      </c>
      <c r="E7" s="109">
        <v>280987</v>
      </c>
      <c r="F7" s="109">
        <v>312110</v>
      </c>
      <c r="G7" s="109">
        <v>277858</v>
      </c>
      <c r="H7" s="109">
        <v>309147</v>
      </c>
      <c r="I7" s="109">
        <v>297104</v>
      </c>
      <c r="J7" s="109">
        <v>264864</v>
      </c>
      <c r="K7" s="109">
        <v>282595</v>
      </c>
      <c r="L7" s="109">
        <v>295798</v>
      </c>
      <c r="M7" s="109">
        <v>287529</v>
      </c>
      <c r="N7" s="109">
        <v>276947</v>
      </c>
      <c r="O7" s="109">
        <v>322755</v>
      </c>
      <c r="P7" s="109">
        <v>305654</v>
      </c>
      <c r="Q7" s="109">
        <v>297476</v>
      </c>
      <c r="R7" s="109">
        <v>250077</v>
      </c>
      <c r="S7" s="109">
        <v>285678</v>
      </c>
      <c r="T7" s="109">
        <v>280224</v>
      </c>
      <c r="U7" s="109">
        <v>277040</v>
      </c>
      <c r="V7" s="109">
        <v>262227</v>
      </c>
      <c r="W7" s="109">
        <v>251575</v>
      </c>
      <c r="X7" s="109">
        <v>225034</v>
      </c>
      <c r="Y7" s="109">
        <v>266906</v>
      </c>
      <c r="Z7" s="109">
        <v>292820</v>
      </c>
      <c r="AA7" s="109">
        <v>281186</v>
      </c>
      <c r="AB7" s="109">
        <v>247821</v>
      </c>
      <c r="AC7" s="109">
        <v>253910</v>
      </c>
      <c r="AD7" s="109">
        <v>287289</v>
      </c>
      <c r="AE7" s="109">
        <v>277727</v>
      </c>
      <c r="AF7" s="109">
        <v>256344</v>
      </c>
      <c r="AG7" s="109">
        <v>269579</v>
      </c>
      <c r="AH7" s="109">
        <v>276207</v>
      </c>
      <c r="AI7" s="109">
        <v>251116</v>
      </c>
      <c r="AJ7">
        <f t="shared" si="0"/>
        <v>225034</v>
      </c>
      <c r="AK7" s="113">
        <f t="shared" si="1"/>
        <v>0.11590248584658314</v>
      </c>
      <c r="AL7">
        <f t="shared" si="2"/>
        <v>322755</v>
      </c>
      <c r="AM7" s="149">
        <f t="shared" si="3"/>
        <v>-0.30277145203017763</v>
      </c>
    </row>
    <row r="8" spans="1:39" x14ac:dyDescent="0.25">
      <c r="A8" s="155" t="s">
        <v>1925</v>
      </c>
      <c r="B8" s="109">
        <v>557218</v>
      </c>
      <c r="C8" s="109">
        <v>547742</v>
      </c>
      <c r="D8" s="109">
        <v>605201</v>
      </c>
      <c r="E8" s="109">
        <v>598788</v>
      </c>
      <c r="F8" s="109">
        <v>593475</v>
      </c>
      <c r="G8" s="109">
        <v>576898</v>
      </c>
      <c r="H8" s="109">
        <v>616586</v>
      </c>
      <c r="I8" s="109">
        <v>582711</v>
      </c>
      <c r="J8" s="109">
        <v>530764</v>
      </c>
      <c r="K8" s="109">
        <v>576466</v>
      </c>
      <c r="L8" s="109">
        <v>653587</v>
      </c>
      <c r="M8" s="109">
        <v>631577</v>
      </c>
      <c r="N8" s="109">
        <v>598821</v>
      </c>
      <c r="O8" s="109">
        <v>652487</v>
      </c>
      <c r="P8" s="109">
        <v>634593</v>
      </c>
      <c r="Q8" s="109">
        <v>651545</v>
      </c>
      <c r="R8" s="109">
        <v>546280</v>
      </c>
      <c r="S8" s="109">
        <v>610091</v>
      </c>
      <c r="T8" s="109">
        <v>591727</v>
      </c>
      <c r="U8" s="109">
        <v>561864</v>
      </c>
      <c r="V8" s="109">
        <v>541764</v>
      </c>
      <c r="W8" s="109">
        <v>534690</v>
      </c>
      <c r="X8" s="109">
        <v>514686</v>
      </c>
      <c r="Y8" s="109">
        <v>557420</v>
      </c>
      <c r="Z8" s="109">
        <v>615764</v>
      </c>
      <c r="AA8" s="109">
        <v>613977</v>
      </c>
      <c r="AB8" s="109">
        <v>539671</v>
      </c>
      <c r="AC8" s="109">
        <v>554516</v>
      </c>
      <c r="AD8" s="109">
        <v>638652</v>
      </c>
      <c r="AE8" s="109">
        <v>626073</v>
      </c>
      <c r="AF8" s="109">
        <v>558185</v>
      </c>
      <c r="AG8" s="109">
        <v>590177</v>
      </c>
      <c r="AH8" s="109">
        <v>594300</v>
      </c>
      <c r="AI8" s="109">
        <v>555522</v>
      </c>
      <c r="AJ8">
        <f t="shared" si="0"/>
        <v>514686</v>
      </c>
      <c r="AK8" s="113">
        <f t="shared" si="1"/>
        <v>7.9341579137571339E-2</v>
      </c>
      <c r="AL8">
        <f t="shared" si="2"/>
        <v>653587</v>
      </c>
      <c r="AM8" s="149">
        <f t="shared" si="3"/>
        <v>-0.21252105687536627</v>
      </c>
    </row>
    <row r="9" spans="1:39" x14ac:dyDescent="0.25">
      <c r="A9" s="155" t="s">
        <v>1940</v>
      </c>
      <c r="B9" s="109">
        <v>389848</v>
      </c>
      <c r="C9" s="109">
        <v>393677</v>
      </c>
      <c r="D9" s="109">
        <v>422078</v>
      </c>
      <c r="E9" s="109">
        <v>433116</v>
      </c>
      <c r="F9" s="109">
        <v>428512</v>
      </c>
      <c r="G9" s="109">
        <v>415222</v>
      </c>
      <c r="H9" s="109">
        <v>436231</v>
      </c>
      <c r="I9" s="109">
        <v>411939</v>
      </c>
      <c r="J9" s="109">
        <v>350537</v>
      </c>
      <c r="K9" s="109">
        <v>390347</v>
      </c>
      <c r="L9" s="109">
        <v>426354</v>
      </c>
      <c r="M9" s="109">
        <v>403250</v>
      </c>
      <c r="N9" s="109">
        <v>393626</v>
      </c>
      <c r="O9" s="109">
        <v>436845</v>
      </c>
      <c r="P9" s="109">
        <v>416556</v>
      </c>
      <c r="Q9" s="109">
        <v>397496</v>
      </c>
      <c r="R9" s="109">
        <v>336287</v>
      </c>
      <c r="S9" s="109">
        <v>363841</v>
      </c>
      <c r="T9" s="109">
        <v>414237</v>
      </c>
      <c r="U9" s="109">
        <v>339107</v>
      </c>
      <c r="V9" s="109">
        <v>342309</v>
      </c>
      <c r="W9" s="109">
        <v>330790</v>
      </c>
      <c r="X9" s="109">
        <v>294493</v>
      </c>
      <c r="Y9" s="109">
        <v>342775</v>
      </c>
      <c r="Z9" s="109">
        <v>380940</v>
      </c>
      <c r="AA9" s="109">
        <v>353594</v>
      </c>
      <c r="AB9" s="109">
        <v>316438</v>
      </c>
      <c r="AC9" s="109">
        <v>318215</v>
      </c>
      <c r="AD9" s="109">
        <v>370646</v>
      </c>
      <c r="AE9" s="109">
        <v>337553</v>
      </c>
      <c r="AF9" s="109">
        <v>309122</v>
      </c>
      <c r="AG9" s="109">
        <v>330157</v>
      </c>
      <c r="AH9" s="109">
        <v>344599</v>
      </c>
      <c r="AI9" s="109">
        <v>306835</v>
      </c>
      <c r="AJ9">
        <f t="shared" si="0"/>
        <v>294493</v>
      </c>
      <c r="AK9" s="113">
        <f t="shared" si="1"/>
        <v>4.1909315331773556E-2</v>
      </c>
      <c r="AL9">
        <f t="shared" si="2"/>
        <v>436845</v>
      </c>
      <c r="AM9" s="149">
        <f t="shared" si="3"/>
        <v>-0.32586386475752271</v>
      </c>
    </row>
    <row r="10" spans="1:39" x14ac:dyDescent="0.25">
      <c r="A10" s="155" t="s">
        <v>1926</v>
      </c>
      <c r="B10" s="109">
        <v>36948</v>
      </c>
      <c r="C10" s="109">
        <v>37021</v>
      </c>
      <c r="D10" s="109">
        <v>43518</v>
      </c>
      <c r="E10" s="109">
        <v>41868</v>
      </c>
      <c r="F10" s="109">
        <v>41913</v>
      </c>
      <c r="G10" s="109">
        <v>39026</v>
      </c>
      <c r="H10" s="109">
        <v>42217</v>
      </c>
      <c r="I10" s="109">
        <v>40968</v>
      </c>
      <c r="J10" s="109">
        <v>37267</v>
      </c>
      <c r="K10" s="109">
        <v>36570</v>
      </c>
      <c r="L10" s="109">
        <v>39720</v>
      </c>
      <c r="M10" s="109">
        <v>40322</v>
      </c>
      <c r="N10" s="109">
        <v>38699</v>
      </c>
      <c r="O10" s="109">
        <v>44065</v>
      </c>
      <c r="P10" s="109">
        <v>43594</v>
      </c>
      <c r="Q10" s="109">
        <v>42238</v>
      </c>
      <c r="R10" s="109">
        <v>34728</v>
      </c>
      <c r="S10" s="109">
        <v>36178</v>
      </c>
      <c r="T10" s="109">
        <v>35507</v>
      </c>
      <c r="U10" s="109">
        <v>36915</v>
      </c>
      <c r="V10" s="109">
        <v>35080</v>
      </c>
      <c r="W10" s="109">
        <v>33713</v>
      </c>
      <c r="X10" s="109">
        <v>32451</v>
      </c>
      <c r="Y10" s="109">
        <v>35887</v>
      </c>
      <c r="Z10" s="109">
        <v>37288</v>
      </c>
      <c r="AA10" s="109">
        <v>38923</v>
      </c>
      <c r="AB10" s="109">
        <v>29795</v>
      </c>
      <c r="AC10" s="109">
        <v>30479</v>
      </c>
      <c r="AD10" s="109">
        <v>37321</v>
      </c>
      <c r="AE10" s="109">
        <v>33857</v>
      </c>
      <c r="AF10" s="109">
        <v>31054</v>
      </c>
      <c r="AG10" s="109">
        <v>34418</v>
      </c>
      <c r="AH10" s="109">
        <v>33956</v>
      </c>
      <c r="AI10" s="109">
        <v>32907</v>
      </c>
      <c r="AJ10">
        <f t="shared" si="0"/>
        <v>29795</v>
      </c>
      <c r="AK10" s="113">
        <f t="shared" si="1"/>
        <v>0.10444705487497896</v>
      </c>
      <c r="AL10">
        <f t="shared" si="2"/>
        <v>44065</v>
      </c>
      <c r="AM10" s="149">
        <f t="shared" si="3"/>
        <v>-0.3238397821400204</v>
      </c>
    </row>
    <row r="11" spans="1:39" x14ac:dyDescent="0.25">
      <c r="A11" s="155" t="s">
        <v>1927</v>
      </c>
      <c r="B11" s="109">
        <v>20030</v>
      </c>
      <c r="C11" s="109">
        <v>21010</v>
      </c>
      <c r="D11" s="109">
        <v>22973</v>
      </c>
      <c r="E11" s="109">
        <v>22343</v>
      </c>
      <c r="F11" s="109">
        <v>21318</v>
      </c>
      <c r="G11" s="109">
        <v>20616</v>
      </c>
      <c r="H11" s="109">
        <v>21767</v>
      </c>
      <c r="I11" s="109">
        <v>21262</v>
      </c>
      <c r="J11" s="109">
        <v>20318</v>
      </c>
      <c r="K11" s="109">
        <v>20016</v>
      </c>
      <c r="L11" s="109">
        <v>23056</v>
      </c>
      <c r="M11" s="109">
        <v>23074</v>
      </c>
      <c r="N11" s="109">
        <v>21714</v>
      </c>
      <c r="O11" s="109">
        <v>23109</v>
      </c>
      <c r="P11" s="109">
        <v>25734</v>
      </c>
      <c r="Q11" s="109">
        <v>23989</v>
      </c>
      <c r="R11" s="109">
        <v>22392</v>
      </c>
      <c r="S11" s="109">
        <v>22035</v>
      </c>
      <c r="T11" s="109">
        <v>19471</v>
      </c>
      <c r="U11" s="109">
        <v>21831</v>
      </c>
      <c r="V11" s="109">
        <v>19542</v>
      </c>
      <c r="W11" s="109">
        <v>18990</v>
      </c>
      <c r="X11" s="109">
        <v>16600</v>
      </c>
      <c r="Y11" s="109">
        <v>19137</v>
      </c>
      <c r="Z11" s="109">
        <v>20921</v>
      </c>
      <c r="AA11" s="109">
        <v>21360</v>
      </c>
      <c r="AB11" s="109">
        <v>19680</v>
      </c>
      <c r="AC11" s="109">
        <v>20681</v>
      </c>
      <c r="AD11" s="109">
        <v>22219</v>
      </c>
      <c r="AE11" s="109">
        <v>23249</v>
      </c>
      <c r="AF11" s="109">
        <v>21215</v>
      </c>
      <c r="AG11" s="109">
        <v>20399</v>
      </c>
      <c r="AH11" s="109">
        <v>19942</v>
      </c>
      <c r="AI11" s="109">
        <v>19427</v>
      </c>
      <c r="AJ11">
        <f t="shared" si="0"/>
        <v>16600</v>
      </c>
      <c r="AK11" s="113">
        <f t="shared" si="1"/>
        <v>0.17030120481927713</v>
      </c>
      <c r="AL11">
        <f t="shared" si="2"/>
        <v>25734</v>
      </c>
      <c r="AM11" s="149">
        <f t="shared" si="3"/>
        <v>-0.35493899121784411</v>
      </c>
    </row>
    <row r="12" spans="1:39" x14ac:dyDescent="0.25">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row>
    <row r="15" spans="1:39" x14ac:dyDescent="0.25">
      <c r="A15" s="120" t="s">
        <v>1947</v>
      </c>
    </row>
    <row r="16" spans="1:39" x14ac:dyDescent="0.25">
      <c r="A16" s="120" t="s">
        <v>1948</v>
      </c>
    </row>
    <row r="17" spans="1:3" x14ac:dyDescent="0.25">
      <c r="A17" s="120" t="s">
        <v>1949</v>
      </c>
    </row>
    <row r="18" spans="1:3" x14ac:dyDescent="0.25">
      <c r="A18" s="120" t="s">
        <v>1950</v>
      </c>
    </row>
    <row r="19" spans="1:3" x14ac:dyDescent="0.25">
      <c r="A19" s="120" t="s">
        <v>1951</v>
      </c>
    </row>
    <row r="20" spans="1:3" x14ac:dyDescent="0.25">
      <c r="A20" s="120" t="s">
        <v>1952</v>
      </c>
    </row>
    <row r="23" spans="1:3" x14ac:dyDescent="0.25">
      <c r="A23" s="155"/>
      <c r="B23" s="138"/>
      <c r="C23" s="138"/>
    </row>
    <row r="24" spans="1:3" x14ac:dyDescent="0.25">
      <c r="A24" s="156"/>
      <c r="B24" s="137"/>
      <c r="C24" s="137"/>
    </row>
    <row r="25" spans="1:3" x14ac:dyDescent="0.25">
      <c r="A25" s="156"/>
      <c r="B25" s="137"/>
      <c r="C25" s="137"/>
    </row>
    <row r="26" spans="1:3" x14ac:dyDescent="0.25">
      <c r="A26" s="156"/>
      <c r="B26" s="137"/>
      <c r="C26" s="137"/>
    </row>
    <row r="27" spans="1:3" x14ac:dyDescent="0.25">
      <c r="A27" s="156"/>
      <c r="B27" s="137"/>
      <c r="C27" s="137"/>
    </row>
    <row r="28" spans="1:3" x14ac:dyDescent="0.25">
      <c r="A28" s="156"/>
      <c r="B28" s="137"/>
      <c r="C28" s="137"/>
    </row>
    <row r="29" spans="1:3" x14ac:dyDescent="0.25">
      <c r="A29" s="156"/>
      <c r="B29" s="137"/>
      <c r="C29" s="137"/>
    </row>
    <row r="30" spans="1:3" x14ac:dyDescent="0.25">
      <c r="A30" s="156"/>
      <c r="B30" s="137"/>
      <c r="C30" s="137"/>
    </row>
    <row r="31" spans="1:3" x14ac:dyDescent="0.25">
      <c r="A31" s="156"/>
      <c r="B31" s="137"/>
      <c r="C31" s="137"/>
    </row>
    <row r="32" spans="1:3" x14ac:dyDescent="0.25">
      <c r="A32" s="156"/>
      <c r="B32" s="137"/>
      <c r="C32" s="137"/>
    </row>
    <row r="33" spans="1:40" x14ac:dyDescent="0.25">
      <c r="A33" s="156"/>
      <c r="B33" s="137"/>
      <c r="C33" s="137"/>
    </row>
    <row r="34" spans="1:40" x14ac:dyDescent="0.25">
      <c r="A34" t="s">
        <v>2012</v>
      </c>
    </row>
    <row r="35" spans="1:40" x14ac:dyDescent="0.25">
      <c r="A35" s="136" t="s">
        <v>1786</v>
      </c>
      <c r="B35" s="136" t="s">
        <v>1821</v>
      </c>
      <c r="C35" s="136" t="s">
        <v>1822</v>
      </c>
      <c r="D35" s="136" t="s">
        <v>1823</v>
      </c>
      <c r="E35" s="136" t="s">
        <v>1824</v>
      </c>
      <c r="F35" s="136" t="s">
        <v>1825</v>
      </c>
      <c r="G35" s="136" t="s">
        <v>1826</v>
      </c>
      <c r="H35" s="136" t="s">
        <v>1827</v>
      </c>
      <c r="I35" s="136" t="s">
        <v>1828</v>
      </c>
      <c r="J35" s="136" t="s">
        <v>1829</v>
      </c>
      <c r="K35" s="136" t="s">
        <v>1830</v>
      </c>
      <c r="L35" s="136" t="s">
        <v>1831</v>
      </c>
      <c r="M35" s="136" t="s">
        <v>1832</v>
      </c>
      <c r="N35" s="136" t="s">
        <v>1833</v>
      </c>
      <c r="O35" s="136" t="s">
        <v>1834</v>
      </c>
      <c r="P35" s="136" t="s">
        <v>1835</v>
      </c>
      <c r="Q35" s="136" t="s">
        <v>1836</v>
      </c>
      <c r="R35" s="136" t="s">
        <v>1837</v>
      </c>
      <c r="S35" s="136" t="s">
        <v>1838</v>
      </c>
      <c r="T35" s="136" t="s">
        <v>1839</v>
      </c>
      <c r="U35" s="136" t="s">
        <v>1840</v>
      </c>
      <c r="V35" s="136" t="s">
        <v>1841</v>
      </c>
      <c r="W35" s="136" t="s">
        <v>1842</v>
      </c>
      <c r="X35" s="136" t="s">
        <v>1843</v>
      </c>
      <c r="Y35" s="136" t="s">
        <v>1844</v>
      </c>
      <c r="Z35" s="136" t="s">
        <v>1845</v>
      </c>
      <c r="AA35" s="136" t="s">
        <v>1846</v>
      </c>
      <c r="AB35" s="136" t="s">
        <v>1847</v>
      </c>
      <c r="AC35" s="136" t="s">
        <v>1848</v>
      </c>
      <c r="AD35" s="136" t="s">
        <v>1849</v>
      </c>
      <c r="AE35" s="136" t="s">
        <v>1850</v>
      </c>
      <c r="AF35" s="136" t="s">
        <v>1851</v>
      </c>
      <c r="AG35" s="136" t="s">
        <v>1852</v>
      </c>
      <c r="AH35" s="136" t="s">
        <v>1853</v>
      </c>
      <c r="AI35" s="136" t="s">
        <v>1854</v>
      </c>
      <c r="AJ35" s="116" t="s">
        <v>2013</v>
      </c>
      <c r="AK35" s="116" t="s">
        <v>1983</v>
      </c>
      <c r="AL35" s="116" t="s">
        <v>2023</v>
      </c>
      <c r="AM35" s="116" t="s">
        <v>1986</v>
      </c>
      <c r="AN35" s="116" t="s">
        <v>2049</v>
      </c>
    </row>
    <row r="36" spans="1:40" x14ac:dyDescent="0.25">
      <c r="A36" s="155" t="s">
        <v>1922</v>
      </c>
      <c r="B36" s="152">
        <f>$AJ36*'NE HDD'!B3+$AK36</f>
        <v>110376.75846767204</v>
      </c>
      <c r="C36" s="152">
        <f>$AJ36*'NE HDD'!C3+$AK36</f>
        <v>112892.59977920579</v>
      </c>
      <c r="D36" s="152">
        <f>$AJ36*'NE HDD'!D3+$AK36</f>
        <v>134077.39437445725</v>
      </c>
      <c r="E36" s="152">
        <f>$AJ36*'NE HDD'!E3+$AK36</f>
        <v>131538.04052730167</v>
      </c>
      <c r="F36" s="152">
        <f>$AJ36*'NE HDD'!F3+$AK36</f>
        <v>130856.17699426915</v>
      </c>
      <c r="G36" s="152">
        <f>$AJ36*'NE HDD'!G3+$AK36</f>
        <v>128598.97357457534</v>
      </c>
      <c r="H36" s="152">
        <f>$AJ36*'NE HDD'!H3+$AK36</f>
        <v>131538.04052730167</v>
      </c>
      <c r="I36" s="152">
        <f>$AJ36*'NE HDD'!I3+$AK36</f>
        <v>128481.41089646627</v>
      </c>
      <c r="J36" s="152">
        <f>$AJ36*'NE HDD'!J3+$AK36</f>
        <v>107226.0786943494</v>
      </c>
      <c r="K36" s="152">
        <f>$AJ36*'NE HDD'!K3+$AK36</f>
        <v>116113.81715939385</v>
      </c>
      <c r="L36" s="152">
        <f>$AJ36*'NE HDD'!L3+$AK36</f>
        <v>127729.00975656834</v>
      </c>
      <c r="M36" s="152">
        <f>$AJ36*'NE HDD'!M3+$AK36</f>
        <v>117477.54422545889</v>
      </c>
      <c r="N36" s="152">
        <f>$AJ36*'NE HDD'!N3+$AK36</f>
        <v>118065.35761600414</v>
      </c>
      <c r="O36" s="152">
        <f>$AJ36*'NE HDD'!O3+$AK36</f>
        <v>135958.39722420205</v>
      </c>
      <c r="P36" s="152">
        <f>$AJ36*'NE HDD'!P3+$AK36</f>
        <v>128669.51118144077</v>
      </c>
      <c r="Q36" s="152">
        <f>$AJ36*'NE HDD'!Q3+$AK36</f>
        <v>129374.8872500951</v>
      </c>
      <c r="R36" s="152">
        <f>$AJ36*'NE HDD'!R3+$AK36</f>
        <v>111458.33510627534</v>
      </c>
      <c r="S36" s="152">
        <f>$AJ36*'NE HDD'!S3+$AK36</f>
        <v>123896.46645021321</v>
      </c>
      <c r="T36" s="152">
        <f>$AJ36*'NE HDD'!T3+$AK36</f>
        <v>123026.5026322062</v>
      </c>
      <c r="U36" s="152">
        <f>$AJ36*'NE HDD'!U3+$AK36</f>
        <v>127611.44707845927</v>
      </c>
      <c r="V36" s="152">
        <f>$AJ36*'NE HDD'!V3+$AK36</f>
        <v>113997.68895343089</v>
      </c>
      <c r="W36" s="152">
        <f>$AJ36*'NE HDD'!W3+$AK36</f>
        <v>115902.20433879756</v>
      </c>
      <c r="X36" s="152">
        <f>$AJ36*'NE HDD'!X3+$AK36</f>
        <v>102335.47128501278</v>
      </c>
      <c r="Y36" s="152">
        <f>$AJ36*'NE HDD'!Y3+$AK36</f>
        <v>123543.77841588603</v>
      </c>
      <c r="Z36" s="152">
        <f>$AJ36*'NE HDD'!Z3+$AK36</f>
        <v>130009.72571188396</v>
      </c>
      <c r="AA36" s="152">
        <f>$AJ36*'NE HDD'!AA3+$AK36</f>
        <v>123731.87870086053</v>
      </c>
      <c r="AB36" s="152">
        <f>$AJ36*'NE HDD'!AB3+$AK36</f>
        <v>110235.68325394118</v>
      </c>
      <c r="AC36" s="152">
        <f>$AJ36*'NE HDD'!AC3+$AK36</f>
        <v>112022.63596119879</v>
      </c>
      <c r="AD36" s="152">
        <f>$AJ36*'NE HDD'!AD3+$AK36</f>
        <v>119052.88411212018</v>
      </c>
      <c r="AE36" s="152">
        <f>$AJ36*'NE HDD'!AE3+$AK36</f>
        <v>123708.36616523871</v>
      </c>
      <c r="AF36" s="152">
        <f>$AJ36*'NE HDD'!AF3+$AK36</f>
        <v>109765.43254150497</v>
      </c>
      <c r="AG36" s="152">
        <f>$AJ36*'NE HDD'!AG3+$AK36</f>
        <v>111317.25989254448</v>
      </c>
      <c r="AH36" s="152">
        <f>$AJ36*'NE HDD'!AH3+$AK36</f>
        <v>116419.48012247738</v>
      </c>
      <c r="AI36" s="152">
        <f>$AJ36*'NE HDD'!AI3+$AK36</f>
        <v>103816.76102918686</v>
      </c>
      <c r="AJ36">
        <f>INDEX(LINEST(B3:AI3,'NE HDD'!B3:AI3,TRUE,TRUE),1,1)</f>
        <v>23.512535621810699</v>
      </c>
      <c r="AK36">
        <f>INDEX(LINEST(B3:AI3,'NE HDD'!B3:AI3,TRUE,TRUE),1,2)</f>
        <v>-15885.55782145141</v>
      </c>
      <c r="AL36">
        <f>INDEX(LINEST(B3:AI3,'NE HDD'!B3:AI3,TRUE,TRUE),3,1)</f>
        <v>0.59685533529956225</v>
      </c>
      <c r="AM36">
        <f>INDEX(LINEST(B3:AI3,'NE HDD'!B3:AI3,TRUE,TRUE),4,1)</f>
        <v>47.375972949506945</v>
      </c>
      <c r="AN36">
        <f>_xlfn.F.DIST.RT(AM36,1,32)</f>
        <v>8.6527466646339106E-8</v>
      </c>
    </row>
    <row r="37" spans="1:40" x14ac:dyDescent="0.25">
      <c r="A37" s="155" t="s">
        <v>1788</v>
      </c>
      <c r="B37" s="152">
        <f>$AJ37*'NE HDD'!B4+$AK37</f>
        <v>213757.01400745247</v>
      </c>
      <c r="C37" s="152">
        <f>$AJ37*'NE HDD'!C4+$AK37</f>
        <v>216185.05232510227</v>
      </c>
      <c r="D37" s="152">
        <f>$AJ37*'NE HDD'!D4+$AK37</f>
        <v>249177.80828846156</v>
      </c>
      <c r="E37" s="152">
        <f>$AJ37*'NE HDD'!E4+$AK37</f>
        <v>243357.65761527157</v>
      </c>
      <c r="F37" s="152">
        <f>$AJ37*'NE HDD'!F4+$AK37</f>
        <v>240786.79351423058</v>
      </c>
      <c r="G37" s="152">
        <f>$AJ37*'NE HDD'!G4+$AK37</f>
        <v>238537.28742581973</v>
      </c>
      <c r="H37" s="152">
        <f>$AJ37*'NE HDD'!H4+$AK37</f>
        <v>241393.80309364304</v>
      </c>
      <c r="I37" s="152">
        <f>$AJ37*'NE HDD'!I4+$AK37</f>
        <v>240001.25170557917</v>
      </c>
      <c r="J37" s="152">
        <f>$AJ37*'NE HDD'!J4+$AK37</f>
        <v>206544.31194619861</v>
      </c>
      <c r="K37" s="152">
        <f>$AJ37*'NE HDD'!K4+$AK37</f>
        <v>216542.11678358019</v>
      </c>
      <c r="L37" s="152">
        <f>$AJ37*'NE HDD'!L4+$AK37</f>
        <v>235288.0008536707</v>
      </c>
      <c r="M37" s="152">
        <f>$AJ37*'NE HDD'!M4+$AK37</f>
        <v>221005.42251455411</v>
      </c>
      <c r="N37" s="152">
        <f>$AJ37*'NE HDD'!N4+$AK37</f>
        <v>220934.00962285855</v>
      </c>
      <c r="O37" s="152">
        <f>$AJ37*'NE HDD'!O4+$AK37</f>
        <v>248535.09226320131</v>
      </c>
      <c r="P37" s="152">
        <f>$AJ37*'NE HDD'!P4+$AK37</f>
        <v>238358.75519658075</v>
      </c>
      <c r="Q37" s="152">
        <f>$AJ37*'NE HDD'!Q4+$AK37</f>
        <v>237216.14892945145</v>
      </c>
      <c r="R37" s="152">
        <f>$AJ37*'NE HDD'!R4+$AK37</f>
        <v>210150.66297682552</v>
      </c>
      <c r="S37" s="152">
        <f>$AJ37*'NE HDD'!S4+$AK37</f>
        <v>231824.47560643492</v>
      </c>
      <c r="T37" s="152">
        <f>$AJ37*'NE HDD'!T4+$AK37</f>
        <v>228896.54704691604</v>
      </c>
      <c r="U37" s="152">
        <f>$AJ37*'NE HDD'!U4+$AK37</f>
        <v>235966.42332477873</v>
      </c>
      <c r="V37" s="152">
        <f>$AJ37*'NE HDD'!V4+$AK37</f>
        <v>212471.58195693197</v>
      </c>
      <c r="W37" s="152">
        <f>$AJ37*'NE HDD'!W4+$AK37</f>
        <v>217434.77792977498</v>
      </c>
      <c r="X37" s="152">
        <f>$AJ37*'NE HDD'!X4+$AK37</f>
        <v>197260.63602577281</v>
      </c>
      <c r="Y37" s="152">
        <f>$AJ37*'NE HDD'!Y4+$AK37</f>
        <v>228396.65680504695</v>
      </c>
      <c r="Z37" s="152">
        <f>$AJ37*'NE HDD'!Z4+$AK37</f>
        <v>236609.13935003898</v>
      </c>
      <c r="AA37" s="152">
        <f>$AJ37*'NE HDD'!AA4+$AK37</f>
        <v>231967.30138982608</v>
      </c>
      <c r="AB37" s="152">
        <f>$AJ37*'NE HDD'!AB4+$AK37</f>
        <v>212078.81105260627</v>
      </c>
      <c r="AC37" s="152">
        <f>$AJ37*'NE HDD'!AC4+$AK37</f>
        <v>215113.85894966853</v>
      </c>
      <c r="AD37" s="152">
        <f>$AJ37*'NE HDD'!AD4+$AK37</f>
        <v>224576.06709933328</v>
      </c>
      <c r="AE37" s="152">
        <f>$AJ37*'NE HDD'!AE4+$AK37</f>
        <v>231146.05313532689</v>
      </c>
      <c r="AF37" s="152">
        <f>$AJ37*'NE HDD'!AF4+$AK37</f>
        <v>205794.47658339498</v>
      </c>
      <c r="AG37" s="152">
        <f>$AJ37*'NE HDD'!AG4+$AK37</f>
        <v>205080.34766643913</v>
      </c>
      <c r="AH37" s="152">
        <f>$AJ37*'NE HDD'!AH4+$AK37</f>
        <v>211971.69171506289</v>
      </c>
      <c r="AI37" s="152">
        <f>$AJ37*'NE HDD'!AI4+$AK37</f>
        <v>195760.96530016558</v>
      </c>
      <c r="AJ37">
        <f>INDEX(LINEST(B4:AI4,'NE HDD'!B4:AI4,TRUE,TRUE),1,1)</f>
        <v>35.706445847791436</v>
      </c>
      <c r="AK37">
        <f>INDEX(LINEST(B4:AI4,'NE HDD'!B4:AI4,TRUE,TRUE),1,2)</f>
        <v>8159.298815869377</v>
      </c>
      <c r="AL37">
        <f>INDEX(LINEST(B4:AI4,'NE HDD'!B4:AI4,TRUE,TRUE),3,1)</f>
        <v>0.57190858645878928</v>
      </c>
      <c r="AM37">
        <f>INDEX(LINEST(B4:AI4,'NE HDD'!B4:AI4,TRUE,TRUE),4,1)</f>
        <v>42.750389724692489</v>
      </c>
      <c r="AN37">
        <f t="shared" ref="AN37:AN44" si="4">_xlfn.F.DIST.RT(AM37,1,32)</f>
        <v>2.3055884932565211E-7</v>
      </c>
    </row>
    <row r="38" spans="1:40" x14ac:dyDescent="0.25">
      <c r="A38" s="155" t="s">
        <v>1923</v>
      </c>
      <c r="B38" s="152">
        <f>$AJ38*'NE HDD'!B5+$AK38</f>
        <v>45164.83651811655</v>
      </c>
      <c r="C38" s="152">
        <f>$AJ38*'NE HDD'!C5+$AK38</f>
        <v>46376.187196328181</v>
      </c>
      <c r="D38" s="152">
        <f>$AJ38*'NE HDD'!D5+$AK38</f>
        <v>51133.120477619916</v>
      </c>
      <c r="E38" s="152">
        <f>$AJ38*'NE HDD'!E5+$AK38</f>
        <v>50922.154910066209</v>
      </c>
      <c r="F38" s="152">
        <f>$AJ38*'NE HDD'!F5+$AK38</f>
        <v>50091.903321629026</v>
      </c>
      <c r="G38" s="152">
        <f>$AJ38*'NE HDD'!G5+$AK38</f>
        <v>49179.987642525884</v>
      </c>
      <c r="H38" s="152">
        <f>$AJ38*'NE HDD'!H5+$AK38</f>
        <v>49016.65946119398</v>
      </c>
      <c r="I38" s="152">
        <f>$AJ38*'NE HDD'!I5+$AK38</f>
        <v>50867.712182955576</v>
      </c>
      <c r="J38" s="152">
        <f>$AJ38*'NE HDD'!J5+$AK38</f>
        <v>42973.516751913492</v>
      </c>
      <c r="K38" s="152">
        <f>$AJ38*'NE HDD'!K5+$AK38</f>
        <v>42816.99391147041</v>
      </c>
      <c r="L38" s="152">
        <f>$AJ38*'NE HDD'!L5+$AK38</f>
        <v>48302.098667866892</v>
      </c>
      <c r="M38" s="152">
        <f>$AJ38*'NE HDD'!M5+$AK38</f>
        <v>45586.767653223971</v>
      </c>
      <c r="N38" s="152">
        <f>$AJ38*'NE HDD'!N5+$AK38</f>
        <v>46954.641171878677</v>
      </c>
      <c r="O38" s="152">
        <f>$AJ38*'NE HDD'!O5+$AK38</f>
        <v>50364.116957182196</v>
      </c>
      <c r="P38" s="152">
        <f>$AJ38*'NE HDD'!P5+$AK38</f>
        <v>49819.68968607585</v>
      </c>
      <c r="Q38" s="152">
        <f>$AJ38*'NE HDD'!Q5+$AK38</f>
        <v>47594.343215428642</v>
      </c>
      <c r="R38" s="152">
        <f>$AJ38*'NE HDD'!R5+$AK38</f>
        <v>42047.99039103269</v>
      </c>
      <c r="S38" s="152">
        <f>$AJ38*'NE HDD'!S5+$AK38</f>
        <v>48866.941961639735</v>
      </c>
      <c r="T38" s="152">
        <f>$AJ38*'NE HDD'!T5+$AK38</f>
        <v>47165.606739432391</v>
      </c>
      <c r="U38" s="152">
        <f>$AJ38*'NE HDD'!U5+$AK38</f>
        <v>49057.49150652696</v>
      </c>
      <c r="V38" s="152">
        <f>$AJ38*'NE HDD'!V5+$AK38</f>
        <v>41074.826643930093</v>
      </c>
      <c r="W38" s="152">
        <f>$AJ38*'NE HDD'!W5+$AK38</f>
        <v>44947.065609674013</v>
      </c>
      <c r="X38" s="152">
        <f>$AJ38*'NE HDD'!X5+$AK38</f>
        <v>42354.230731030017</v>
      </c>
      <c r="Y38" s="152">
        <f>$AJ38*'NE HDD'!Y5+$AK38</f>
        <v>46907.003785656874</v>
      </c>
      <c r="Z38" s="152">
        <f>$AJ38*'NE HDD'!Z5+$AK38</f>
        <v>48349.736054088702</v>
      </c>
      <c r="AA38" s="152">
        <f>$AJ38*'NE HDD'!AA5+$AK38</f>
        <v>48819.304575417926</v>
      </c>
      <c r="AB38" s="152">
        <f>$AJ38*'NE HDD'!AB5+$AK38</f>
        <v>43681.272204351742</v>
      </c>
      <c r="AC38" s="152">
        <f>$AJ38*'NE HDD'!AC5+$AK38</f>
        <v>45253.305949671332</v>
      </c>
      <c r="AD38" s="152">
        <f>$AJ38*'NE HDD'!AD5+$AK38</f>
        <v>47539.900488318002</v>
      </c>
      <c r="AE38" s="152">
        <f>$AJ38*'NE HDD'!AE5+$AK38</f>
        <v>49322.899801191306</v>
      </c>
      <c r="AF38" s="152">
        <f>$AJ38*'NE HDD'!AF5+$AK38</f>
        <v>43109.623569690077</v>
      </c>
      <c r="AG38" s="152">
        <f>$AJ38*'NE HDD'!AG5+$AK38</f>
        <v>41578.421869703467</v>
      </c>
      <c r="AH38" s="152">
        <f>$AJ38*'NE HDD'!AH5+$AK38</f>
        <v>43477.111977686865</v>
      </c>
      <c r="AI38" s="152">
        <f>$AJ38*'NE HDD'!AI5+$AK38</f>
        <v>41469.536415482195</v>
      </c>
      <c r="AJ38">
        <f>INDEX(LINEST(B5:AI5,'NE HDD'!B5:AI5,TRUE,TRUE),1,1)</f>
        <v>6.8053408888293827</v>
      </c>
      <c r="AK38">
        <f>INDEX(LINEST(B5:AI5,'NE HDD'!B5:AI5,TRUE,TRUE),1,2)</f>
        <v>-5779.9453756602088</v>
      </c>
      <c r="AL38">
        <f>INDEX(LINEST(B5:AI5,'NE HDD'!B5:AI5,TRUE,TRUE),3,1)</f>
        <v>0.10931866565227452</v>
      </c>
      <c r="AM38">
        <f>INDEX(LINEST(B5:AI5,'NE HDD'!B5:AI5,TRUE,TRUE),4,1)</f>
        <v>3.9275520502903847</v>
      </c>
      <c r="AN38">
        <f t="shared" si="4"/>
        <v>5.6145789058154989E-2</v>
      </c>
    </row>
    <row r="39" spans="1:40" x14ac:dyDescent="0.25">
      <c r="A39" s="155" t="s">
        <v>1924</v>
      </c>
      <c r="B39" s="152">
        <f>$AJ39*'NE HDD'!B6+$AK39</f>
        <v>38617.941934955474</v>
      </c>
      <c r="C39" s="152">
        <f>$AJ39*'NE HDD'!C6+$AK39</f>
        <v>39027.898746832798</v>
      </c>
      <c r="D39" s="152">
        <f>$AJ39*'NE HDD'!D6+$AK39</f>
        <v>42538.40270873376</v>
      </c>
      <c r="E39" s="152">
        <f>$AJ39*'NE HDD'!E6+$AK39</f>
        <v>41917.497246084604</v>
      </c>
      <c r="F39" s="152">
        <f>$AJ39*'NE HDD'!F6+$AK39</f>
        <v>41905.556756418278</v>
      </c>
      <c r="G39" s="152">
        <f>$AJ39*'NE HDD'!G6+$AK39</f>
        <v>41169.226560327937</v>
      </c>
      <c r="H39" s="152">
        <f>$AJ39*'NE HDD'!H6+$AK39</f>
        <v>41372.21488465555</v>
      </c>
      <c r="I39" s="152">
        <f>$AJ39*'NE HDD'!I6+$AK39</f>
        <v>42001.080673748918</v>
      </c>
      <c r="J39" s="152">
        <f>$AJ39*'NE HDD'!J6+$AK39</f>
        <v>37185.083174995896</v>
      </c>
      <c r="K39" s="152">
        <f>$AJ39*'NE HDD'!K6+$AK39</f>
        <v>38426.894100294201</v>
      </c>
      <c r="L39" s="152">
        <f>$AJ39*'NE HDD'!L6+$AK39</f>
        <v>40926.436603779235</v>
      </c>
      <c r="M39" s="152">
        <f>$AJ39*'NE HDD'!M6+$AK39</f>
        <v>39274.668866603613</v>
      </c>
      <c r="N39" s="152">
        <f>$AJ39*'NE HDD'!N6+$AK39</f>
        <v>39322.430825268937</v>
      </c>
      <c r="O39" s="152">
        <f>$AJ39*'NE HDD'!O6+$AK39</f>
        <v>42331.434221184041</v>
      </c>
      <c r="P39" s="152">
        <f>$AJ39*'NE HDD'!P6+$AK39</f>
        <v>41037.881173998314</v>
      </c>
      <c r="Q39" s="152">
        <f>$AJ39*'NE HDD'!Q6+$AK39</f>
        <v>40564.241750567235</v>
      </c>
      <c r="R39" s="152">
        <f>$AJ39*'NE HDD'!R6+$AK39</f>
        <v>37646.78210876065</v>
      </c>
      <c r="S39" s="152">
        <f>$AJ39*'NE HDD'!S6+$AK39</f>
        <v>40858.773829003367</v>
      </c>
      <c r="T39" s="152">
        <f>$AJ39*'NE HDD'!T6+$AK39</f>
        <v>40313.491467574306</v>
      </c>
      <c r="U39" s="152">
        <f>$AJ39*'NE HDD'!U6+$AK39</f>
        <v>41216.988518993261</v>
      </c>
      <c r="V39" s="152">
        <f>$AJ39*'NE HDD'!V6+$AK39</f>
        <v>37515.436722431026</v>
      </c>
      <c r="W39" s="152">
        <f>$AJ39*'NE HDD'!W6+$AK39</f>
        <v>38924.414503057938</v>
      </c>
      <c r="X39" s="152">
        <f>$AJ39*'NE HDD'!X6+$AK39</f>
        <v>36544.276896236202</v>
      </c>
      <c r="Y39" s="152">
        <f>$AJ39*'NE HDD'!Y6+$AK39</f>
        <v>40058.761021359271</v>
      </c>
      <c r="Z39" s="152">
        <f>$AJ39*'NE HDD'!Z6+$AK39</f>
        <v>41352.314068544998</v>
      </c>
      <c r="AA39" s="152">
        <f>$AJ39*'NE HDD'!AA6+$AK39</f>
        <v>40572.202077011447</v>
      </c>
      <c r="AB39" s="152">
        <f>$AJ39*'NE HDD'!AB6+$AK39</f>
        <v>37873.651412420921</v>
      </c>
      <c r="AC39" s="152">
        <f>$AJ39*'NE HDD'!AC6+$AK39</f>
        <v>38586.100629178589</v>
      </c>
      <c r="AD39" s="152">
        <f>$AJ39*'NE HDD'!AD6+$AK39</f>
        <v>39883.63383958643</v>
      </c>
      <c r="AE39" s="152">
        <f>$AJ39*'NE HDD'!AE6+$AK39</f>
        <v>41073.702642997305</v>
      </c>
      <c r="AF39" s="152">
        <f>$AJ39*'NE HDD'!AF6+$AK39</f>
        <v>37813.948964089272</v>
      </c>
      <c r="AG39" s="152">
        <f>$AJ39*'NE HDD'!AG6+$AK39</f>
        <v>37344.289703880291</v>
      </c>
      <c r="AH39" s="152">
        <f>$AJ39*'NE HDD'!AH6+$AK39</f>
        <v>38446.794916404746</v>
      </c>
      <c r="AI39" s="152">
        <f>$AJ39*'NE HDD'!AI6+$AK39</f>
        <v>36289.546450021167</v>
      </c>
      <c r="AJ39">
        <f>INDEX(LINEST(B6:AI6,'NE HDD'!B6:AI6,TRUE,TRUE),1,1)</f>
        <v>3.9801632221099337</v>
      </c>
      <c r="AK39">
        <f>INDEX(LINEST(B6:AI6,'NE HDD'!B6:AI6,TRUE,TRUE),1,2)</f>
        <v>10326.941752198065</v>
      </c>
      <c r="AL39">
        <f>INDEX(LINEST(B6:AI6,'NE HDD'!B6:AI6,TRUE,TRUE),3,1)</f>
        <v>0.19735260975891414</v>
      </c>
      <c r="AM39">
        <f>INDEX(LINEST(B6:AI6,'NE HDD'!B6:AI6,TRUE,TRUE),4,1)</f>
        <v>7.8680670853341619</v>
      </c>
      <c r="AN39">
        <f t="shared" si="4"/>
        <v>8.486430665971394E-3</v>
      </c>
    </row>
    <row r="40" spans="1:40" x14ac:dyDescent="0.25">
      <c r="A40" s="155" t="s">
        <v>1939</v>
      </c>
      <c r="B40" s="152">
        <f>$AJ40*'NE HDD'!B7+$AK40</f>
        <v>256572.51933762076</v>
      </c>
      <c r="C40" s="152">
        <f>$AJ40*'NE HDD'!C7+$AK40</f>
        <v>266182.34304630873</v>
      </c>
      <c r="D40" s="152">
        <f>$AJ40*'NE HDD'!D7+$AK40</f>
        <v>302793.4275169688</v>
      </c>
      <c r="E40" s="152">
        <f>$AJ40*'NE HDD'!E7+$AK40</f>
        <v>299699.53305465949</v>
      </c>
      <c r="F40" s="152">
        <f>$AJ40*'NE HDD'!F7+$AK40</f>
        <v>299090.12959996221</v>
      </c>
      <c r="G40" s="152">
        <f>$AJ40*'NE HDD'!G7+$AK40</f>
        <v>295949.35794883</v>
      </c>
      <c r="H40" s="152">
        <f>$AJ40*'NE HDD'!H7+$AK40</f>
        <v>303355.95378284319</v>
      </c>
      <c r="I40" s="152">
        <f>$AJ40*'NE HDD'!I7+$AK40</f>
        <v>293605.49850768666</v>
      </c>
      <c r="J40" s="152">
        <f>$AJ40*'NE HDD'!J7+$AK40</f>
        <v>249962.83571359635</v>
      </c>
      <c r="K40" s="152">
        <f>$AJ40*'NE HDD'!K7+$AK40</f>
        <v>274151.46514619631</v>
      </c>
      <c r="L40" s="152">
        <f>$AJ40*'NE HDD'!L7+$AK40</f>
        <v>290558.48123420018</v>
      </c>
      <c r="M40" s="152">
        <f>$AJ40*'NE HDD'!M7+$AK40</f>
        <v>272885.7810479789</v>
      </c>
      <c r="N40" s="152">
        <f>$AJ40*'NE HDD'!N7+$AK40</f>
        <v>270120.02690742968</v>
      </c>
      <c r="O40" s="152">
        <f>$AJ40*'NE HDD'!O7+$AK40</f>
        <v>304105.9888040091</v>
      </c>
      <c r="P40" s="152">
        <f>$AJ40*'NE HDD'!P7+$AK40</f>
        <v>284792.58700898744</v>
      </c>
      <c r="Q40" s="152">
        <f>$AJ40*'NE HDD'!Q7+$AK40</f>
        <v>290089.70934597147</v>
      </c>
      <c r="R40" s="152">
        <f>$AJ40*'NE HDD'!R7+$AK40</f>
        <v>253713.01081942581</v>
      </c>
      <c r="S40" s="152">
        <f>$AJ40*'NE HDD'!S7+$AK40</f>
        <v>278511.04370672302</v>
      </c>
      <c r="T40" s="152">
        <f>$AJ40*'NE HDD'!T7+$AK40</f>
        <v>278886.06121730601</v>
      </c>
      <c r="U40" s="152">
        <f>$AJ40*'NE HDD'!U7+$AK40</f>
        <v>285401.99046368466</v>
      </c>
      <c r="V40" s="152">
        <f>$AJ40*'NE HDD'!V7+$AK40</f>
        <v>272135.74602681299</v>
      </c>
      <c r="W40" s="152">
        <f>$AJ40*'NE HDD'!W7+$AK40</f>
        <v>266088.588668663</v>
      </c>
      <c r="X40" s="152">
        <f>$AJ40*'NE HDD'!X7+$AK40</f>
        <v>245509.50277542387</v>
      </c>
      <c r="Y40" s="152">
        <f>$AJ40*'NE HDD'!Y7+$AK40</f>
        <v>283433.14853312424</v>
      </c>
      <c r="Z40" s="152">
        <f>$AJ40*'NE HDD'!Z7+$AK40</f>
        <v>300824.58558640833</v>
      </c>
      <c r="AA40" s="152">
        <f>$AJ40*'NE HDD'!AA7+$AK40</f>
        <v>279964.23656023201</v>
      </c>
      <c r="AB40" s="152">
        <f>$AJ40*'NE HDD'!AB7+$AK40</f>
        <v>263885.36079398822</v>
      </c>
      <c r="AC40" s="152">
        <f>$AJ40*'NE HDD'!AC7+$AK40</f>
        <v>260838.34352050177</v>
      </c>
      <c r="AD40" s="152">
        <f>$AJ40*'NE HDD'!AD7+$AK40</f>
        <v>280292.3768819921</v>
      </c>
      <c r="AE40" s="152">
        <f>$AJ40*'NE HDD'!AE7+$AK40</f>
        <v>275510.9036220595</v>
      </c>
      <c r="AF40" s="152">
        <f>$AJ40*'NE HDD'!AF7+$AK40</f>
        <v>253244.23893119712</v>
      </c>
      <c r="AG40" s="152">
        <f>$AJ40*'NE HDD'!AG7+$AK40</f>
        <v>259900.7997440444</v>
      </c>
      <c r="AH40" s="152">
        <f>$AJ40*'NE HDD'!AH7+$AK40</f>
        <v>275135.88611147658</v>
      </c>
      <c r="AI40" s="152">
        <f>$AJ40*'NE HDD'!AI7+$AK40</f>
        <v>243587.53803368626</v>
      </c>
      <c r="AJ40">
        <f>INDEX(LINEST(B7:AI7,'NE HDD'!B7:AI7,TRUE,TRUE),1,1)</f>
        <v>46.877188822868177</v>
      </c>
      <c r="AK40">
        <f>INDEX(LINEST(B7:AI7,'NE HDD'!B7:AI7,TRUE,TRUE),1,2)</f>
        <v>36906.012513660477</v>
      </c>
      <c r="AL40">
        <f>INDEX(LINEST(B7:AI7,'NE HDD'!B7:AI7,TRUE,TRUE),3,1)</f>
        <v>0.70169039420332768</v>
      </c>
      <c r="AM40">
        <f>INDEX(LINEST(B7:AI7,'NE HDD'!B7:AI7,TRUE,TRUE),4,1)</f>
        <v>75.271101493832475</v>
      </c>
      <c r="AN40">
        <f t="shared" si="4"/>
        <v>6.4907636207091058E-10</v>
      </c>
    </row>
    <row r="41" spans="1:40" x14ac:dyDescent="0.25">
      <c r="A41" s="155" t="s">
        <v>1925</v>
      </c>
      <c r="B41" s="152">
        <f>$AJ41*'NE HDD'!B8+$AK41</f>
        <v>560138.14374574495</v>
      </c>
      <c r="C41" s="152">
        <f>$AJ41*'NE HDD'!C8+$AK41</f>
        <v>567223.73804217461</v>
      </c>
      <c r="D41" s="152">
        <f>$AJ41*'NE HDD'!D8+$AK41</f>
        <v>626270.35717908759</v>
      </c>
      <c r="E41" s="152">
        <f>$AJ41*'NE HDD'!E8+$AK41</f>
        <v>624367.74389578705</v>
      </c>
      <c r="F41" s="152">
        <f>$AJ41*'NE HDD'!F8+$AK41</f>
        <v>621743.4497119243</v>
      </c>
      <c r="G41" s="152">
        <f>$AJ41*'NE HDD'!G8+$AK41</f>
        <v>610852.62884889368</v>
      </c>
      <c r="H41" s="152">
        <f>$AJ41*'NE HDD'!H8+$AK41</f>
        <v>622727.56003087293</v>
      </c>
      <c r="I41" s="152">
        <f>$AJ41*'NE HDD'!I8+$AK41</f>
        <v>614395.42599710845</v>
      </c>
      <c r="J41" s="152">
        <f>$AJ41*'NE HDD'!J8+$AK41</f>
        <v>546754.24340804457</v>
      </c>
      <c r="K41" s="152">
        <f>$AJ41*'NE HDD'!K8+$AK41</f>
        <v>577852.12948681891</v>
      </c>
      <c r="L41" s="152">
        <f>$AJ41*'NE HDD'!L8+$AK41</f>
        <v>609606.08911155886</v>
      </c>
      <c r="M41" s="152">
        <f>$AJ41*'NE HDD'!M8+$AK41</f>
        <v>575162.22794835945</v>
      </c>
      <c r="N41" s="152">
        <f>$AJ41*'NE HDD'!N8+$AK41</f>
        <v>576802.41181327379</v>
      </c>
      <c r="O41" s="152">
        <f>$AJ41*'NE HDD'!O8+$AK41</f>
        <v>626598.3939520705</v>
      </c>
      <c r="P41" s="152">
        <f>$AJ41*'NE HDD'!P8+$AK41</f>
        <v>605013.57428979897</v>
      </c>
      <c r="Q41" s="152">
        <f>$AJ41*'NE HDD'!Q8+$AK41</f>
        <v>605013.57428979897</v>
      </c>
      <c r="R41" s="152">
        <f>$AJ41*'NE HDD'!R8+$AK41</f>
        <v>555217.59215100226</v>
      </c>
      <c r="S41" s="152">
        <f>$AJ41*'NE HDD'!S8+$AK41</f>
        <v>594582.00490894425</v>
      </c>
      <c r="T41" s="152">
        <f>$AJ41*'NE HDD'!T8+$AK41</f>
        <v>591760.88866129168</v>
      </c>
      <c r="U41" s="152">
        <f>$AJ41*'NE HDD'!U8+$AK41</f>
        <v>604619.93016221956</v>
      </c>
      <c r="V41" s="152">
        <f>$AJ41*'NE HDD'!V8+$AK41</f>
        <v>572013.0749277242</v>
      </c>
      <c r="W41" s="152">
        <f>$AJ41*'NE HDD'!W8+$AK41</f>
        <v>573587.65143804182</v>
      </c>
      <c r="X41" s="152">
        <f>$AJ41*'NE HDD'!X8+$AK41</f>
        <v>535207.34899904835</v>
      </c>
      <c r="Y41" s="152">
        <f>$AJ41*'NE HDD'!Y8+$AK41</f>
        <v>595762.93729168247</v>
      </c>
      <c r="Z41" s="152">
        <f>$AJ41*'NE HDD'!Z8+$AK41</f>
        <v>615313.92896146048</v>
      </c>
      <c r="AA41" s="152">
        <f>$AJ41*'NE HDD'!AA8+$AK41</f>
        <v>594385.18284515454</v>
      </c>
      <c r="AB41" s="152">
        <f>$AJ41*'NE HDD'!AB8+$AK41</f>
        <v>560269.35845493805</v>
      </c>
      <c r="AC41" s="152">
        <f>$AJ41*'NE HDD'!AC8+$AK41</f>
        <v>564533.83650371514</v>
      </c>
      <c r="AD41" s="152">
        <f>$AJ41*'NE HDD'!AD8+$AK41</f>
        <v>592941.82104403002</v>
      </c>
      <c r="AE41" s="152">
        <f>$AJ41*'NE HDD'!AE8+$AK41</f>
        <v>598649.66089393164</v>
      </c>
      <c r="AF41" s="152">
        <f>$AJ41*'NE HDD'!AF8+$AK41</f>
        <v>556070.48776075756</v>
      </c>
      <c r="AG41" s="152">
        <f>$AJ41*'NE HDD'!AG8+$AK41</f>
        <v>558760.38929921691</v>
      </c>
      <c r="AH41" s="152">
        <f>$AJ41*'NE HDD'!AH8+$AK41</f>
        <v>580542.03102527827</v>
      </c>
      <c r="AI41" s="152">
        <f>$AJ41*'NE HDD'!AI8+$AK41</f>
        <v>539078.18292024592</v>
      </c>
      <c r="AJ41">
        <f>INDEX(LINEST(B8:AI8,'NE HDD'!B8:AI8,TRUE,TRUE),1,1)</f>
        <v>65.607354596570161</v>
      </c>
      <c r="AK41">
        <f>INDEX(LINEST(B8:AI8,'NE HDD'!B8:AI8,TRUE,TRUE),1,2)</f>
        <v>196804.61398993939</v>
      </c>
      <c r="AL41">
        <f>INDEX(LINEST(B8:AI8,'NE HDD'!B8:AI8,TRUE,TRUE),3,1)</f>
        <v>0.47674304310873689</v>
      </c>
      <c r="AM41">
        <f>INDEX(LINEST(B8:AI8,'NE HDD'!B8:AI8,TRUE,TRUE),4,1)</f>
        <v>29.155421974924355</v>
      </c>
      <c r="AN41">
        <f t="shared" si="4"/>
        <v>6.2112910686736829E-6</v>
      </c>
    </row>
    <row r="42" spans="1:40" x14ac:dyDescent="0.25">
      <c r="A42" s="155" t="s">
        <v>1940</v>
      </c>
      <c r="B42" s="152">
        <f>$AJ42*'NE HDD'!B9+$AK42</f>
        <v>332263.88433035545</v>
      </c>
      <c r="C42" s="152">
        <f>$AJ42*'NE HDD'!C9+$AK42</f>
        <v>351935.43356750032</v>
      </c>
      <c r="D42" s="152">
        <f>$AJ42*'NE HDD'!D9+$AK42</f>
        <v>411684.70344961656</v>
      </c>
      <c r="E42" s="152">
        <f>$AJ42*'NE HDD'!E9+$AK42</f>
        <v>410950.08127893478</v>
      </c>
      <c r="F42" s="152">
        <f>$AJ42*'NE HDD'!F9+$AK42</f>
        <v>415031.31556050008</v>
      </c>
      <c r="G42" s="152">
        <f>$AJ42*'NE HDD'!G9+$AK42</f>
        <v>409235.96288067737</v>
      </c>
      <c r="H42" s="152">
        <f>$AJ42*'NE HDD'!H9+$AK42</f>
        <v>423030.53475236811</v>
      </c>
      <c r="I42" s="152">
        <f>$AJ42*'NE HDD'!I9+$AK42</f>
        <v>404175.23237153637</v>
      </c>
      <c r="J42" s="152">
        <f>$AJ42*'NE HDD'!J9+$AK42</f>
        <v>314224.82880583679</v>
      </c>
      <c r="K42" s="152">
        <f>$AJ42*'NE HDD'!K9+$AK42</f>
        <v>367036.000409292</v>
      </c>
      <c r="L42" s="152">
        <f>$AJ42*'NE HDD'!L9+$AK42</f>
        <v>394135.39603888569</v>
      </c>
      <c r="M42" s="152">
        <f>$AJ42*'NE HDD'!M9+$AK42</f>
        <v>361403.89710073185</v>
      </c>
      <c r="N42" s="152">
        <f>$AJ42*'NE HDD'!N9+$AK42</f>
        <v>363281.26487025188</v>
      </c>
      <c r="O42" s="152">
        <f>$AJ42*'NE HDD'!O9+$AK42</f>
        <v>413806.94527603051</v>
      </c>
      <c r="P42" s="152">
        <f>$AJ42*'NE HDD'!P9+$AK42</f>
        <v>381891.69319418975</v>
      </c>
      <c r="Q42" s="152">
        <f>$AJ42*'NE HDD'!Q9+$AK42</f>
        <v>391196.90735615866</v>
      </c>
      <c r="R42" s="152">
        <f>$AJ42*'NE HDD'!R9+$AK42</f>
        <v>335447.24706997641</v>
      </c>
      <c r="S42" s="152">
        <f>$AJ42*'NE HDD'!S9+$AK42</f>
        <v>373892.47400232172</v>
      </c>
      <c r="T42" s="152">
        <f>$AJ42*'NE HDD'!T9+$AK42</f>
        <v>385238.30530507327</v>
      </c>
      <c r="U42" s="152">
        <f>$AJ42*'NE HDD'!U9+$AK42</f>
        <v>390462.28518547688</v>
      </c>
      <c r="V42" s="152">
        <f>$AJ42*'NE HDD'!V9+$AK42</f>
        <v>370953.98531959468</v>
      </c>
      <c r="W42" s="152">
        <f>$AJ42*'NE HDD'!W9+$AK42</f>
        <v>357322.66281916649</v>
      </c>
      <c r="X42" s="152">
        <f>$AJ42*'NE HDD'!X9+$AK42</f>
        <v>320836.42834197258</v>
      </c>
      <c r="Y42" s="152">
        <f>$AJ42*'NE HDD'!Y9+$AK42</f>
        <v>387850.29524527508</v>
      </c>
      <c r="Z42" s="152">
        <f>$AJ42*'NE HDD'!Z9+$AK42</f>
        <v>425234.40126441338</v>
      </c>
      <c r="AA42" s="152">
        <f>$AJ42*'NE HDD'!AA9+$AK42</f>
        <v>377483.96017009916</v>
      </c>
      <c r="AB42" s="152">
        <f>$AJ42*'NE HDD'!AB9+$AK42</f>
        <v>350547.81391176808</v>
      </c>
      <c r="AC42" s="152">
        <f>$AJ42*'NE HDD'!AC9+$AK42</f>
        <v>340589.60226474871</v>
      </c>
      <c r="AD42" s="152">
        <f>$AJ42*'NE HDD'!AD9+$AK42</f>
        <v>381973.31787982106</v>
      </c>
      <c r="AE42" s="152">
        <f>$AJ42*'NE HDD'!AE9+$AK42</f>
        <v>368097.12132249895</v>
      </c>
      <c r="AF42" s="152">
        <f>$AJ42*'NE HDD'!AF9+$AK42</f>
        <v>335120.74832745118</v>
      </c>
      <c r="AG42" s="152">
        <f>$AJ42*'NE HDD'!AG9+$AK42</f>
        <v>338793.85918085999</v>
      </c>
      <c r="AH42" s="152">
        <f>$AJ42*'NE HDD'!AH9+$AK42</f>
        <v>377647.20954136178</v>
      </c>
      <c r="AI42" s="152">
        <f>$AJ42*'NE HDD'!AI9+$AK42</f>
        <v>314796.20160525589</v>
      </c>
      <c r="AJ42">
        <f>INDEX(LINEST(B9:AI9,'NE HDD'!B9:AI9,TRUE,TRUE),1,1)</f>
        <v>81.624685631306335</v>
      </c>
      <c r="AK42">
        <f>INDEX(LINEST(B9:AI9,'NE HDD'!B9:AI9,TRUE,TRUE),1,2)</f>
        <v>-88184.871356503456</v>
      </c>
      <c r="AL42">
        <f>INDEX(LINEST(B9:AI9,'NE HDD'!B9:AI9,TRUE,TRUE),3,1)</f>
        <v>0.53939235451353773</v>
      </c>
      <c r="AM42">
        <f>INDEX(LINEST(B9:AI9,'NE HDD'!B9:AI9,TRUE,TRUE),4,1)</f>
        <v>37.473445162213473</v>
      </c>
      <c r="AN42">
        <f t="shared" si="4"/>
        <v>7.6381660963360193E-7</v>
      </c>
    </row>
    <row r="43" spans="1:40" x14ac:dyDescent="0.25">
      <c r="A43" s="155" t="s">
        <v>1926</v>
      </c>
      <c r="B43" s="152">
        <f>$AJ43*'NE HDD'!B10+$AK43</f>
        <v>34609.537205099958</v>
      </c>
      <c r="C43" s="152">
        <f>$AJ43*'NE HDD'!C10+$AK43</f>
        <v>35377.289999418244</v>
      </c>
      <c r="D43" s="152">
        <f>$AJ43*'NE HDD'!D10+$AK43</f>
        <v>42402.640837750158</v>
      </c>
      <c r="E43" s="152">
        <f>$AJ43*'NE HDD'!E10+$AK43</f>
        <v>41321.182600592132</v>
      </c>
      <c r="F43" s="152">
        <f>$AJ43*'NE HDD'!F10+$AK43</f>
        <v>40891.901468285127</v>
      </c>
      <c r="G43" s="152">
        <f>$AJ43*'NE HDD'!G10+$AK43</f>
        <v>39736.14457361243</v>
      </c>
      <c r="H43" s="152">
        <f>$AJ43*'NE HDD'!H10+$AK43</f>
        <v>41246.883943077453</v>
      </c>
      <c r="I43" s="152">
        <f>$AJ43*'NE HDD'!I10+$AK43</f>
        <v>40388.32167846345</v>
      </c>
      <c r="J43" s="152">
        <f>$AJ43*'NE HDD'!J10+$AK43</f>
        <v>33412.503278474658</v>
      </c>
      <c r="K43" s="152">
        <f>$AJ43*'NE HDD'!K10+$AK43</f>
        <v>35302.991341903573</v>
      </c>
      <c r="L43" s="152">
        <f>$AJ43*'NE HDD'!L10+$AK43</f>
        <v>39736.14457361243</v>
      </c>
      <c r="M43" s="152">
        <f>$AJ43*'NE HDD'!M10+$AK43</f>
        <v>36161.553606517577</v>
      </c>
      <c r="N43" s="152">
        <f>$AJ43*'NE HDD'!N10+$AK43</f>
        <v>36433.982017404713</v>
      </c>
      <c r="O43" s="152">
        <f>$AJ43*'NE HDD'!O10+$AK43</f>
        <v>42576.004371951058</v>
      </c>
      <c r="P43" s="152">
        <f>$AJ43*'NE HDD'!P10+$AK43</f>
        <v>40644.239276569548</v>
      </c>
      <c r="Q43" s="152">
        <f>$AJ43*'NE HDD'!Q10+$AK43</f>
        <v>40470.87574236864</v>
      </c>
      <c r="R43" s="152">
        <f>$AJ43*'NE HDD'!R10+$AK43</f>
        <v>34097.702008887762</v>
      </c>
      <c r="S43" s="152">
        <f>$AJ43*'NE HDD'!S10+$AK43</f>
        <v>38629.920117282847</v>
      </c>
      <c r="T43" s="152">
        <f>$AJ43*'NE HDD'!T10+$AK43</f>
        <v>37523.695660953257</v>
      </c>
      <c r="U43" s="152">
        <f>$AJ43*'NE HDD'!U10+$AK43</f>
        <v>39389.417505210615</v>
      </c>
      <c r="V43" s="152">
        <f>$AJ43*'NE HDD'!V10+$AK43</f>
        <v>35038.818337406956</v>
      </c>
      <c r="W43" s="152">
        <f>$AJ43*'NE HDD'!W10+$AK43</f>
        <v>35410.311624980328</v>
      </c>
      <c r="X43" s="152">
        <f>$AJ43*'NE HDD'!X10+$AK43</f>
        <v>31497.248995874186</v>
      </c>
      <c r="Y43" s="152">
        <f>$AJ43*'NE HDD'!Y10+$AK43</f>
        <v>38283.193048881032</v>
      </c>
      <c r="Z43" s="152">
        <f>$AJ43*'NE HDD'!Z10+$AK43</f>
        <v>39884.741888641773</v>
      </c>
      <c r="AA43" s="152">
        <f>$AJ43*'NE HDD'!AA10+$AK43</f>
        <v>38720.729587578557</v>
      </c>
      <c r="AB43" s="152">
        <f>$AJ43*'NE HDD'!AB10+$AK43</f>
        <v>34378.385826165417</v>
      </c>
      <c r="AC43" s="152">
        <f>$AJ43*'NE HDD'!AC10+$AK43</f>
        <v>34989.285899063841</v>
      </c>
      <c r="AD43" s="152">
        <f>$AJ43*'NE HDD'!AD10+$AK43</f>
        <v>36731.176647463406</v>
      </c>
      <c r="AE43" s="152">
        <f>$AJ43*'NE HDD'!AE10+$AK43</f>
        <v>38398.768738348306</v>
      </c>
      <c r="AF43" s="152">
        <f>$AJ43*'NE HDD'!AF10+$AK43</f>
        <v>32974.966739777134</v>
      </c>
      <c r="AG43" s="152">
        <f>$AJ43*'NE HDD'!AG10+$AK43</f>
        <v>33272.161369835834</v>
      </c>
      <c r="AH43" s="152">
        <f>$AJ43*'NE HDD'!AH10+$AK43</f>
        <v>34865.454803206056</v>
      </c>
      <c r="AI43" s="152">
        <f>$AJ43*'NE HDD'!AI10+$AK43</f>
        <v>31612.824685341453</v>
      </c>
      <c r="AJ43">
        <f>INDEX(LINEST(B10:AI10,'NE HDD'!B10:AI10,TRUE,TRUE),1,1)</f>
        <v>8.2554063905192798</v>
      </c>
      <c r="AK43">
        <f>INDEX(LINEST(B10:AI10,'NE HDD'!B10:AI10,TRUE,TRUE),1,2)</f>
        <v>-9821.0599886748096</v>
      </c>
      <c r="AL43">
        <f>INDEX(LINEST(B10:AI10,'NE HDD'!B10:AI10,TRUE,TRUE),3,1)</f>
        <v>0.66249867403360807</v>
      </c>
      <c r="AM43">
        <f>INDEX(LINEST(B10:AI10,'NE HDD'!B10:AI10,TRUE,TRUE),4,1)</f>
        <v>62.814442308847504</v>
      </c>
      <c r="AN43">
        <f t="shared" si="4"/>
        <v>4.8028004903084973E-9</v>
      </c>
    </row>
    <row r="44" spans="1:40" x14ac:dyDescent="0.25">
      <c r="A44" s="155" t="s">
        <v>1927</v>
      </c>
      <c r="B44" s="152">
        <f>$AJ44*'NE HDD'!B11+$AK44</f>
        <v>20507.70818270016</v>
      </c>
      <c r="C44" s="152">
        <f>$AJ44*'NE HDD'!C11+$AK44</f>
        <v>20929.417540598817</v>
      </c>
      <c r="D44" s="152">
        <f>$AJ44*'NE HDD'!D11+$AK44</f>
        <v>22964.81066596683</v>
      </c>
      <c r="E44" s="152">
        <f>$AJ44*'NE HDD'!E11+$AK44</f>
        <v>22753.9559870175</v>
      </c>
      <c r="F44" s="152">
        <f>$AJ44*'NE HDD'!F11+$AK44</f>
        <v>22721.682311668112</v>
      </c>
      <c r="G44" s="152">
        <f>$AJ44*'NE HDD'!G11+$AK44</f>
        <v>21970.781465205706</v>
      </c>
      <c r="H44" s="152">
        <f>$AJ44*'NE HDD'!H11+$AK44</f>
        <v>22121.391950169513</v>
      </c>
      <c r="I44" s="152">
        <f>$AJ44*'NE HDD'!I11+$AK44</f>
        <v>22728.137046737989</v>
      </c>
      <c r="J44" s="152">
        <f>$AJ44*'NE HDD'!J11+$AK44</f>
        <v>19692.259985538978</v>
      </c>
      <c r="K44" s="152">
        <f>$AJ44*'NE HDD'!K11+$AK44</f>
        <v>20589.468160251941</v>
      </c>
      <c r="L44" s="152">
        <f>$AJ44*'NE HDD'!L11+$AK44</f>
        <v>22099.876166603255</v>
      </c>
      <c r="M44" s="152">
        <f>$AJ44*'NE HDD'!M11+$AK44</f>
        <v>20772.352320565133</v>
      </c>
      <c r="N44" s="152">
        <f>$AJ44*'NE HDD'!N11+$AK44</f>
        <v>20953.084902521699</v>
      </c>
      <c r="O44" s="152">
        <f>$AJ44*'NE HDD'!O11+$AK44</f>
        <v>22596.890766983815</v>
      </c>
      <c r="P44" s="152">
        <f>$AJ44*'NE HDD'!P11+$AK44</f>
        <v>22188.090879224914</v>
      </c>
      <c r="Q44" s="152">
        <f>$AJ44*'NE HDD'!Q11+$AK44</f>
        <v>21409.219514126373</v>
      </c>
      <c r="R44" s="152">
        <f>$AJ44*'NE HDD'!R11+$AK44</f>
        <v>19851.476783929287</v>
      </c>
      <c r="S44" s="152">
        <f>$AJ44*'NE HDD'!S11+$AK44</f>
        <v>21873.960439157545</v>
      </c>
      <c r="T44" s="152">
        <f>$AJ44*'NE HDD'!T11+$AK44</f>
        <v>21316.701644791461</v>
      </c>
      <c r="U44" s="152">
        <f>$AJ44*'NE HDD'!U11+$AK44</f>
        <v>21850.293077234663</v>
      </c>
      <c r="V44" s="152">
        <f>$AJ44*'NE HDD'!V11+$AK44</f>
        <v>20083.847246444875</v>
      </c>
      <c r="W44" s="152">
        <f>$AJ44*'NE HDD'!W11+$AK44</f>
        <v>20499.101869273654</v>
      </c>
      <c r="X44" s="152">
        <f>$AJ44*'NE HDD'!X11+$AK44</f>
        <v>19225.367482151178</v>
      </c>
      <c r="Y44" s="152">
        <f>$AJ44*'NE HDD'!Y11+$AK44</f>
        <v>21303.792174651706</v>
      </c>
      <c r="Z44" s="152">
        <f>$AJ44*'NE HDD'!Z11+$AK44</f>
        <v>22106.330901673133</v>
      </c>
      <c r="AA44" s="152">
        <f>$AJ44*'NE HDD'!AA11+$AK44</f>
        <v>21648.044711711835</v>
      </c>
      <c r="AB44" s="152">
        <f>$AJ44*'NE HDD'!AB11+$AK44</f>
        <v>20206.487212772547</v>
      </c>
      <c r="AC44" s="152">
        <f>$AJ44*'NE HDD'!AC11+$AK44</f>
        <v>20645.409197524212</v>
      </c>
      <c r="AD44" s="152">
        <f>$AJ44*'NE HDD'!AD11+$AK44</f>
        <v>21463.008973042015</v>
      </c>
      <c r="AE44" s="152">
        <f>$AJ44*'NE HDD'!AE11+$AK44</f>
        <v>22252.638229923687</v>
      </c>
      <c r="AF44" s="152">
        <f>$AJ44*'NE HDD'!AF11+$AK44</f>
        <v>20122.575656864137</v>
      </c>
      <c r="AG44" s="152">
        <f>$AJ44*'NE HDD'!AG11+$AK44</f>
        <v>20004.238847249719</v>
      </c>
      <c r="AH44" s="152">
        <f>$AJ44*'NE HDD'!AH11+$AK44</f>
        <v>20626.044992314579</v>
      </c>
      <c r="AI44" s="152">
        <f>$AJ44*'NE HDD'!AI11+$AK44</f>
        <v>19341.552713408972</v>
      </c>
      <c r="AJ44">
        <f>INDEX(LINEST(B11:AI11,'NE HDD'!B11:AI11,TRUE,TRUE),1,1)</f>
        <v>2.151578356625806</v>
      </c>
      <c r="AK44">
        <f>INDEX(LINEST(B11:AI11,'NE HDD'!B11:AI11,TRUE,TRUE),1,2)</f>
        <v>4026.617970946485</v>
      </c>
      <c r="AL44">
        <f>INDEX(LINEST(B11:AI11,'NE HDD'!B11:AI11,TRUE,TRUE),3,1)</f>
        <v>0.37153520436464288</v>
      </c>
      <c r="AM44">
        <f>INDEX(LINEST(B11:AI11,'NE HDD'!B11:AI11,TRUE,TRUE),4,1)</f>
        <v>18.917728761002529</v>
      </c>
      <c r="AN44">
        <f t="shared" si="4"/>
        <v>1.3000076463496037E-4</v>
      </c>
    </row>
    <row r="46" spans="1:40" x14ac:dyDescent="0.25">
      <c r="A46" s="121" t="s">
        <v>2014</v>
      </c>
      <c r="AJ46" s="250" t="s">
        <v>2016</v>
      </c>
      <c r="AK46" s="251"/>
      <c r="AL46" s="251"/>
    </row>
    <row r="47" spans="1:40" x14ac:dyDescent="0.25">
      <c r="A47" s="136" t="s">
        <v>1786</v>
      </c>
      <c r="B47" s="136" t="s">
        <v>1821</v>
      </c>
      <c r="C47" s="136" t="s">
        <v>1822</v>
      </c>
      <c r="D47" s="136" t="s">
        <v>1823</v>
      </c>
      <c r="E47" s="136" t="s">
        <v>1824</v>
      </c>
      <c r="F47" s="136" t="s">
        <v>1825</v>
      </c>
      <c r="G47" s="136" t="s">
        <v>1826</v>
      </c>
      <c r="H47" s="136" t="s">
        <v>1827</v>
      </c>
      <c r="I47" s="136" t="s">
        <v>1828</v>
      </c>
      <c r="J47" s="136" t="s">
        <v>1829</v>
      </c>
      <c r="K47" s="136" t="s">
        <v>1830</v>
      </c>
      <c r="L47" s="136" t="s">
        <v>1831</v>
      </c>
      <c r="M47" s="136" t="s">
        <v>1832</v>
      </c>
      <c r="N47" s="136" t="s">
        <v>1833</v>
      </c>
      <c r="O47" s="136" t="s">
        <v>1834</v>
      </c>
      <c r="P47" s="136" t="s">
        <v>1835</v>
      </c>
      <c r="Q47" s="136" t="s">
        <v>1836</v>
      </c>
      <c r="R47" s="136" t="s">
        <v>1837</v>
      </c>
      <c r="S47" s="136" t="s">
        <v>1838</v>
      </c>
      <c r="T47" s="136" t="s">
        <v>1839</v>
      </c>
      <c r="U47" s="136" t="s">
        <v>1840</v>
      </c>
      <c r="V47" s="136" t="s">
        <v>1841</v>
      </c>
      <c r="W47" s="136" t="s">
        <v>1842</v>
      </c>
      <c r="X47" s="136" t="s">
        <v>1843</v>
      </c>
      <c r="Y47" s="136" t="s">
        <v>1844</v>
      </c>
      <c r="Z47" s="136" t="s">
        <v>1845</v>
      </c>
      <c r="AA47" s="136" t="s">
        <v>1846</v>
      </c>
      <c r="AB47" s="136" t="s">
        <v>1847</v>
      </c>
      <c r="AC47" s="136" t="s">
        <v>1848</v>
      </c>
      <c r="AD47" s="136" t="s">
        <v>1849</v>
      </c>
      <c r="AE47" s="136" t="s">
        <v>1850</v>
      </c>
      <c r="AF47" s="136" t="s">
        <v>1851</v>
      </c>
      <c r="AG47" s="136" t="s">
        <v>1852</v>
      </c>
      <c r="AH47" s="136" t="s">
        <v>1853</v>
      </c>
      <c r="AI47" s="136" t="s">
        <v>1854</v>
      </c>
      <c r="AJ47" s="116" t="s">
        <v>2017</v>
      </c>
      <c r="AK47" s="116" t="s">
        <v>2018</v>
      </c>
      <c r="AL47" s="154" t="s">
        <v>2019</v>
      </c>
    </row>
    <row r="48" spans="1:40" x14ac:dyDescent="0.25">
      <c r="A48" s="155" t="s">
        <v>1922</v>
      </c>
      <c r="B48" s="152">
        <f>B3-B36</f>
        <v>11121.241532327957</v>
      </c>
      <c r="C48" s="152">
        <f t="shared" ref="C48:AI48" si="5">C3-C36</f>
        <v>5081.4002207942103</v>
      </c>
      <c r="D48" s="152">
        <f t="shared" si="5"/>
        <v>5318.6056255427538</v>
      </c>
      <c r="E48" s="152">
        <f t="shared" si="5"/>
        <v>2005.9594726983341</v>
      </c>
      <c r="F48" s="152">
        <f t="shared" si="5"/>
        <v>-2844.1769942691462</v>
      </c>
      <c r="G48" s="152">
        <f t="shared" si="5"/>
        <v>-10272.973574575342</v>
      </c>
      <c r="H48" s="152">
        <f t="shared" si="5"/>
        <v>-5795.0405273016659</v>
      </c>
      <c r="I48" s="152">
        <f t="shared" si="5"/>
        <v>-6986.4108964662737</v>
      </c>
      <c r="J48" s="152">
        <f t="shared" si="5"/>
        <v>-1323.0786943494022</v>
      </c>
      <c r="K48" s="152">
        <f t="shared" si="5"/>
        <v>2806.1828406061541</v>
      </c>
      <c r="L48" s="152">
        <f t="shared" si="5"/>
        <v>2285.9902434316609</v>
      </c>
      <c r="M48" s="152">
        <f t="shared" si="5"/>
        <v>8703.4557745411148</v>
      </c>
      <c r="N48" s="152">
        <f t="shared" si="5"/>
        <v>4378.6423839958588</v>
      </c>
      <c r="O48" s="152">
        <f t="shared" si="5"/>
        <v>9223.6027757979464</v>
      </c>
      <c r="P48" s="152">
        <f t="shared" si="5"/>
        <v>22620.488818559228</v>
      </c>
      <c r="Q48" s="152">
        <f t="shared" si="5"/>
        <v>9859.1127499049035</v>
      </c>
      <c r="R48" s="152">
        <f t="shared" si="5"/>
        <v>8904.6648937246646</v>
      </c>
      <c r="S48" s="152">
        <f t="shared" si="5"/>
        <v>1150.5335497867927</v>
      </c>
      <c r="T48" s="152">
        <f t="shared" si="5"/>
        <v>-270.502632206204</v>
      </c>
      <c r="U48" s="152">
        <f t="shared" si="5"/>
        <v>-4278.4470784592704</v>
      </c>
      <c r="V48" s="152">
        <f t="shared" si="5"/>
        <v>1694.3110465691134</v>
      </c>
      <c r="W48" s="152">
        <f t="shared" si="5"/>
        <v>-4339.2043387975573</v>
      </c>
      <c r="X48" s="152">
        <f t="shared" si="5"/>
        <v>492.52871498721652</v>
      </c>
      <c r="Y48" s="152">
        <f t="shared" si="5"/>
        <v>-10939.77841588603</v>
      </c>
      <c r="Z48" s="152">
        <f t="shared" si="5"/>
        <v>-12201.725711883963</v>
      </c>
      <c r="AA48" s="152">
        <f t="shared" si="5"/>
        <v>-3278.8787008605286</v>
      </c>
      <c r="AB48" s="152">
        <f t="shared" si="5"/>
        <v>-10637.683253941184</v>
      </c>
      <c r="AC48" s="152">
        <f t="shared" si="5"/>
        <v>-8213.6359611987864</v>
      </c>
      <c r="AD48" s="152">
        <f t="shared" si="5"/>
        <v>-913.884112120184</v>
      </c>
      <c r="AE48" s="152">
        <f t="shared" si="5"/>
        <v>-8378.3661652387091</v>
      </c>
      <c r="AF48" s="152">
        <f t="shared" si="5"/>
        <v>-5419.432541504968</v>
      </c>
      <c r="AG48" s="152">
        <f t="shared" si="5"/>
        <v>1190.7401074555237</v>
      </c>
      <c r="AH48" s="152">
        <f t="shared" si="5"/>
        <v>-4418.4801224773837</v>
      </c>
      <c r="AI48" s="152">
        <f t="shared" si="5"/>
        <v>3674.2389708131377</v>
      </c>
      <c r="AJ48" s="100">
        <f>SLOPE(B48:AI48,B$57:AI$57)</f>
        <v>-264.03776139502378</v>
      </c>
      <c r="AK48" s="100">
        <f>SLOPE(B48:U48,B$57:U$57)</f>
        <v>203.66780923960093</v>
      </c>
      <c r="AL48" s="100">
        <f>SLOPE(V48:AI48,V$57:AI$57)</f>
        <v>216.32787217531018</v>
      </c>
    </row>
    <row r="49" spans="1:38" x14ac:dyDescent="0.25">
      <c r="A49" s="155" t="s">
        <v>1788</v>
      </c>
      <c r="B49" s="152">
        <f t="shared" ref="B49:AI56" si="6">B4-B37</f>
        <v>22078.985992547532</v>
      </c>
      <c r="C49" s="152">
        <f t="shared" si="6"/>
        <v>7987.9476748977322</v>
      </c>
      <c r="D49" s="152">
        <f t="shared" si="6"/>
        <v>8266.1917115384422</v>
      </c>
      <c r="E49" s="152">
        <f t="shared" si="6"/>
        <v>16260.342384728428</v>
      </c>
      <c r="F49" s="152">
        <f t="shared" si="6"/>
        <v>15514.20648576942</v>
      </c>
      <c r="G49" s="152">
        <f t="shared" si="6"/>
        <v>-7733.2874258197262</v>
      </c>
      <c r="H49" s="152">
        <f t="shared" si="6"/>
        <v>-10703.803093643044</v>
      </c>
      <c r="I49" s="152">
        <f t="shared" si="6"/>
        <v>-12460.251705579169</v>
      </c>
      <c r="J49" s="152">
        <f t="shared" si="6"/>
        <v>1836.6880538013938</v>
      </c>
      <c r="K49" s="152">
        <f t="shared" si="6"/>
        <v>5300.8832164198102</v>
      </c>
      <c r="L49" s="152">
        <f t="shared" si="6"/>
        <v>10029.999146329297</v>
      </c>
      <c r="M49" s="152">
        <f t="shared" si="6"/>
        <v>26865.577485445887</v>
      </c>
      <c r="N49" s="152">
        <f t="shared" si="6"/>
        <v>26012.990377141454</v>
      </c>
      <c r="O49" s="152">
        <f t="shared" si="6"/>
        <v>9871.9077367986902</v>
      </c>
      <c r="P49" s="152">
        <f t="shared" si="6"/>
        <v>-2863.7551965807506</v>
      </c>
      <c r="Q49" s="152">
        <f t="shared" si="6"/>
        <v>-1360.1489294514467</v>
      </c>
      <c r="R49" s="152">
        <f t="shared" si="6"/>
        <v>-6416.6629768255225</v>
      </c>
      <c r="S49" s="152">
        <f t="shared" si="6"/>
        <v>-15102.47560643492</v>
      </c>
      <c r="T49" s="152">
        <f t="shared" si="6"/>
        <v>4652.4529530839645</v>
      </c>
      <c r="U49" s="152">
        <f t="shared" si="6"/>
        <v>-9084.4233247787342</v>
      </c>
      <c r="V49" s="152">
        <f t="shared" si="6"/>
        <v>8655.4180430680281</v>
      </c>
      <c r="W49" s="152">
        <f t="shared" si="6"/>
        <v>5477.2220702250197</v>
      </c>
      <c r="X49" s="152">
        <f t="shared" si="6"/>
        <v>-3145.6360257728084</v>
      </c>
      <c r="Y49" s="152">
        <f t="shared" si="6"/>
        <v>-26153.65680504695</v>
      </c>
      <c r="Z49" s="152">
        <f t="shared" si="6"/>
        <v>-14049.139350038982</v>
      </c>
      <c r="AA49" s="152">
        <f t="shared" si="6"/>
        <v>-10235.301389826083</v>
      </c>
      <c r="AB49" s="152">
        <f t="shared" si="6"/>
        <v>-23924.811052606266</v>
      </c>
      <c r="AC49" s="152">
        <f t="shared" si="6"/>
        <v>-11094.858949668531</v>
      </c>
      <c r="AD49" s="152">
        <f t="shared" si="6"/>
        <v>-4594.0670993332751</v>
      </c>
      <c r="AE49" s="152">
        <f t="shared" si="6"/>
        <v>-5260.0531353268889</v>
      </c>
      <c r="AF49" s="152">
        <f t="shared" si="6"/>
        <v>-4780.4765833949787</v>
      </c>
      <c r="AG49" s="152">
        <f t="shared" si="6"/>
        <v>1462.6523335608654</v>
      </c>
      <c r="AH49" s="152">
        <f t="shared" si="6"/>
        <v>2425.3082849371131</v>
      </c>
      <c r="AI49" s="152">
        <f t="shared" si="6"/>
        <v>-3735.9653001655824</v>
      </c>
      <c r="AJ49" s="100">
        <f t="shared" ref="AJ49:AJ56" si="7">SLOPE(B49:AI49,B$57:AI$57)</f>
        <v>-607.1821110326149</v>
      </c>
      <c r="AK49" s="100">
        <f t="shared" ref="AK49:AK56" si="8">SLOPE(B49:U49,B$57:U$57)</f>
        <v>-766.70632768614689</v>
      </c>
      <c r="AL49" s="100">
        <f t="shared" ref="AL49:AL56" si="9">SLOPE(V49:AI49,V$57:AI$57)</f>
        <v>154.12507194140562</v>
      </c>
    </row>
    <row r="50" spans="1:38" x14ac:dyDescent="0.25">
      <c r="A50" s="155" t="s">
        <v>1923</v>
      </c>
      <c r="B50" s="152">
        <f t="shared" si="6"/>
        <v>-4295.83651811655</v>
      </c>
      <c r="C50" s="152">
        <f t="shared" si="6"/>
        <v>-5345.187196328181</v>
      </c>
      <c r="D50" s="152">
        <f t="shared" si="6"/>
        <v>-9903.1204776199156</v>
      </c>
      <c r="E50" s="152">
        <f t="shared" si="6"/>
        <v>-8005.1549100662087</v>
      </c>
      <c r="F50" s="152">
        <f t="shared" si="6"/>
        <v>-6117.9033216290263</v>
      </c>
      <c r="G50" s="152">
        <f t="shared" si="6"/>
        <v>4841.0123574741156</v>
      </c>
      <c r="H50" s="152">
        <f t="shared" si="6"/>
        <v>6640.34053880602</v>
      </c>
      <c r="I50" s="152">
        <f t="shared" si="6"/>
        <v>2888.2878170444237</v>
      </c>
      <c r="J50" s="152">
        <f t="shared" si="6"/>
        <v>14987.483248086508</v>
      </c>
      <c r="K50" s="152">
        <f t="shared" si="6"/>
        <v>12339.00608852959</v>
      </c>
      <c r="L50" s="152">
        <f t="shared" si="6"/>
        <v>5268.9013321331076</v>
      </c>
      <c r="M50" s="152">
        <f t="shared" si="6"/>
        <v>7788.2323467760289</v>
      </c>
      <c r="N50" s="152">
        <f t="shared" si="6"/>
        <v>877.35882812132331</v>
      </c>
      <c r="O50" s="152">
        <f t="shared" si="6"/>
        <v>15300.883042817804</v>
      </c>
      <c r="P50" s="152">
        <f t="shared" si="6"/>
        <v>21290.31031392415</v>
      </c>
      <c r="Q50" s="152">
        <f t="shared" si="6"/>
        <v>16122.656784571358</v>
      </c>
      <c r="R50" s="152">
        <f t="shared" si="6"/>
        <v>13164.00960896731</v>
      </c>
      <c r="S50" s="152">
        <f t="shared" si="6"/>
        <v>4192.0580383602646</v>
      </c>
      <c r="T50" s="152">
        <f t="shared" si="6"/>
        <v>-3963.6067394323909</v>
      </c>
      <c r="U50" s="152">
        <f t="shared" si="6"/>
        <v>-8215.4915065269597</v>
      </c>
      <c r="V50" s="152">
        <f t="shared" si="6"/>
        <v>-3830.8266439300933</v>
      </c>
      <c r="W50" s="152">
        <f t="shared" si="6"/>
        <v>-6902.0656096740131</v>
      </c>
      <c r="X50" s="152">
        <f t="shared" si="6"/>
        <v>-10807.230731030017</v>
      </c>
      <c r="Y50" s="152">
        <f t="shared" si="6"/>
        <v>-12868.003785656874</v>
      </c>
      <c r="Z50" s="152">
        <f t="shared" si="6"/>
        <v>-11921.736054088702</v>
      </c>
      <c r="AA50" s="152">
        <f t="shared" si="6"/>
        <v>-5876.3045754179257</v>
      </c>
      <c r="AB50" s="152">
        <f t="shared" si="6"/>
        <v>-1895.2722043517424</v>
      </c>
      <c r="AC50" s="152">
        <f t="shared" si="6"/>
        <v>-3000.3059496713322</v>
      </c>
      <c r="AD50" s="152">
        <f t="shared" si="6"/>
        <v>-3273.9004883180023</v>
      </c>
      <c r="AE50" s="152">
        <f t="shared" si="6"/>
        <v>-6161.8998011913063</v>
      </c>
      <c r="AF50" s="152">
        <f t="shared" si="6"/>
        <v>-2383.6235696900767</v>
      </c>
      <c r="AG50" s="152">
        <f t="shared" si="6"/>
        <v>-3694.4218697034667</v>
      </c>
      <c r="AH50" s="152">
        <f t="shared" si="6"/>
        <v>-5671.1119776868654</v>
      </c>
      <c r="AI50" s="152">
        <f t="shared" si="6"/>
        <v>-1567.5364154821946</v>
      </c>
      <c r="AJ50" s="100">
        <f t="shared" si="7"/>
        <v>-251.93922194660558</v>
      </c>
      <c r="AK50" s="100">
        <f t="shared" si="8"/>
        <v>639.2717123112501</v>
      </c>
      <c r="AL50" s="100">
        <f t="shared" si="9"/>
        <v>474.44079992495608</v>
      </c>
    </row>
    <row r="51" spans="1:38" x14ac:dyDescent="0.25">
      <c r="A51" s="155" t="s">
        <v>1924</v>
      </c>
      <c r="B51" s="152">
        <f t="shared" si="6"/>
        <v>-3146.9419349554737</v>
      </c>
      <c r="C51" s="152">
        <f t="shared" si="6"/>
        <v>-3807.8987468327978</v>
      </c>
      <c r="D51" s="152">
        <f t="shared" si="6"/>
        <v>-5518.4027087337599</v>
      </c>
      <c r="E51" s="152">
        <f t="shared" si="6"/>
        <v>-4924.4972460846038</v>
      </c>
      <c r="F51" s="152">
        <f t="shared" si="6"/>
        <v>-4054.5567564182784</v>
      </c>
      <c r="G51" s="152">
        <f t="shared" si="6"/>
        <v>-1524.2265603279375</v>
      </c>
      <c r="H51" s="152">
        <f t="shared" si="6"/>
        <v>870.78511534444988</v>
      </c>
      <c r="I51" s="152">
        <f t="shared" si="6"/>
        <v>-190.08067374891834</v>
      </c>
      <c r="J51" s="152">
        <f t="shared" si="6"/>
        <v>3540.9168250041039</v>
      </c>
      <c r="K51" s="152">
        <f t="shared" si="6"/>
        <v>2726.1058997057989</v>
      </c>
      <c r="L51" s="152">
        <f t="shared" si="6"/>
        <v>1349.5633962207648</v>
      </c>
      <c r="M51" s="152">
        <f t="shared" si="6"/>
        <v>1907.3311333963866</v>
      </c>
      <c r="N51" s="152">
        <f t="shared" si="6"/>
        <v>-695.43082526893704</v>
      </c>
      <c r="O51" s="152">
        <f t="shared" si="6"/>
        <v>5396.5657788159588</v>
      </c>
      <c r="P51" s="152">
        <f t="shared" si="6"/>
        <v>7672.1188260016861</v>
      </c>
      <c r="Q51" s="152">
        <f t="shared" si="6"/>
        <v>5393.7582494327653</v>
      </c>
      <c r="R51" s="152">
        <f t="shared" si="6"/>
        <v>2777.2178912393501</v>
      </c>
      <c r="S51" s="152">
        <f t="shared" si="6"/>
        <v>-49.7738290033667</v>
      </c>
      <c r="T51" s="152">
        <f t="shared" si="6"/>
        <v>-108.49146757430572</v>
      </c>
      <c r="U51" s="152">
        <f t="shared" si="6"/>
        <v>-3314.9885189932611</v>
      </c>
      <c r="V51" s="152">
        <f t="shared" si="6"/>
        <v>-3784.4367224310263</v>
      </c>
      <c r="W51" s="152">
        <f t="shared" si="6"/>
        <v>-3572.4145030579384</v>
      </c>
      <c r="X51" s="152">
        <f t="shared" si="6"/>
        <v>-7150.2768962362024</v>
      </c>
      <c r="Y51" s="152">
        <f t="shared" si="6"/>
        <v>-5331.7610213592707</v>
      </c>
      <c r="Z51" s="152">
        <f t="shared" si="6"/>
        <v>-178.31406854499801</v>
      </c>
      <c r="AA51" s="152">
        <f t="shared" si="6"/>
        <v>472.79792298855318</v>
      </c>
      <c r="AB51" s="152">
        <f t="shared" si="6"/>
        <v>105.34858757907932</v>
      </c>
      <c r="AC51" s="152">
        <f t="shared" si="6"/>
        <v>2801.8993708214111</v>
      </c>
      <c r="AD51" s="152">
        <f t="shared" si="6"/>
        <v>5251.3661604135705</v>
      </c>
      <c r="AE51" s="152">
        <f t="shared" si="6"/>
        <v>3098.2973570026952</v>
      </c>
      <c r="AF51" s="152">
        <f t="shared" si="6"/>
        <v>3379.0510359107284</v>
      </c>
      <c r="AG51" s="152">
        <f t="shared" si="6"/>
        <v>-594.2897038802912</v>
      </c>
      <c r="AH51" s="152">
        <f t="shared" si="6"/>
        <v>-396.79491640474589</v>
      </c>
      <c r="AI51" s="152">
        <f t="shared" si="6"/>
        <v>1600.4535499788326</v>
      </c>
      <c r="AJ51" s="100">
        <f t="shared" si="7"/>
        <v>86.109322601368902</v>
      </c>
      <c r="AK51" s="100">
        <f t="shared" si="8"/>
        <v>339.41635825681516</v>
      </c>
      <c r="AL51" s="100">
        <f t="shared" si="9"/>
        <v>567.75883681288417</v>
      </c>
    </row>
    <row r="52" spans="1:38" x14ac:dyDescent="0.25">
      <c r="A52" s="155" t="s">
        <v>1939</v>
      </c>
      <c r="B52" s="152">
        <f t="shared" si="6"/>
        <v>3666.4806623792392</v>
      </c>
      <c r="C52" s="152">
        <f t="shared" si="6"/>
        <v>-4781.3430463087279</v>
      </c>
      <c r="D52" s="152">
        <f t="shared" si="6"/>
        <v>-17238.427516968804</v>
      </c>
      <c r="E52" s="152">
        <f t="shared" si="6"/>
        <v>-18712.533054659492</v>
      </c>
      <c r="F52" s="152">
        <f t="shared" si="6"/>
        <v>13019.870400037791</v>
      </c>
      <c r="G52" s="152">
        <f t="shared" si="6"/>
        <v>-18091.357948830002</v>
      </c>
      <c r="H52" s="152">
        <f t="shared" si="6"/>
        <v>5791.046217156807</v>
      </c>
      <c r="I52" s="152">
        <f t="shared" si="6"/>
        <v>3498.5014923133422</v>
      </c>
      <c r="J52" s="152">
        <f t="shared" si="6"/>
        <v>14901.164286403655</v>
      </c>
      <c r="K52" s="152">
        <f t="shared" si="6"/>
        <v>8443.5348538036924</v>
      </c>
      <c r="L52" s="152">
        <f t="shared" si="6"/>
        <v>5239.5187657998176</v>
      </c>
      <c r="M52" s="152">
        <f t="shared" si="6"/>
        <v>14643.218952021096</v>
      </c>
      <c r="N52" s="152">
        <f t="shared" si="6"/>
        <v>6826.9730925703188</v>
      </c>
      <c r="O52" s="152">
        <f t="shared" si="6"/>
        <v>18649.011195990897</v>
      </c>
      <c r="P52" s="152">
        <f t="shared" si="6"/>
        <v>20861.412991012563</v>
      </c>
      <c r="Q52" s="152">
        <f t="shared" si="6"/>
        <v>7386.290654028533</v>
      </c>
      <c r="R52" s="152">
        <f t="shared" si="6"/>
        <v>-3636.0108194258064</v>
      </c>
      <c r="S52" s="152">
        <f t="shared" si="6"/>
        <v>7166.9562932769768</v>
      </c>
      <c r="T52" s="152">
        <f t="shared" si="6"/>
        <v>1337.9387826939928</v>
      </c>
      <c r="U52" s="152">
        <f t="shared" si="6"/>
        <v>-8361.9904636846622</v>
      </c>
      <c r="V52" s="152">
        <f t="shared" si="6"/>
        <v>-9908.7460268129944</v>
      </c>
      <c r="W52" s="152">
        <f t="shared" si="6"/>
        <v>-14513.588668662996</v>
      </c>
      <c r="X52" s="152">
        <f t="shared" si="6"/>
        <v>-20475.502775423869</v>
      </c>
      <c r="Y52" s="152">
        <f t="shared" si="6"/>
        <v>-16527.148533124244</v>
      </c>
      <c r="Z52" s="152">
        <f t="shared" si="6"/>
        <v>-8004.5855864083278</v>
      </c>
      <c r="AA52" s="152">
        <f t="shared" si="6"/>
        <v>1221.763439767994</v>
      </c>
      <c r="AB52" s="152">
        <f t="shared" si="6"/>
        <v>-16064.36079398822</v>
      </c>
      <c r="AC52" s="152">
        <f t="shared" si="6"/>
        <v>-6928.343520501774</v>
      </c>
      <c r="AD52" s="152">
        <f t="shared" si="6"/>
        <v>6996.6231180079048</v>
      </c>
      <c r="AE52" s="152">
        <f t="shared" si="6"/>
        <v>2216.0963779404992</v>
      </c>
      <c r="AF52" s="152">
        <f t="shared" si="6"/>
        <v>3099.7610688028799</v>
      </c>
      <c r="AG52" s="152">
        <f t="shared" si="6"/>
        <v>9678.2002559555985</v>
      </c>
      <c r="AH52" s="152">
        <f t="shared" si="6"/>
        <v>1071.113888523425</v>
      </c>
      <c r="AI52" s="152">
        <f t="shared" si="6"/>
        <v>7528.4619663137419</v>
      </c>
      <c r="AJ52" s="100">
        <f t="shared" si="7"/>
        <v>-53.087754966722883</v>
      </c>
      <c r="AK52" s="100">
        <f t="shared" si="8"/>
        <v>623.18662249925558</v>
      </c>
      <c r="AL52" s="100">
        <f>SLOPE(V52:AI52,V$57:AI$57)</f>
        <v>1943.8486432209966</v>
      </c>
    </row>
    <row r="53" spans="1:38" x14ac:dyDescent="0.25">
      <c r="A53" s="155" t="s">
        <v>1925</v>
      </c>
      <c r="B53" s="152">
        <f t="shared" si="6"/>
        <v>-2920.1437457449501</v>
      </c>
      <c r="C53" s="152">
        <f t="shared" si="6"/>
        <v>-19481.738042174606</v>
      </c>
      <c r="D53" s="152">
        <f t="shared" si="6"/>
        <v>-21069.357179087587</v>
      </c>
      <c r="E53" s="152">
        <f t="shared" si="6"/>
        <v>-25579.743895787047</v>
      </c>
      <c r="F53" s="152">
        <f t="shared" si="6"/>
        <v>-28268.449711924302</v>
      </c>
      <c r="G53" s="152">
        <f t="shared" si="6"/>
        <v>-33954.628848893684</v>
      </c>
      <c r="H53" s="152">
        <f t="shared" si="6"/>
        <v>-6141.5600308729336</v>
      </c>
      <c r="I53" s="152">
        <f t="shared" si="6"/>
        <v>-31684.425997108454</v>
      </c>
      <c r="J53" s="152">
        <f t="shared" si="6"/>
        <v>-15990.243408044567</v>
      </c>
      <c r="K53" s="152">
        <f t="shared" si="6"/>
        <v>-1386.1294868189143</v>
      </c>
      <c r="L53" s="152">
        <f t="shared" si="6"/>
        <v>43980.91088844114</v>
      </c>
      <c r="M53" s="152">
        <f t="shared" si="6"/>
        <v>56414.772051640553</v>
      </c>
      <c r="N53" s="152">
        <f t="shared" si="6"/>
        <v>22018.588186726207</v>
      </c>
      <c r="O53" s="152">
        <f t="shared" si="6"/>
        <v>25888.606047929497</v>
      </c>
      <c r="P53" s="152">
        <f t="shared" si="6"/>
        <v>29579.425710201031</v>
      </c>
      <c r="Q53" s="152">
        <f t="shared" si="6"/>
        <v>46531.425710201031</v>
      </c>
      <c r="R53" s="152">
        <f t="shared" si="6"/>
        <v>-8937.5921510022599</v>
      </c>
      <c r="S53" s="152">
        <f t="shared" si="6"/>
        <v>15508.995091055753</v>
      </c>
      <c r="T53" s="152">
        <f t="shared" si="6"/>
        <v>-33.888661291683093</v>
      </c>
      <c r="U53" s="152">
        <f t="shared" si="6"/>
        <v>-42755.930162219563</v>
      </c>
      <c r="V53" s="152">
        <f t="shared" si="6"/>
        <v>-30249.074927724199</v>
      </c>
      <c r="W53" s="152">
        <f t="shared" si="6"/>
        <v>-38897.651438041823</v>
      </c>
      <c r="X53" s="152">
        <f t="shared" si="6"/>
        <v>-20521.34899904835</v>
      </c>
      <c r="Y53" s="152">
        <f t="shared" si="6"/>
        <v>-38342.937291682465</v>
      </c>
      <c r="Z53" s="152">
        <f t="shared" si="6"/>
        <v>450.0710385395214</v>
      </c>
      <c r="AA53" s="152">
        <f t="shared" si="6"/>
        <v>19591.817154845456</v>
      </c>
      <c r="AB53" s="152">
        <f t="shared" si="6"/>
        <v>-20598.358454938047</v>
      </c>
      <c r="AC53" s="152">
        <f t="shared" si="6"/>
        <v>-10017.836503715138</v>
      </c>
      <c r="AD53" s="152">
        <f t="shared" si="6"/>
        <v>45710.178955969983</v>
      </c>
      <c r="AE53" s="152">
        <f t="shared" si="6"/>
        <v>27423.339106068364</v>
      </c>
      <c r="AF53" s="152">
        <f t="shared" si="6"/>
        <v>2114.5122392424382</v>
      </c>
      <c r="AG53" s="152">
        <f t="shared" si="6"/>
        <v>31416.610700783087</v>
      </c>
      <c r="AH53" s="152">
        <f t="shared" si="6"/>
        <v>13757.968974721734</v>
      </c>
      <c r="AI53" s="152">
        <f t="shared" si="6"/>
        <v>16443.817079754081</v>
      </c>
      <c r="AJ53" s="100">
        <f t="shared" si="7"/>
        <v>701.43514241769958</v>
      </c>
      <c r="AK53" s="100">
        <f t="shared" si="8"/>
        <v>1871.1805978922412</v>
      </c>
      <c r="AL53" s="100">
        <f t="shared" si="9"/>
        <v>4748.714620538055</v>
      </c>
    </row>
    <row r="54" spans="1:38" x14ac:dyDescent="0.25">
      <c r="A54" s="155" t="s">
        <v>1940</v>
      </c>
      <c r="B54" s="152">
        <f t="shared" si="6"/>
        <v>57584.115669644554</v>
      </c>
      <c r="C54" s="152">
        <f t="shared" si="6"/>
        <v>41741.566432499676</v>
      </c>
      <c r="D54" s="152">
        <f t="shared" si="6"/>
        <v>10393.296550383442</v>
      </c>
      <c r="E54" s="152">
        <f t="shared" si="6"/>
        <v>22165.918721065216</v>
      </c>
      <c r="F54" s="152">
        <f t="shared" si="6"/>
        <v>13480.684439499921</v>
      </c>
      <c r="G54" s="152">
        <f t="shared" si="6"/>
        <v>5986.037119322631</v>
      </c>
      <c r="H54" s="152">
        <f t="shared" si="6"/>
        <v>13200.465247631888</v>
      </c>
      <c r="I54" s="152">
        <f t="shared" si="6"/>
        <v>7763.7676284636254</v>
      </c>
      <c r="J54" s="152">
        <f t="shared" si="6"/>
        <v>36312.171194163209</v>
      </c>
      <c r="K54" s="152">
        <f t="shared" si="6"/>
        <v>23310.999590708001</v>
      </c>
      <c r="L54" s="152">
        <f t="shared" si="6"/>
        <v>32218.603961114306</v>
      </c>
      <c r="M54" s="152">
        <f t="shared" si="6"/>
        <v>41846.102899268153</v>
      </c>
      <c r="N54" s="152">
        <f t="shared" si="6"/>
        <v>30344.735129748122</v>
      </c>
      <c r="O54" s="152">
        <f t="shared" si="6"/>
        <v>23038.054723969486</v>
      </c>
      <c r="P54" s="152">
        <f t="shared" si="6"/>
        <v>34664.306805810251</v>
      </c>
      <c r="Q54" s="152">
        <f t="shared" si="6"/>
        <v>6299.0926438413444</v>
      </c>
      <c r="R54" s="152">
        <f t="shared" si="6"/>
        <v>839.75293002359103</v>
      </c>
      <c r="S54" s="152">
        <f t="shared" si="6"/>
        <v>-10051.474002321716</v>
      </c>
      <c r="T54" s="152">
        <f t="shared" si="6"/>
        <v>28998.694694926729</v>
      </c>
      <c r="U54" s="152">
        <f t="shared" si="6"/>
        <v>-51355.285185476881</v>
      </c>
      <c r="V54" s="152">
        <f t="shared" si="6"/>
        <v>-28644.985319594678</v>
      </c>
      <c r="W54" s="152">
        <f t="shared" si="6"/>
        <v>-26532.662819166493</v>
      </c>
      <c r="X54" s="152">
        <f t="shared" si="6"/>
        <v>-26343.428341972583</v>
      </c>
      <c r="Y54" s="152">
        <f t="shared" si="6"/>
        <v>-45075.295245275076</v>
      </c>
      <c r="Z54" s="152">
        <f t="shared" si="6"/>
        <v>-44294.401264413376</v>
      </c>
      <c r="AA54" s="152">
        <f t="shared" si="6"/>
        <v>-23889.960170099162</v>
      </c>
      <c r="AB54" s="152">
        <f t="shared" si="6"/>
        <v>-34109.813911768084</v>
      </c>
      <c r="AC54" s="152">
        <f t="shared" si="6"/>
        <v>-22374.602264748712</v>
      </c>
      <c r="AD54" s="152">
        <f t="shared" si="6"/>
        <v>-11327.317879821057</v>
      </c>
      <c r="AE54" s="152">
        <f t="shared" si="6"/>
        <v>-30544.121322498948</v>
      </c>
      <c r="AF54" s="152">
        <f t="shared" si="6"/>
        <v>-25998.748327451176</v>
      </c>
      <c r="AG54" s="152">
        <f t="shared" si="6"/>
        <v>-8636.8591808599886</v>
      </c>
      <c r="AH54" s="152">
        <f t="shared" si="6"/>
        <v>-33048.209541361779</v>
      </c>
      <c r="AI54" s="152">
        <f t="shared" si="6"/>
        <v>-7961.2016052558902</v>
      </c>
      <c r="AJ54" s="100">
        <f t="shared" si="7"/>
        <v>-2202.3364170769732</v>
      </c>
      <c r="AK54" s="100">
        <f t="shared" si="8"/>
        <v>-1867.6728335394846</v>
      </c>
      <c r="AL54" s="100">
        <f t="shared" si="9"/>
        <v>1336.8959636142035</v>
      </c>
    </row>
    <row r="55" spans="1:38" x14ac:dyDescent="0.25">
      <c r="A55" s="155" t="s">
        <v>1926</v>
      </c>
      <c r="B55" s="152">
        <f t="shared" si="6"/>
        <v>2338.4627949000424</v>
      </c>
      <c r="C55" s="152">
        <f t="shared" si="6"/>
        <v>1643.7100005817556</v>
      </c>
      <c r="D55" s="152">
        <f t="shared" si="6"/>
        <v>1115.3591622498425</v>
      </c>
      <c r="E55" s="152">
        <f t="shared" si="6"/>
        <v>546.81739940786792</v>
      </c>
      <c r="F55" s="152">
        <f t="shared" si="6"/>
        <v>1021.0985317148734</v>
      </c>
      <c r="G55" s="152">
        <f t="shared" si="6"/>
        <v>-710.14457361242967</v>
      </c>
      <c r="H55" s="152">
        <f t="shared" si="6"/>
        <v>970.1160569225467</v>
      </c>
      <c r="I55" s="152">
        <f t="shared" si="6"/>
        <v>579.67832153655036</v>
      </c>
      <c r="J55" s="152">
        <f t="shared" si="6"/>
        <v>3854.4967215253419</v>
      </c>
      <c r="K55" s="152">
        <f t="shared" si="6"/>
        <v>1267.0086580964271</v>
      </c>
      <c r="L55" s="152">
        <f t="shared" si="6"/>
        <v>-16.144573612429667</v>
      </c>
      <c r="M55" s="152">
        <f t="shared" si="6"/>
        <v>4160.4463934824234</v>
      </c>
      <c r="N55" s="152">
        <f t="shared" si="6"/>
        <v>2265.0179825952873</v>
      </c>
      <c r="O55" s="152">
        <f t="shared" si="6"/>
        <v>1488.9956280489423</v>
      </c>
      <c r="P55" s="152">
        <f t="shared" si="6"/>
        <v>2949.7607234304523</v>
      </c>
      <c r="Q55" s="152">
        <f t="shared" si="6"/>
        <v>1767.1242576313598</v>
      </c>
      <c r="R55" s="152">
        <f t="shared" si="6"/>
        <v>630.29799111223838</v>
      </c>
      <c r="S55" s="152">
        <f t="shared" si="6"/>
        <v>-2451.9201172828471</v>
      </c>
      <c r="T55" s="152">
        <f t="shared" si="6"/>
        <v>-2016.6956609532572</v>
      </c>
      <c r="U55" s="152">
        <f t="shared" si="6"/>
        <v>-2474.4175052106148</v>
      </c>
      <c r="V55" s="152">
        <f t="shared" si="6"/>
        <v>41.181662593044166</v>
      </c>
      <c r="W55" s="152">
        <f t="shared" si="6"/>
        <v>-1697.3116249803279</v>
      </c>
      <c r="X55" s="152">
        <f t="shared" si="6"/>
        <v>953.75100412581378</v>
      </c>
      <c r="Y55" s="152">
        <f t="shared" si="6"/>
        <v>-2396.1930488810322</v>
      </c>
      <c r="Z55" s="152">
        <f t="shared" si="6"/>
        <v>-2596.7418886417727</v>
      </c>
      <c r="AA55" s="152">
        <f t="shared" si="6"/>
        <v>202.27041242144333</v>
      </c>
      <c r="AB55" s="152">
        <f t="shared" si="6"/>
        <v>-4583.3858261654168</v>
      </c>
      <c r="AC55" s="152">
        <f t="shared" si="6"/>
        <v>-4510.2858990638415</v>
      </c>
      <c r="AD55" s="152">
        <f t="shared" si="6"/>
        <v>589.82335253659403</v>
      </c>
      <c r="AE55" s="152">
        <f t="shared" si="6"/>
        <v>-4541.7687383483062</v>
      </c>
      <c r="AF55" s="152">
        <f t="shared" si="6"/>
        <v>-1920.9667397771336</v>
      </c>
      <c r="AG55" s="152">
        <f t="shared" si="6"/>
        <v>1145.8386301641658</v>
      </c>
      <c r="AH55" s="152">
        <f t="shared" si="6"/>
        <v>-909.45480320605566</v>
      </c>
      <c r="AI55" s="152">
        <f t="shared" si="6"/>
        <v>1294.175314658547</v>
      </c>
      <c r="AJ55" s="100">
        <f t="shared" si="7"/>
        <v>-118.46043704156673</v>
      </c>
      <c r="AK55" s="100">
        <f t="shared" si="8"/>
        <v>-115.23051255881437</v>
      </c>
      <c r="AL55" s="100">
        <f t="shared" si="9"/>
        <v>47.299647941440341</v>
      </c>
    </row>
    <row r="56" spans="1:38" x14ac:dyDescent="0.25">
      <c r="A56" s="155" t="s">
        <v>1927</v>
      </c>
      <c r="B56" s="152">
        <f t="shared" si="6"/>
        <v>-477.70818270016025</v>
      </c>
      <c r="C56" s="152">
        <f t="shared" si="6"/>
        <v>80.582459401182859</v>
      </c>
      <c r="D56" s="152">
        <f t="shared" si="6"/>
        <v>8.189334033169871</v>
      </c>
      <c r="E56" s="152">
        <f t="shared" si="6"/>
        <v>-410.95598701749987</v>
      </c>
      <c r="F56" s="152">
        <f t="shared" si="6"/>
        <v>-1403.6823116681117</v>
      </c>
      <c r="G56" s="152">
        <f t="shared" si="6"/>
        <v>-1354.7814652057059</v>
      </c>
      <c r="H56" s="152">
        <f t="shared" si="6"/>
        <v>-354.39195016951271</v>
      </c>
      <c r="I56" s="152">
        <f t="shared" si="6"/>
        <v>-1466.1370467379893</v>
      </c>
      <c r="J56" s="152">
        <f t="shared" si="6"/>
        <v>625.74001446102193</v>
      </c>
      <c r="K56" s="152">
        <f t="shared" si="6"/>
        <v>-573.4681602519413</v>
      </c>
      <c r="L56" s="152">
        <f t="shared" si="6"/>
        <v>956.12383339674489</v>
      </c>
      <c r="M56" s="152">
        <f t="shared" si="6"/>
        <v>2301.6476794348673</v>
      </c>
      <c r="N56" s="152">
        <f t="shared" si="6"/>
        <v>760.91509747830059</v>
      </c>
      <c r="O56" s="152">
        <f t="shared" si="6"/>
        <v>512.10923301618459</v>
      </c>
      <c r="P56" s="152">
        <f t="shared" si="6"/>
        <v>3545.9091207750862</v>
      </c>
      <c r="Q56" s="152">
        <f t="shared" si="6"/>
        <v>2579.7804858736272</v>
      </c>
      <c r="R56" s="152">
        <f t="shared" si="6"/>
        <v>2540.5232160707128</v>
      </c>
      <c r="S56" s="152">
        <f t="shared" ref="S56:AI56" si="10">S11-S44</f>
        <v>161.0395608424551</v>
      </c>
      <c r="T56" s="152">
        <f t="shared" si="10"/>
        <v>-1845.7016447914611</v>
      </c>
      <c r="U56" s="152">
        <f t="shared" si="10"/>
        <v>-19.293077234662633</v>
      </c>
      <c r="V56" s="152">
        <f t="shared" si="10"/>
        <v>-541.84724644487505</v>
      </c>
      <c r="W56" s="152">
        <f t="shared" si="10"/>
        <v>-1509.1018692736543</v>
      </c>
      <c r="X56" s="152">
        <f t="shared" si="10"/>
        <v>-2625.3674821511777</v>
      </c>
      <c r="Y56" s="152">
        <f t="shared" si="10"/>
        <v>-2166.7921746517059</v>
      </c>
      <c r="Z56" s="152">
        <f t="shared" si="10"/>
        <v>-1185.3309016731328</v>
      </c>
      <c r="AA56" s="152">
        <f t="shared" si="10"/>
        <v>-288.04471171183468</v>
      </c>
      <c r="AB56" s="152">
        <f t="shared" si="10"/>
        <v>-526.48721277254663</v>
      </c>
      <c r="AC56" s="152">
        <f t="shared" si="10"/>
        <v>35.590802475788223</v>
      </c>
      <c r="AD56" s="152">
        <f t="shared" si="10"/>
        <v>755.99102695798501</v>
      </c>
      <c r="AE56" s="152">
        <f t="shared" si="10"/>
        <v>996.36177007631341</v>
      </c>
      <c r="AF56" s="152">
        <f t="shared" si="10"/>
        <v>1092.4243431358627</v>
      </c>
      <c r="AG56" s="152">
        <f t="shared" si="10"/>
        <v>394.76115275028133</v>
      </c>
      <c r="AH56" s="152">
        <f t="shared" si="10"/>
        <v>-684.04499231457885</v>
      </c>
      <c r="AI56" s="152">
        <f t="shared" si="10"/>
        <v>85.447286591028387</v>
      </c>
      <c r="AJ56" s="100">
        <f t="shared" si="7"/>
        <v>7.2916686329689298E-2</v>
      </c>
      <c r="AK56" s="100">
        <f t="shared" si="8"/>
        <v>96.471752115483739</v>
      </c>
      <c r="AL56" s="100">
        <f t="shared" si="9"/>
        <v>179.8434648453796</v>
      </c>
    </row>
    <row r="57" spans="1:38" x14ac:dyDescent="0.25">
      <c r="A57" s="157" t="s">
        <v>2015</v>
      </c>
      <c r="B57">
        <v>1</v>
      </c>
      <c r="C57" s="37">
        <f>+B57+1</f>
        <v>2</v>
      </c>
      <c r="D57" s="37">
        <f t="shared" ref="D57:AI57" si="11">+C57+1</f>
        <v>3</v>
      </c>
      <c r="E57" s="37">
        <f t="shared" si="11"/>
        <v>4</v>
      </c>
      <c r="F57" s="37">
        <f t="shared" si="11"/>
        <v>5</v>
      </c>
      <c r="G57" s="37">
        <f t="shared" si="11"/>
        <v>6</v>
      </c>
      <c r="H57" s="37">
        <f t="shared" si="11"/>
        <v>7</v>
      </c>
      <c r="I57" s="37">
        <f t="shared" si="11"/>
        <v>8</v>
      </c>
      <c r="J57" s="37">
        <f t="shared" si="11"/>
        <v>9</v>
      </c>
      <c r="K57" s="37">
        <f t="shared" si="11"/>
        <v>10</v>
      </c>
      <c r="L57" s="37">
        <f t="shared" si="11"/>
        <v>11</v>
      </c>
      <c r="M57" s="37">
        <f t="shared" si="11"/>
        <v>12</v>
      </c>
      <c r="N57" s="37">
        <f t="shared" si="11"/>
        <v>13</v>
      </c>
      <c r="O57" s="37">
        <f t="shared" si="11"/>
        <v>14</v>
      </c>
      <c r="P57" s="37">
        <f t="shared" si="11"/>
        <v>15</v>
      </c>
      <c r="Q57" s="37">
        <f t="shared" si="11"/>
        <v>16</v>
      </c>
      <c r="R57" s="37">
        <f t="shared" si="11"/>
        <v>17</v>
      </c>
      <c r="S57" s="37">
        <f t="shared" si="11"/>
        <v>18</v>
      </c>
      <c r="T57" s="37">
        <f t="shared" si="11"/>
        <v>19</v>
      </c>
      <c r="U57" s="37">
        <f t="shared" si="11"/>
        <v>20</v>
      </c>
      <c r="V57" s="37">
        <f t="shared" si="11"/>
        <v>21</v>
      </c>
      <c r="W57" s="37">
        <f t="shared" si="11"/>
        <v>22</v>
      </c>
      <c r="X57" s="37">
        <f t="shared" si="11"/>
        <v>23</v>
      </c>
      <c r="Y57" s="37">
        <f t="shared" si="11"/>
        <v>24</v>
      </c>
      <c r="Z57" s="37">
        <f t="shared" si="11"/>
        <v>25</v>
      </c>
      <c r="AA57" s="37">
        <f t="shared" si="11"/>
        <v>26</v>
      </c>
      <c r="AB57" s="37">
        <f t="shared" si="11"/>
        <v>27</v>
      </c>
      <c r="AC57" s="37">
        <f t="shared" si="11"/>
        <v>28</v>
      </c>
      <c r="AD57" s="37">
        <f t="shared" si="11"/>
        <v>29</v>
      </c>
      <c r="AE57" s="37">
        <f t="shared" si="11"/>
        <v>30</v>
      </c>
      <c r="AF57" s="37">
        <f t="shared" si="11"/>
        <v>31</v>
      </c>
      <c r="AG57" s="37">
        <f t="shared" si="11"/>
        <v>32</v>
      </c>
      <c r="AH57" s="37">
        <f t="shared" si="11"/>
        <v>33</v>
      </c>
      <c r="AI57" s="37">
        <f t="shared" si="11"/>
        <v>34</v>
      </c>
      <c r="AK57" s="37"/>
    </row>
    <row r="59" spans="1:38" x14ac:dyDescent="0.25">
      <c r="A59" s="158"/>
    </row>
  </sheetData>
  <mergeCells count="1">
    <mergeCell ref="AJ46:AL4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AE0E9-E626-4B96-8622-C3961DD894CF}">
  <dimension ref="A1:AI11"/>
  <sheetViews>
    <sheetView workbookViewId="0">
      <selection activeCell="V4" sqref="V4:AI4"/>
    </sheetView>
    <sheetView workbookViewId="1"/>
  </sheetViews>
  <sheetFormatPr defaultRowHeight="15" x14ac:dyDescent="0.25"/>
  <sheetData>
    <row r="1" spans="1:35" x14ac:dyDescent="0.25">
      <c r="A1" t="s">
        <v>2172</v>
      </c>
    </row>
    <row r="2" spans="1:35" x14ac:dyDescent="0.25">
      <c r="A2" s="232" t="s">
        <v>1786</v>
      </c>
      <c r="B2" s="232" t="s">
        <v>1821</v>
      </c>
      <c r="C2" s="232" t="s">
        <v>1822</v>
      </c>
      <c r="D2" s="232" t="s">
        <v>1823</v>
      </c>
      <c r="E2" s="232" t="s">
        <v>1824</v>
      </c>
      <c r="F2" s="232" t="s">
        <v>1825</v>
      </c>
      <c r="G2" s="232" t="s">
        <v>1826</v>
      </c>
      <c r="H2" s="232" t="s">
        <v>1827</v>
      </c>
      <c r="I2" s="232" t="s">
        <v>1828</v>
      </c>
      <c r="J2" s="232" t="s">
        <v>1829</v>
      </c>
      <c r="K2" s="232" t="s">
        <v>1830</v>
      </c>
      <c r="L2" s="232" t="s">
        <v>1831</v>
      </c>
      <c r="M2" s="232" t="s">
        <v>1832</v>
      </c>
      <c r="N2" s="232" t="s">
        <v>1833</v>
      </c>
      <c r="O2" s="232" t="s">
        <v>1834</v>
      </c>
      <c r="P2" s="232" t="s">
        <v>1835</v>
      </c>
      <c r="Q2" s="232" t="s">
        <v>1836</v>
      </c>
      <c r="R2" s="232" t="s">
        <v>1837</v>
      </c>
      <c r="S2" s="232" t="s">
        <v>1838</v>
      </c>
      <c r="T2" s="232" t="s">
        <v>1839</v>
      </c>
      <c r="U2" s="232" t="s">
        <v>1840</v>
      </c>
      <c r="V2" s="232" t="s">
        <v>1841</v>
      </c>
      <c r="W2" s="232" t="s">
        <v>1842</v>
      </c>
      <c r="X2" s="232" t="s">
        <v>1843</v>
      </c>
      <c r="Y2" s="232" t="s">
        <v>1844</v>
      </c>
      <c r="Z2" s="232" t="s">
        <v>1845</v>
      </c>
      <c r="AA2" s="232" t="s">
        <v>1846</v>
      </c>
      <c r="AB2" s="232" t="s">
        <v>1847</v>
      </c>
      <c r="AC2" s="232" t="s">
        <v>1848</v>
      </c>
      <c r="AD2" s="232" t="s">
        <v>1849</v>
      </c>
      <c r="AE2" s="232" t="s">
        <v>1850</v>
      </c>
      <c r="AF2" s="232" t="s">
        <v>1851</v>
      </c>
      <c r="AG2" s="232" t="s">
        <v>1852</v>
      </c>
      <c r="AH2" s="232" t="s">
        <v>1853</v>
      </c>
      <c r="AI2" s="232" t="s">
        <v>1854</v>
      </c>
    </row>
    <row r="3" spans="1:35" x14ac:dyDescent="0.25">
      <c r="A3" s="233" t="s">
        <v>1922</v>
      </c>
      <c r="B3" s="234">
        <v>3292</v>
      </c>
      <c r="C3" s="234">
        <v>3303</v>
      </c>
      <c r="D3" s="234">
        <v>3301</v>
      </c>
      <c r="E3" s="234">
        <v>3309</v>
      </c>
      <c r="F3" s="234">
        <v>3316</v>
      </c>
      <c r="G3" s="234">
        <v>3324</v>
      </c>
      <c r="H3" s="234">
        <v>3337</v>
      </c>
      <c r="I3" s="234">
        <v>3349</v>
      </c>
      <c r="J3" s="234">
        <v>3365</v>
      </c>
      <c r="K3" s="234">
        <v>3386</v>
      </c>
      <c r="L3" s="234">
        <v>3412</v>
      </c>
      <c r="M3" s="234">
        <v>3433</v>
      </c>
      <c r="N3" s="234">
        <v>3459</v>
      </c>
      <c r="O3" s="234">
        <v>3484</v>
      </c>
      <c r="P3" s="234">
        <v>3496</v>
      </c>
      <c r="Q3" s="234">
        <v>3507</v>
      </c>
      <c r="R3" s="234">
        <v>3517</v>
      </c>
      <c r="S3" s="234">
        <v>3527</v>
      </c>
      <c r="T3" s="234">
        <v>3546</v>
      </c>
      <c r="U3" s="234">
        <v>3562</v>
      </c>
      <c r="V3" s="234">
        <v>3579</v>
      </c>
      <c r="W3" s="234">
        <v>3589</v>
      </c>
      <c r="X3" s="234">
        <v>3595</v>
      </c>
      <c r="Y3" s="234">
        <v>3596</v>
      </c>
      <c r="Z3" s="234">
        <v>3596</v>
      </c>
      <c r="AA3" s="234">
        <v>3589</v>
      </c>
      <c r="AB3" s="234">
        <v>3580</v>
      </c>
      <c r="AC3" s="234">
        <v>3575</v>
      </c>
      <c r="AD3" s="234">
        <v>3575</v>
      </c>
      <c r="AE3" s="234">
        <v>3566</v>
      </c>
      <c r="AF3" s="234">
        <v>3578</v>
      </c>
      <c r="AG3" s="234">
        <v>3604</v>
      </c>
      <c r="AH3" s="234">
        <v>3609</v>
      </c>
      <c r="AI3" s="234">
        <v>3617</v>
      </c>
    </row>
    <row r="4" spans="1:35" x14ac:dyDescent="0.25">
      <c r="A4" s="233" t="s">
        <v>1788</v>
      </c>
      <c r="B4" s="234">
        <v>6023</v>
      </c>
      <c r="C4" s="234">
        <v>6018</v>
      </c>
      <c r="D4" s="234">
        <v>6029</v>
      </c>
      <c r="E4" s="234">
        <v>6061</v>
      </c>
      <c r="F4" s="234">
        <v>6095</v>
      </c>
      <c r="G4" s="234">
        <v>6141</v>
      </c>
      <c r="H4" s="234">
        <v>6180</v>
      </c>
      <c r="I4" s="234">
        <v>6226</v>
      </c>
      <c r="J4" s="234">
        <v>6272</v>
      </c>
      <c r="K4" s="234">
        <v>6317</v>
      </c>
      <c r="L4" s="234">
        <v>6361</v>
      </c>
      <c r="M4" s="234">
        <v>6398</v>
      </c>
      <c r="N4" s="234">
        <v>6417</v>
      </c>
      <c r="O4" s="234">
        <v>6423</v>
      </c>
      <c r="P4" s="234">
        <v>6412</v>
      </c>
      <c r="Q4" s="234">
        <v>6403</v>
      </c>
      <c r="R4" s="234">
        <v>6410</v>
      </c>
      <c r="S4" s="234">
        <v>6432</v>
      </c>
      <c r="T4" s="234">
        <v>6469</v>
      </c>
      <c r="U4" s="234">
        <v>6518</v>
      </c>
      <c r="V4" s="234">
        <v>6566</v>
      </c>
      <c r="W4" s="234">
        <v>6614</v>
      </c>
      <c r="X4" s="234">
        <v>6664</v>
      </c>
      <c r="Y4" s="234">
        <v>6715</v>
      </c>
      <c r="Z4" s="234">
        <v>6765</v>
      </c>
      <c r="AA4" s="234">
        <v>6797</v>
      </c>
      <c r="AB4" s="234">
        <v>6827</v>
      </c>
      <c r="AC4" s="234">
        <v>6864</v>
      </c>
      <c r="AD4" s="234">
        <v>6886</v>
      </c>
      <c r="AE4" s="234">
        <v>6895</v>
      </c>
      <c r="AF4" s="234">
        <v>6998</v>
      </c>
      <c r="AG4" s="234">
        <v>6992</v>
      </c>
      <c r="AH4" s="234">
        <v>6983</v>
      </c>
      <c r="AI4" s="234">
        <v>7001</v>
      </c>
    </row>
    <row r="5" spans="1:35" x14ac:dyDescent="0.25">
      <c r="A5" s="233" t="s">
        <v>1923</v>
      </c>
      <c r="B5" s="234">
        <v>1232</v>
      </c>
      <c r="C5" s="234">
        <v>1237</v>
      </c>
      <c r="D5" s="234">
        <v>1239</v>
      </c>
      <c r="E5" s="234">
        <v>1242</v>
      </c>
      <c r="F5" s="234">
        <v>1243</v>
      </c>
      <c r="G5" s="234">
        <v>1243</v>
      </c>
      <c r="H5" s="234">
        <v>1249</v>
      </c>
      <c r="I5" s="234">
        <v>1255</v>
      </c>
      <c r="J5" s="234">
        <v>1259</v>
      </c>
      <c r="K5" s="234">
        <v>1267</v>
      </c>
      <c r="L5" s="234">
        <v>1277</v>
      </c>
      <c r="M5" s="234">
        <v>1286</v>
      </c>
      <c r="N5" s="234">
        <v>1296</v>
      </c>
      <c r="O5" s="234">
        <v>1307</v>
      </c>
      <c r="P5" s="234">
        <v>1314</v>
      </c>
      <c r="Q5" s="234">
        <v>1319</v>
      </c>
      <c r="R5" s="234">
        <v>1324</v>
      </c>
      <c r="S5" s="234">
        <v>1327</v>
      </c>
      <c r="T5" s="234">
        <v>1331</v>
      </c>
      <c r="U5" s="234">
        <v>1330</v>
      </c>
      <c r="V5" s="234">
        <v>1328</v>
      </c>
      <c r="W5" s="234">
        <v>1328</v>
      </c>
      <c r="X5" s="234">
        <v>1328</v>
      </c>
      <c r="Y5" s="234">
        <v>1329</v>
      </c>
      <c r="Z5" s="234">
        <v>1331</v>
      </c>
      <c r="AA5" s="234">
        <v>1329</v>
      </c>
      <c r="AB5" s="234">
        <v>1332</v>
      </c>
      <c r="AC5" s="234">
        <v>1336</v>
      </c>
      <c r="AD5" s="234">
        <v>1340</v>
      </c>
      <c r="AE5" s="234">
        <v>1346</v>
      </c>
      <c r="AF5" s="234">
        <v>1365</v>
      </c>
      <c r="AG5" s="234">
        <v>1379</v>
      </c>
      <c r="AH5" s="234">
        <v>1389</v>
      </c>
      <c r="AI5" s="234">
        <v>1396</v>
      </c>
    </row>
    <row r="6" spans="1:35" x14ac:dyDescent="0.25">
      <c r="A6" s="233" t="s">
        <v>1924</v>
      </c>
      <c r="B6" s="234">
        <v>1112</v>
      </c>
      <c r="C6" s="234">
        <v>1110</v>
      </c>
      <c r="D6" s="234">
        <v>1118</v>
      </c>
      <c r="E6" s="234">
        <v>1129</v>
      </c>
      <c r="F6" s="234">
        <v>1143</v>
      </c>
      <c r="G6" s="234">
        <v>1158</v>
      </c>
      <c r="H6" s="234">
        <v>1175</v>
      </c>
      <c r="I6" s="234">
        <v>1189</v>
      </c>
      <c r="J6" s="234">
        <v>1206</v>
      </c>
      <c r="K6" s="234">
        <v>1222</v>
      </c>
      <c r="L6" s="234">
        <v>1240</v>
      </c>
      <c r="M6" s="234">
        <v>1256</v>
      </c>
      <c r="N6" s="234">
        <v>1269</v>
      </c>
      <c r="O6" s="234">
        <v>1280</v>
      </c>
      <c r="P6" s="234">
        <v>1290</v>
      </c>
      <c r="Q6" s="234">
        <v>1298</v>
      </c>
      <c r="R6" s="234">
        <v>1308</v>
      </c>
      <c r="S6" s="234">
        <v>1313</v>
      </c>
      <c r="T6" s="234">
        <v>1316</v>
      </c>
      <c r="U6" s="234">
        <v>1316</v>
      </c>
      <c r="V6" s="234">
        <v>1317</v>
      </c>
      <c r="W6" s="234">
        <v>1320</v>
      </c>
      <c r="X6" s="234">
        <v>1325</v>
      </c>
      <c r="Y6" s="234">
        <v>1327</v>
      </c>
      <c r="Z6" s="234">
        <v>1334</v>
      </c>
      <c r="AA6" s="234">
        <v>1337</v>
      </c>
      <c r="AB6" s="234">
        <v>1344</v>
      </c>
      <c r="AC6" s="234">
        <v>1350</v>
      </c>
      <c r="AD6" s="234">
        <v>1355</v>
      </c>
      <c r="AE6" s="234">
        <v>1361</v>
      </c>
      <c r="AF6" s="234">
        <v>1379</v>
      </c>
      <c r="AG6" s="234">
        <v>1387</v>
      </c>
      <c r="AH6" s="234">
        <v>1399</v>
      </c>
      <c r="AI6" s="234">
        <v>1402</v>
      </c>
    </row>
    <row r="7" spans="1:35" x14ac:dyDescent="0.25">
      <c r="A7" s="233" t="s">
        <v>1939</v>
      </c>
      <c r="B7" s="234">
        <v>7763</v>
      </c>
      <c r="C7" s="234">
        <v>7815</v>
      </c>
      <c r="D7" s="234">
        <v>7881</v>
      </c>
      <c r="E7" s="234">
        <v>7949</v>
      </c>
      <c r="F7" s="234">
        <v>8014</v>
      </c>
      <c r="G7" s="234">
        <v>8083</v>
      </c>
      <c r="H7" s="234">
        <v>8150</v>
      </c>
      <c r="I7" s="234">
        <v>8219</v>
      </c>
      <c r="J7" s="234">
        <v>8287</v>
      </c>
      <c r="K7" s="234">
        <v>8360</v>
      </c>
      <c r="L7" s="234">
        <v>8431</v>
      </c>
      <c r="M7" s="234">
        <v>8493</v>
      </c>
      <c r="N7" s="234">
        <v>8553</v>
      </c>
      <c r="O7" s="234">
        <v>8601</v>
      </c>
      <c r="P7" s="234">
        <v>8635</v>
      </c>
      <c r="Q7" s="234">
        <v>8652</v>
      </c>
      <c r="R7" s="234">
        <v>8662</v>
      </c>
      <c r="S7" s="234">
        <v>8678</v>
      </c>
      <c r="T7" s="234">
        <v>8711</v>
      </c>
      <c r="U7" s="234">
        <v>8756</v>
      </c>
      <c r="V7" s="234">
        <v>8799</v>
      </c>
      <c r="W7" s="234">
        <v>8829</v>
      </c>
      <c r="X7" s="234">
        <v>8846</v>
      </c>
      <c r="Y7" s="234">
        <v>8858</v>
      </c>
      <c r="Z7" s="234">
        <v>8867</v>
      </c>
      <c r="AA7" s="234">
        <v>8870</v>
      </c>
      <c r="AB7" s="234">
        <v>8874</v>
      </c>
      <c r="AC7" s="234">
        <v>8888</v>
      </c>
      <c r="AD7" s="234">
        <v>8892</v>
      </c>
      <c r="AE7" s="234">
        <v>8891</v>
      </c>
      <c r="AF7" s="234">
        <v>9272</v>
      </c>
      <c r="AG7" s="234">
        <v>9269</v>
      </c>
      <c r="AH7" s="234">
        <v>9261</v>
      </c>
      <c r="AI7" s="234">
        <v>9291</v>
      </c>
    </row>
    <row r="8" spans="1:35" x14ac:dyDescent="0.25">
      <c r="A8" s="233" t="s">
        <v>1925</v>
      </c>
      <c r="B8" s="234">
        <v>18021</v>
      </c>
      <c r="C8" s="234">
        <v>18123</v>
      </c>
      <c r="D8" s="234">
        <v>18247</v>
      </c>
      <c r="E8" s="234">
        <v>18375</v>
      </c>
      <c r="F8" s="234">
        <v>18459</v>
      </c>
      <c r="G8" s="234">
        <v>18524</v>
      </c>
      <c r="H8" s="234">
        <v>18588</v>
      </c>
      <c r="I8" s="234">
        <v>18657</v>
      </c>
      <c r="J8" s="234">
        <v>18756</v>
      </c>
      <c r="K8" s="234">
        <v>18883</v>
      </c>
      <c r="L8" s="234">
        <v>19002</v>
      </c>
      <c r="M8" s="234">
        <v>19083</v>
      </c>
      <c r="N8" s="234">
        <v>19138</v>
      </c>
      <c r="O8" s="234">
        <v>19176</v>
      </c>
      <c r="P8" s="234">
        <v>19172</v>
      </c>
      <c r="Q8" s="234">
        <v>19133</v>
      </c>
      <c r="R8" s="234">
        <v>19105</v>
      </c>
      <c r="S8" s="234">
        <v>19132</v>
      </c>
      <c r="T8" s="234">
        <v>19212</v>
      </c>
      <c r="U8" s="234">
        <v>19307</v>
      </c>
      <c r="V8" s="234">
        <v>19400</v>
      </c>
      <c r="W8" s="234">
        <v>19500</v>
      </c>
      <c r="X8" s="234">
        <v>19574</v>
      </c>
      <c r="Y8" s="234">
        <v>19626</v>
      </c>
      <c r="Z8" s="234">
        <v>19653</v>
      </c>
      <c r="AA8" s="234">
        <v>19657</v>
      </c>
      <c r="AB8" s="234">
        <v>19636</v>
      </c>
      <c r="AC8" s="234">
        <v>19594</v>
      </c>
      <c r="AD8" s="234">
        <v>19544</v>
      </c>
      <c r="AE8" s="234">
        <v>19463</v>
      </c>
      <c r="AF8" s="234">
        <v>20105</v>
      </c>
      <c r="AG8" s="234">
        <v>19855</v>
      </c>
      <c r="AH8" s="234">
        <v>19673</v>
      </c>
      <c r="AI8" s="234">
        <v>19571</v>
      </c>
    </row>
    <row r="9" spans="1:35" x14ac:dyDescent="0.25">
      <c r="A9" s="233" t="s">
        <v>1940</v>
      </c>
      <c r="B9" s="234">
        <v>11903</v>
      </c>
      <c r="C9" s="234">
        <v>11982</v>
      </c>
      <c r="D9" s="234">
        <v>12049</v>
      </c>
      <c r="E9" s="234">
        <v>12120</v>
      </c>
      <c r="F9" s="234">
        <v>12166</v>
      </c>
      <c r="G9" s="234">
        <v>12198</v>
      </c>
      <c r="H9" s="234">
        <v>12220</v>
      </c>
      <c r="I9" s="234">
        <v>12228</v>
      </c>
      <c r="J9" s="234">
        <v>12246</v>
      </c>
      <c r="K9" s="234">
        <v>12264</v>
      </c>
      <c r="L9" s="234">
        <v>12284</v>
      </c>
      <c r="M9" s="234">
        <v>12299</v>
      </c>
      <c r="N9" s="234">
        <v>12331</v>
      </c>
      <c r="O9" s="234">
        <v>12375</v>
      </c>
      <c r="P9" s="234">
        <v>12411</v>
      </c>
      <c r="Q9" s="234">
        <v>12450</v>
      </c>
      <c r="R9" s="234">
        <v>12511</v>
      </c>
      <c r="S9" s="234">
        <v>12564</v>
      </c>
      <c r="T9" s="234">
        <v>12612</v>
      </c>
      <c r="U9" s="234">
        <v>12667</v>
      </c>
      <c r="V9" s="234">
        <v>12711</v>
      </c>
      <c r="W9" s="234">
        <v>12747</v>
      </c>
      <c r="X9" s="234">
        <v>12769</v>
      </c>
      <c r="Y9" s="234">
        <v>12780</v>
      </c>
      <c r="Z9" s="234">
        <v>12792</v>
      </c>
      <c r="AA9" s="234">
        <v>12790</v>
      </c>
      <c r="AB9" s="234">
        <v>12788</v>
      </c>
      <c r="AC9" s="234">
        <v>12795</v>
      </c>
      <c r="AD9" s="234">
        <v>12809</v>
      </c>
      <c r="AE9" s="234">
        <v>12799</v>
      </c>
      <c r="AF9" s="234">
        <v>12995</v>
      </c>
      <c r="AG9" s="234">
        <v>13014</v>
      </c>
      <c r="AH9" s="234">
        <v>12972</v>
      </c>
      <c r="AI9" s="234">
        <v>12962</v>
      </c>
    </row>
    <row r="10" spans="1:35" x14ac:dyDescent="0.25">
      <c r="A10" s="233" t="s">
        <v>1926</v>
      </c>
      <c r="B10" s="234">
        <v>1006</v>
      </c>
      <c r="C10" s="234">
        <v>1011</v>
      </c>
      <c r="D10" s="234">
        <v>1013</v>
      </c>
      <c r="E10" s="234">
        <v>1015</v>
      </c>
      <c r="F10" s="234">
        <v>1016</v>
      </c>
      <c r="G10" s="234">
        <v>1017</v>
      </c>
      <c r="H10" s="234">
        <v>1021</v>
      </c>
      <c r="I10" s="234">
        <v>1025</v>
      </c>
      <c r="J10" s="234">
        <v>1031</v>
      </c>
      <c r="K10" s="234">
        <v>1040</v>
      </c>
      <c r="L10" s="234">
        <v>1050</v>
      </c>
      <c r="M10" s="234">
        <v>1057</v>
      </c>
      <c r="N10" s="234">
        <v>1066</v>
      </c>
      <c r="O10" s="234">
        <v>1071</v>
      </c>
      <c r="P10" s="234">
        <v>1075</v>
      </c>
      <c r="Q10" s="234">
        <v>1068</v>
      </c>
      <c r="R10" s="234">
        <v>1063</v>
      </c>
      <c r="S10" s="234">
        <v>1057</v>
      </c>
      <c r="T10" s="234">
        <v>1055</v>
      </c>
      <c r="U10" s="234">
        <v>1054</v>
      </c>
      <c r="V10" s="234">
        <v>1054</v>
      </c>
      <c r="W10" s="234">
        <v>1054</v>
      </c>
      <c r="X10" s="234">
        <v>1055</v>
      </c>
      <c r="Y10" s="234">
        <v>1056</v>
      </c>
      <c r="Z10" s="234">
        <v>1057</v>
      </c>
      <c r="AA10" s="234">
        <v>1057</v>
      </c>
      <c r="AB10" s="234">
        <v>1058</v>
      </c>
      <c r="AC10" s="234">
        <v>1057</v>
      </c>
      <c r="AD10" s="234">
        <v>1059</v>
      </c>
      <c r="AE10" s="234">
        <v>1058</v>
      </c>
      <c r="AF10" s="234">
        <v>1096</v>
      </c>
      <c r="AG10" s="234">
        <v>1097</v>
      </c>
      <c r="AH10" s="234">
        <v>1094</v>
      </c>
      <c r="AI10" s="234">
        <v>1096</v>
      </c>
    </row>
    <row r="11" spans="1:35" x14ac:dyDescent="0.25">
      <c r="A11" s="233" t="s">
        <v>1927</v>
      </c>
      <c r="B11" s="234">
        <v>565</v>
      </c>
      <c r="C11" s="234">
        <v>569</v>
      </c>
      <c r="D11" s="234">
        <v>573</v>
      </c>
      <c r="E11" s="234">
        <v>578</v>
      </c>
      <c r="F11" s="234">
        <v>584</v>
      </c>
      <c r="G11" s="234">
        <v>589</v>
      </c>
      <c r="H11" s="234">
        <v>594</v>
      </c>
      <c r="I11" s="234">
        <v>597</v>
      </c>
      <c r="J11" s="234">
        <v>600</v>
      </c>
      <c r="K11" s="234">
        <v>605</v>
      </c>
      <c r="L11" s="234">
        <v>610</v>
      </c>
      <c r="M11" s="234">
        <v>612</v>
      </c>
      <c r="N11" s="234">
        <v>615</v>
      </c>
      <c r="O11" s="234">
        <v>618</v>
      </c>
      <c r="P11" s="234">
        <v>620</v>
      </c>
      <c r="Q11" s="234">
        <v>621</v>
      </c>
      <c r="R11" s="234">
        <v>623</v>
      </c>
      <c r="S11" s="234">
        <v>623</v>
      </c>
      <c r="T11" s="234">
        <v>624</v>
      </c>
      <c r="U11" s="234">
        <v>625</v>
      </c>
      <c r="V11" s="234">
        <v>626</v>
      </c>
      <c r="W11" s="234">
        <v>627</v>
      </c>
      <c r="X11" s="234">
        <v>626</v>
      </c>
      <c r="Y11" s="234">
        <v>627</v>
      </c>
      <c r="Z11" s="234">
        <v>626</v>
      </c>
      <c r="AA11" s="234">
        <v>626</v>
      </c>
      <c r="AB11" s="234">
        <v>624</v>
      </c>
      <c r="AC11" s="234">
        <v>625</v>
      </c>
      <c r="AD11" s="234">
        <v>625</v>
      </c>
      <c r="AE11" s="234">
        <v>624</v>
      </c>
      <c r="AF11" s="234">
        <v>643</v>
      </c>
      <c r="AG11" s="234">
        <v>647</v>
      </c>
      <c r="AH11" s="234">
        <v>647</v>
      </c>
      <c r="AI11" s="234">
        <v>647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233E9-57AC-4E90-90A7-52E1854186BE}">
  <dimension ref="A1:AM34"/>
  <sheetViews>
    <sheetView workbookViewId="0">
      <selection activeCell="A4" sqref="A4:XFD4"/>
    </sheetView>
    <sheetView workbookViewId="1"/>
  </sheetViews>
  <sheetFormatPr defaultRowHeight="15" x14ac:dyDescent="0.25"/>
  <cols>
    <col min="2" max="2" width="9.28515625" bestFit="1" customWidth="1"/>
    <col min="3" max="3" width="10.5703125" bestFit="1" customWidth="1"/>
    <col min="4" max="6" width="9.28515625" bestFit="1" customWidth="1"/>
  </cols>
  <sheetData>
    <row r="1" spans="1:39" x14ac:dyDescent="0.25">
      <c r="A1" s="121" t="s">
        <v>1941</v>
      </c>
    </row>
    <row r="2" spans="1:39" x14ac:dyDescent="0.25">
      <c r="A2" s="114" t="s">
        <v>1786</v>
      </c>
      <c r="B2" s="114" t="s">
        <v>1821</v>
      </c>
      <c r="C2" s="114" t="s">
        <v>1822</v>
      </c>
      <c r="D2" s="114" t="s">
        <v>1823</v>
      </c>
      <c r="E2" s="114" t="s">
        <v>1824</v>
      </c>
      <c r="F2" s="114" t="s">
        <v>1825</v>
      </c>
      <c r="G2" s="114" t="s">
        <v>1826</v>
      </c>
      <c r="H2" s="114" t="s">
        <v>1827</v>
      </c>
      <c r="I2" s="114" t="s">
        <v>1828</v>
      </c>
      <c r="J2" s="114" t="s">
        <v>1829</v>
      </c>
      <c r="K2" s="114" t="s">
        <v>1830</v>
      </c>
      <c r="L2" s="114" t="s">
        <v>1831</v>
      </c>
      <c r="M2" s="114" t="s">
        <v>1832</v>
      </c>
      <c r="N2" s="114" t="s">
        <v>1833</v>
      </c>
      <c r="O2" s="114" t="s">
        <v>1834</v>
      </c>
      <c r="P2" s="114" t="s">
        <v>1835</v>
      </c>
      <c r="Q2" s="114" t="s">
        <v>1836</v>
      </c>
      <c r="R2" s="114" t="s">
        <v>1837</v>
      </c>
      <c r="S2" s="114" t="s">
        <v>1838</v>
      </c>
      <c r="T2" s="114" t="s">
        <v>1839</v>
      </c>
      <c r="U2" s="114" t="s">
        <v>1840</v>
      </c>
      <c r="V2" s="114" t="s">
        <v>1841</v>
      </c>
      <c r="W2" s="114" t="s">
        <v>1842</v>
      </c>
      <c r="X2" s="114" t="s">
        <v>1843</v>
      </c>
      <c r="Y2" s="114" t="s">
        <v>1844</v>
      </c>
      <c r="Z2" s="114" t="s">
        <v>1845</v>
      </c>
      <c r="AA2" s="114" t="s">
        <v>1846</v>
      </c>
      <c r="AB2" s="114" t="s">
        <v>1847</v>
      </c>
      <c r="AC2" s="114" t="s">
        <v>1848</v>
      </c>
      <c r="AD2" s="114" t="s">
        <v>1849</v>
      </c>
      <c r="AE2" s="114" t="s">
        <v>1850</v>
      </c>
      <c r="AF2" s="114" t="s">
        <v>1851</v>
      </c>
      <c r="AG2" s="114" t="s">
        <v>1852</v>
      </c>
      <c r="AH2" s="114" t="s">
        <v>1853</v>
      </c>
      <c r="AI2" s="114" t="s">
        <v>1854</v>
      </c>
      <c r="AJ2" s="116" t="s">
        <v>1954</v>
      </c>
      <c r="AK2" s="116" t="s">
        <v>1955</v>
      </c>
      <c r="AL2" s="116" t="s">
        <v>1956</v>
      </c>
      <c r="AM2" s="110" t="s">
        <v>1957</v>
      </c>
    </row>
    <row r="3" spans="1:39" x14ac:dyDescent="0.25">
      <c r="A3" s="128" t="s">
        <v>1922</v>
      </c>
      <c r="B3" s="108">
        <v>5370</v>
      </c>
      <c r="C3" s="108">
        <v>5477</v>
      </c>
      <c r="D3" s="108">
        <v>6378</v>
      </c>
      <c r="E3" s="108">
        <v>6270</v>
      </c>
      <c r="F3" s="108">
        <v>6241</v>
      </c>
      <c r="G3" s="108">
        <v>6145</v>
      </c>
      <c r="H3" s="108">
        <v>6270</v>
      </c>
      <c r="I3" s="108">
        <v>6140</v>
      </c>
      <c r="J3" s="108">
        <v>5236</v>
      </c>
      <c r="K3" s="108">
        <v>5614</v>
      </c>
      <c r="L3" s="108">
        <v>6108</v>
      </c>
      <c r="M3" s="108">
        <v>5672</v>
      </c>
      <c r="N3" s="108">
        <v>5697</v>
      </c>
      <c r="O3" s="108">
        <v>6458</v>
      </c>
      <c r="P3" s="108">
        <v>6148</v>
      </c>
      <c r="Q3" s="108">
        <v>6178</v>
      </c>
      <c r="R3" s="108">
        <v>5416</v>
      </c>
      <c r="S3" s="108">
        <v>5945</v>
      </c>
      <c r="T3" s="108">
        <v>5908</v>
      </c>
      <c r="U3" s="108">
        <v>6103</v>
      </c>
      <c r="V3" s="108">
        <v>5524</v>
      </c>
      <c r="W3" s="108">
        <v>5605</v>
      </c>
      <c r="X3" s="108">
        <v>5028</v>
      </c>
      <c r="Y3" s="108">
        <v>5930</v>
      </c>
      <c r="Z3" s="108">
        <v>6205</v>
      </c>
      <c r="AA3" s="108">
        <v>5938</v>
      </c>
      <c r="AB3" s="108">
        <v>5364</v>
      </c>
      <c r="AC3" s="108">
        <v>5440</v>
      </c>
      <c r="AD3" s="108">
        <v>5739</v>
      </c>
      <c r="AE3" s="108">
        <v>5937</v>
      </c>
      <c r="AF3" s="108">
        <v>5344</v>
      </c>
      <c r="AG3" s="108">
        <v>5410</v>
      </c>
      <c r="AH3" s="108">
        <v>5627</v>
      </c>
      <c r="AI3" s="108">
        <v>5091</v>
      </c>
      <c r="AJ3">
        <f t="shared" ref="AJ3:AJ11" si="0">MIN(B3:AI3)</f>
        <v>5028</v>
      </c>
      <c r="AK3" s="113">
        <f t="shared" ref="AK3:AK11" si="1">AI3/AJ3-1</f>
        <v>1.2529832935560759E-2</v>
      </c>
      <c r="AL3">
        <f t="shared" ref="AL3:AL11" si="2">MAX(B3:AI3)</f>
        <v>6458</v>
      </c>
      <c r="AM3" s="149">
        <f t="shared" ref="AM3:AM11" si="3">AJ3/AL3-1</f>
        <v>-0.22143078352431089</v>
      </c>
    </row>
    <row r="4" spans="1:39" x14ac:dyDescent="0.25">
      <c r="A4" s="128" t="s">
        <v>1788</v>
      </c>
      <c r="B4" s="108">
        <v>5758</v>
      </c>
      <c r="C4" s="108">
        <v>5826</v>
      </c>
      <c r="D4" s="108">
        <v>6750</v>
      </c>
      <c r="E4" s="108">
        <v>6587</v>
      </c>
      <c r="F4" s="108">
        <v>6515</v>
      </c>
      <c r="G4" s="108">
        <v>6452</v>
      </c>
      <c r="H4" s="108">
        <v>6532</v>
      </c>
      <c r="I4" s="108">
        <v>6493</v>
      </c>
      <c r="J4" s="108">
        <v>5556</v>
      </c>
      <c r="K4" s="108">
        <v>5836</v>
      </c>
      <c r="L4" s="108">
        <v>6361</v>
      </c>
      <c r="M4" s="108">
        <v>5961</v>
      </c>
      <c r="N4" s="108">
        <v>5959</v>
      </c>
      <c r="O4" s="108">
        <v>6732</v>
      </c>
      <c r="P4" s="108">
        <v>6447</v>
      </c>
      <c r="Q4" s="108">
        <v>6415</v>
      </c>
      <c r="R4" s="108">
        <v>5657</v>
      </c>
      <c r="S4" s="108">
        <v>6264</v>
      </c>
      <c r="T4" s="108">
        <v>6182</v>
      </c>
      <c r="U4" s="108">
        <v>6380</v>
      </c>
      <c r="V4" s="108">
        <v>5722</v>
      </c>
      <c r="W4" s="108">
        <v>5861</v>
      </c>
      <c r="X4" s="108">
        <v>5296</v>
      </c>
      <c r="Y4" s="108">
        <v>6168</v>
      </c>
      <c r="Z4" s="108">
        <v>6398</v>
      </c>
      <c r="AA4" s="108">
        <v>6268</v>
      </c>
      <c r="AB4" s="108">
        <v>5711</v>
      </c>
      <c r="AC4" s="108">
        <v>5796</v>
      </c>
      <c r="AD4" s="108">
        <v>6061</v>
      </c>
      <c r="AE4" s="108">
        <v>6245</v>
      </c>
      <c r="AF4" s="108">
        <v>5535</v>
      </c>
      <c r="AG4" s="108">
        <v>5515</v>
      </c>
      <c r="AH4" s="108">
        <v>5708</v>
      </c>
      <c r="AI4" s="108">
        <v>5254</v>
      </c>
      <c r="AJ4">
        <f t="shared" si="0"/>
        <v>5254</v>
      </c>
      <c r="AK4" s="113">
        <f t="shared" si="1"/>
        <v>0</v>
      </c>
      <c r="AL4">
        <f t="shared" si="2"/>
        <v>6750</v>
      </c>
      <c r="AM4" s="149">
        <f t="shared" si="3"/>
        <v>-0.22162962962962962</v>
      </c>
    </row>
    <row r="5" spans="1:39" x14ac:dyDescent="0.25">
      <c r="A5" s="128" t="s">
        <v>1923</v>
      </c>
      <c r="B5" s="108">
        <v>7486</v>
      </c>
      <c r="C5" s="108">
        <v>7664</v>
      </c>
      <c r="D5" s="108">
        <v>8363</v>
      </c>
      <c r="E5" s="108">
        <v>8332</v>
      </c>
      <c r="F5" s="108">
        <v>8210</v>
      </c>
      <c r="G5" s="108">
        <v>8076</v>
      </c>
      <c r="H5" s="108">
        <v>8052</v>
      </c>
      <c r="I5" s="108">
        <v>8324</v>
      </c>
      <c r="J5" s="108">
        <v>7164</v>
      </c>
      <c r="K5" s="108">
        <v>7141</v>
      </c>
      <c r="L5" s="108">
        <v>7947</v>
      </c>
      <c r="M5" s="108">
        <v>7548</v>
      </c>
      <c r="N5" s="108">
        <v>7749</v>
      </c>
      <c r="O5" s="108">
        <v>8250</v>
      </c>
      <c r="P5" s="108">
        <v>8170</v>
      </c>
      <c r="Q5" s="108">
        <v>7843</v>
      </c>
      <c r="R5" s="108">
        <v>7028</v>
      </c>
      <c r="S5" s="108">
        <v>8030</v>
      </c>
      <c r="T5" s="108">
        <v>7780</v>
      </c>
      <c r="U5" s="108">
        <v>8058</v>
      </c>
      <c r="V5" s="108">
        <v>6885</v>
      </c>
      <c r="W5" s="108">
        <v>7454</v>
      </c>
      <c r="X5" s="108">
        <v>7073</v>
      </c>
      <c r="Y5" s="108">
        <v>7742</v>
      </c>
      <c r="Z5" s="108">
        <v>7954</v>
      </c>
      <c r="AA5" s="108">
        <v>8023</v>
      </c>
      <c r="AB5" s="108">
        <v>7268</v>
      </c>
      <c r="AC5" s="108">
        <v>7499</v>
      </c>
      <c r="AD5" s="108">
        <v>7835</v>
      </c>
      <c r="AE5" s="108">
        <v>8097</v>
      </c>
      <c r="AF5" s="108">
        <v>7184</v>
      </c>
      <c r="AG5" s="108">
        <v>6959</v>
      </c>
      <c r="AH5" s="108">
        <v>7238</v>
      </c>
      <c r="AI5" s="108">
        <v>6943</v>
      </c>
      <c r="AJ5">
        <f t="shared" si="0"/>
        <v>6885</v>
      </c>
      <c r="AK5" s="113">
        <f t="shared" si="1"/>
        <v>8.4241103848947674E-3</v>
      </c>
      <c r="AL5">
        <f t="shared" si="2"/>
        <v>8363</v>
      </c>
      <c r="AM5" s="149">
        <f t="shared" si="3"/>
        <v>-0.17673083821595126</v>
      </c>
    </row>
    <row r="6" spans="1:39" x14ac:dyDescent="0.25">
      <c r="A6" s="128" t="s">
        <v>1924</v>
      </c>
      <c r="B6" s="108">
        <v>7108</v>
      </c>
      <c r="C6" s="108">
        <v>7211</v>
      </c>
      <c r="D6" s="108">
        <v>8093</v>
      </c>
      <c r="E6" s="108">
        <v>7937</v>
      </c>
      <c r="F6" s="108">
        <v>7934</v>
      </c>
      <c r="G6" s="108">
        <v>7749</v>
      </c>
      <c r="H6" s="108">
        <v>7800</v>
      </c>
      <c r="I6" s="108">
        <v>7958</v>
      </c>
      <c r="J6" s="108">
        <v>6748</v>
      </c>
      <c r="K6" s="108">
        <v>7060</v>
      </c>
      <c r="L6" s="108">
        <v>7688</v>
      </c>
      <c r="M6" s="108">
        <v>7273</v>
      </c>
      <c r="N6" s="108">
        <v>7285</v>
      </c>
      <c r="O6" s="108">
        <v>8041</v>
      </c>
      <c r="P6" s="108">
        <v>7716</v>
      </c>
      <c r="Q6" s="108">
        <v>7597</v>
      </c>
      <c r="R6" s="108">
        <v>6864</v>
      </c>
      <c r="S6" s="108">
        <v>7671</v>
      </c>
      <c r="T6" s="108">
        <v>7534</v>
      </c>
      <c r="U6" s="108">
        <v>7761</v>
      </c>
      <c r="V6" s="108">
        <v>6831</v>
      </c>
      <c r="W6" s="108">
        <v>7185</v>
      </c>
      <c r="X6" s="108">
        <v>6587</v>
      </c>
      <c r="Y6" s="108">
        <v>7470</v>
      </c>
      <c r="Z6" s="108">
        <v>7795</v>
      </c>
      <c r="AA6" s="108">
        <v>7599</v>
      </c>
      <c r="AB6" s="108">
        <v>6921</v>
      </c>
      <c r="AC6" s="108">
        <v>7100</v>
      </c>
      <c r="AD6" s="108">
        <v>7426</v>
      </c>
      <c r="AE6" s="108">
        <v>7725</v>
      </c>
      <c r="AF6" s="108">
        <v>6906</v>
      </c>
      <c r="AG6" s="108">
        <v>6788</v>
      </c>
      <c r="AH6" s="108">
        <v>7065</v>
      </c>
      <c r="AI6" s="108">
        <v>6523</v>
      </c>
      <c r="AJ6">
        <f t="shared" si="0"/>
        <v>6523</v>
      </c>
      <c r="AK6" s="113">
        <f t="shared" si="1"/>
        <v>0</v>
      </c>
      <c r="AL6">
        <f t="shared" si="2"/>
        <v>8093</v>
      </c>
      <c r="AM6" s="149">
        <f t="shared" si="3"/>
        <v>-0.19399481032991472</v>
      </c>
    </row>
    <row r="7" spans="1:39" x14ac:dyDescent="0.25">
      <c r="A7" s="128" t="s">
        <v>1939</v>
      </c>
      <c r="B7" s="108">
        <v>4686</v>
      </c>
      <c r="C7" s="108">
        <v>4891</v>
      </c>
      <c r="D7" s="108">
        <v>5672</v>
      </c>
      <c r="E7" s="108">
        <v>5606</v>
      </c>
      <c r="F7" s="108">
        <v>5593</v>
      </c>
      <c r="G7" s="108">
        <v>5526</v>
      </c>
      <c r="H7" s="108">
        <v>5684</v>
      </c>
      <c r="I7" s="108">
        <v>5476</v>
      </c>
      <c r="J7" s="108">
        <v>4545</v>
      </c>
      <c r="K7" s="108">
        <v>5061</v>
      </c>
      <c r="L7" s="108">
        <v>5411</v>
      </c>
      <c r="M7" s="108">
        <v>5034</v>
      </c>
      <c r="N7" s="108">
        <v>4975</v>
      </c>
      <c r="O7" s="108">
        <v>5700</v>
      </c>
      <c r="P7" s="108">
        <v>5288</v>
      </c>
      <c r="Q7" s="108">
        <v>5401</v>
      </c>
      <c r="R7" s="108">
        <v>4625</v>
      </c>
      <c r="S7" s="108">
        <v>5154</v>
      </c>
      <c r="T7" s="108">
        <v>5162</v>
      </c>
      <c r="U7" s="108">
        <v>5301</v>
      </c>
      <c r="V7" s="108">
        <v>5018</v>
      </c>
      <c r="W7" s="108">
        <v>4889</v>
      </c>
      <c r="X7" s="108">
        <v>4450</v>
      </c>
      <c r="Y7" s="108">
        <v>5259</v>
      </c>
      <c r="Z7" s="108">
        <v>5630</v>
      </c>
      <c r="AA7" s="108">
        <v>5185</v>
      </c>
      <c r="AB7" s="108">
        <v>4842</v>
      </c>
      <c r="AC7" s="108">
        <v>4777</v>
      </c>
      <c r="AD7" s="108">
        <v>5192</v>
      </c>
      <c r="AE7" s="108">
        <v>5090</v>
      </c>
      <c r="AF7" s="108">
        <v>4615</v>
      </c>
      <c r="AG7" s="108">
        <v>4757</v>
      </c>
      <c r="AH7" s="108">
        <v>5082</v>
      </c>
      <c r="AI7" s="108">
        <v>4409</v>
      </c>
      <c r="AJ7">
        <f t="shared" si="0"/>
        <v>4409</v>
      </c>
      <c r="AK7" s="113">
        <f t="shared" si="1"/>
        <v>0</v>
      </c>
      <c r="AL7">
        <f t="shared" si="2"/>
        <v>5700</v>
      </c>
      <c r="AM7" s="149">
        <f t="shared" si="3"/>
        <v>-0.22649122807017541</v>
      </c>
    </row>
    <row r="8" spans="1:39" x14ac:dyDescent="0.25">
      <c r="A8" s="128" t="s">
        <v>1925</v>
      </c>
      <c r="B8" s="108">
        <v>5538</v>
      </c>
      <c r="C8" s="108">
        <v>5646</v>
      </c>
      <c r="D8" s="108">
        <v>6546</v>
      </c>
      <c r="E8" s="108">
        <v>6517</v>
      </c>
      <c r="F8" s="108">
        <v>6477</v>
      </c>
      <c r="G8" s="108">
        <v>6311</v>
      </c>
      <c r="H8" s="108">
        <v>6492</v>
      </c>
      <c r="I8" s="108">
        <v>6365</v>
      </c>
      <c r="J8" s="108">
        <v>5334</v>
      </c>
      <c r="K8" s="108">
        <v>5808</v>
      </c>
      <c r="L8" s="108">
        <v>6292</v>
      </c>
      <c r="M8" s="108">
        <v>5767</v>
      </c>
      <c r="N8" s="108">
        <v>5792</v>
      </c>
      <c r="O8" s="108">
        <v>6551</v>
      </c>
      <c r="P8" s="108">
        <v>6222</v>
      </c>
      <c r="Q8" s="108">
        <v>6222</v>
      </c>
      <c r="R8" s="108">
        <v>5463</v>
      </c>
      <c r="S8" s="108">
        <v>6063</v>
      </c>
      <c r="T8" s="108">
        <v>6020</v>
      </c>
      <c r="U8" s="108">
        <v>6216</v>
      </c>
      <c r="V8" s="108">
        <v>5719</v>
      </c>
      <c r="W8" s="108">
        <v>5743</v>
      </c>
      <c r="X8" s="108">
        <v>5158</v>
      </c>
      <c r="Y8" s="108">
        <v>6081</v>
      </c>
      <c r="Z8" s="108">
        <v>6379</v>
      </c>
      <c r="AA8" s="108">
        <v>6060</v>
      </c>
      <c r="AB8" s="108">
        <v>5540</v>
      </c>
      <c r="AC8" s="108">
        <v>5605</v>
      </c>
      <c r="AD8" s="108">
        <v>6038</v>
      </c>
      <c r="AE8" s="108">
        <v>6125</v>
      </c>
      <c r="AF8" s="108">
        <v>5476</v>
      </c>
      <c r="AG8" s="108">
        <v>5517</v>
      </c>
      <c r="AH8" s="108">
        <v>5849</v>
      </c>
      <c r="AI8" s="108">
        <v>5217</v>
      </c>
      <c r="AJ8">
        <f t="shared" si="0"/>
        <v>5158</v>
      </c>
      <c r="AK8" s="113">
        <f t="shared" si="1"/>
        <v>1.1438542070570046E-2</v>
      </c>
      <c r="AL8">
        <f t="shared" si="2"/>
        <v>6551</v>
      </c>
      <c r="AM8" s="149">
        <f t="shared" si="3"/>
        <v>-0.21263929171118912</v>
      </c>
    </row>
    <row r="9" spans="1:39" x14ac:dyDescent="0.25">
      <c r="A9" s="128" t="s">
        <v>1940</v>
      </c>
      <c r="B9" s="108">
        <v>5151</v>
      </c>
      <c r="C9" s="108">
        <v>5392</v>
      </c>
      <c r="D9" s="108">
        <v>6124</v>
      </c>
      <c r="E9" s="108">
        <v>6115</v>
      </c>
      <c r="F9" s="108">
        <v>6165</v>
      </c>
      <c r="G9" s="108">
        <v>6094</v>
      </c>
      <c r="H9" s="108">
        <v>6263</v>
      </c>
      <c r="I9" s="108">
        <v>6032</v>
      </c>
      <c r="J9" s="108">
        <v>4930</v>
      </c>
      <c r="K9" s="108">
        <v>5577</v>
      </c>
      <c r="L9" s="108">
        <v>5909</v>
      </c>
      <c r="M9" s="108">
        <v>5508</v>
      </c>
      <c r="N9" s="108">
        <v>5531</v>
      </c>
      <c r="O9" s="108">
        <v>6150</v>
      </c>
      <c r="P9" s="108">
        <v>5759</v>
      </c>
      <c r="Q9" s="108">
        <v>5873</v>
      </c>
      <c r="R9" s="108">
        <v>5190</v>
      </c>
      <c r="S9" s="108">
        <v>5661</v>
      </c>
      <c r="T9" s="108">
        <v>5800</v>
      </c>
      <c r="U9" s="108">
        <v>5864</v>
      </c>
      <c r="V9" s="108">
        <v>5625</v>
      </c>
      <c r="W9" s="108">
        <v>5458</v>
      </c>
      <c r="X9" s="108">
        <v>5011</v>
      </c>
      <c r="Y9" s="108">
        <v>5832</v>
      </c>
      <c r="Z9" s="108">
        <v>6290</v>
      </c>
      <c r="AA9" s="108">
        <v>5705</v>
      </c>
      <c r="AB9" s="108">
        <v>5375</v>
      </c>
      <c r="AC9" s="108">
        <v>5253</v>
      </c>
      <c r="AD9" s="108">
        <v>5760</v>
      </c>
      <c r="AE9" s="108">
        <v>5590</v>
      </c>
      <c r="AF9" s="108">
        <v>5186</v>
      </c>
      <c r="AG9" s="108">
        <v>5231</v>
      </c>
      <c r="AH9" s="108">
        <v>5707</v>
      </c>
      <c r="AI9" s="108">
        <v>4937</v>
      </c>
      <c r="AJ9">
        <f t="shared" si="0"/>
        <v>4930</v>
      </c>
      <c r="AK9" s="113">
        <f t="shared" si="1"/>
        <v>1.4198782961460932E-3</v>
      </c>
      <c r="AL9">
        <f t="shared" si="2"/>
        <v>6290</v>
      </c>
      <c r="AM9" s="149">
        <f t="shared" si="3"/>
        <v>-0.21621621621621623</v>
      </c>
    </row>
    <row r="10" spans="1:39" x14ac:dyDescent="0.25">
      <c r="A10" s="128" t="s">
        <v>1926</v>
      </c>
      <c r="B10" s="108">
        <v>5382</v>
      </c>
      <c r="C10" s="108">
        <v>5475</v>
      </c>
      <c r="D10" s="108">
        <v>6326</v>
      </c>
      <c r="E10" s="108">
        <v>6195</v>
      </c>
      <c r="F10" s="108">
        <v>6143</v>
      </c>
      <c r="G10" s="108">
        <v>6003</v>
      </c>
      <c r="H10" s="108">
        <v>6186</v>
      </c>
      <c r="I10" s="108">
        <v>6082</v>
      </c>
      <c r="J10" s="108">
        <v>5237</v>
      </c>
      <c r="K10" s="108">
        <v>5466</v>
      </c>
      <c r="L10" s="108">
        <v>6003</v>
      </c>
      <c r="M10" s="108">
        <v>5570</v>
      </c>
      <c r="N10" s="108">
        <v>5603</v>
      </c>
      <c r="O10" s="108">
        <v>6347</v>
      </c>
      <c r="P10" s="108">
        <v>6113</v>
      </c>
      <c r="Q10" s="108">
        <v>6092</v>
      </c>
      <c r="R10" s="108">
        <v>5320</v>
      </c>
      <c r="S10" s="108">
        <v>5869</v>
      </c>
      <c r="T10" s="108">
        <v>5735</v>
      </c>
      <c r="U10" s="108">
        <v>5961</v>
      </c>
      <c r="V10" s="108">
        <v>5434</v>
      </c>
      <c r="W10" s="108">
        <v>5479</v>
      </c>
      <c r="X10" s="108">
        <v>5005</v>
      </c>
      <c r="Y10" s="108">
        <v>5827</v>
      </c>
      <c r="Z10" s="108">
        <v>6021</v>
      </c>
      <c r="AA10" s="108">
        <v>5880</v>
      </c>
      <c r="AB10" s="108">
        <v>5354</v>
      </c>
      <c r="AC10" s="108">
        <v>5428</v>
      </c>
      <c r="AD10" s="108">
        <v>5639</v>
      </c>
      <c r="AE10" s="108">
        <v>5841</v>
      </c>
      <c r="AF10" s="108">
        <v>5184</v>
      </c>
      <c r="AG10" s="108">
        <v>5220</v>
      </c>
      <c r="AH10" s="108">
        <v>5413</v>
      </c>
      <c r="AI10" s="108">
        <v>5019</v>
      </c>
      <c r="AJ10">
        <f t="shared" si="0"/>
        <v>5005</v>
      </c>
      <c r="AK10" s="113">
        <f t="shared" si="1"/>
        <v>2.7972027972027469E-3</v>
      </c>
      <c r="AL10">
        <f t="shared" si="2"/>
        <v>6347</v>
      </c>
      <c r="AM10" s="149">
        <f t="shared" si="3"/>
        <v>-0.21143847487001732</v>
      </c>
    </row>
    <row r="11" spans="1:39" x14ac:dyDescent="0.25">
      <c r="A11" s="128" t="s">
        <v>1927</v>
      </c>
      <c r="B11" s="108">
        <v>7660</v>
      </c>
      <c r="C11" s="108">
        <v>7856</v>
      </c>
      <c r="D11" s="108">
        <v>8802</v>
      </c>
      <c r="E11" s="108">
        <v>8704</v>
      </c>
      <c r="F11" s="108">
        <v>8689</v>
      </c>
      <c r="G11" s="108">
        <v>8340</v>
      </c>
      <c r="H11" s="108">
        <v>8410</v>
      </c>
      <c r="I11" s="108">
        <v>8692</v>
      </c>
      <c r="J11" s="108">
        <v>7281</v>
      </c>
      <c r="K11" s="108">
        <v>7698</v>
      </c>
      <c r="L11" s="108">
        <v>8400</v>
      </c>
      <c r="M11" s="108">
        <v>7783</v>
      </c>
      <c r="N11" s="108">
        <v>7867</v>
      </c>
      <c r="O11" s="108">
        <v>8631</v>
      </c>
      <c r="P11" s="108">
        <v>8441</v>
      </c>
      <c r="Q11" s="108">
        <v>8079</v>
      </c>
      <c r="R11" s="108">
        <v>7355</v>
      </c>
      <c r="S11" s="108">
        <v>8295</v>
      </c>
      <c r="T11" s="108">
        <v>8036</v>
      </c>
      <c r="U11" s="108">
        <v>8284</v>
      </c>
      <c r="V11" s="108">
        <v>7463</v>
      </c>
      <c r="W11" s="108">
        <v>7656</v>
      </c>
      <c r="X11" s="108">
        <v>7064</v>
      </c>
      <c r="Y11" s="108">
        <v>8030</v>
      </c>
      <c r="Z11" s="108">
        <v>8403</v>
      </c>
      <c r="AA11" s="108">
        <v>8190</v>
      </c>
      <c r="AB11" s="108">
        <v>7520</v>
      </c>
      <c r="AC11" s="108">
        <v>7724</v>
      </c>
      <c r="AD11" s="108">
        <v>8104</v>
      </c>
      <c r="AE11" s="108">
        <v>8471</v>
      </c>
      <c r="AF11" s="108">
        <v>7481</v>
      </c>
      <c r="AG11" s="108">
        <v>7426</v>
      </c>
      <c r="AH11" s="108">
        <v>7715</v>
      </c>
      <c r="AI11" s="108">
        <v>7118</v>
      </c>
      <c r="AJ11">
        <f t="shared" si="0"/>
        <v>7064</v>
      </c>
      <c r="AK11" s="113">
        <f t="shared" si="1"/>
        <v>7.6443941109853863E-3</v>
      </c>
      <c r="AL11">
        <f t="shared" si="2"/>
        <v>8802</v>
      </c>
      <c r="AM11" s="149">
        <f t="shared" si="3"/>
        <v>-0.19745512383549191</v>
      </c>
    </row>
    <row r="12" spans="1:39" x14ac:dyDescent="0.25">
      <c r="A12" t="s">
        <v>1944</v>
      </c>
    </row>
    <row r="13" spans="1:39" x14ac:dyDescent="0.25">
      <c r="A13" t="s">
        <v>1942</v>
      </c>
    </row>
    <row r="14" spans="1:39" x14ac:dyDescent="0.25">
      <c r="A14" t="s">
        <v>1943</v>
      </c>
    </row>
    <row r="16" spans="1:39" x14ac:dyDescent="0.25">
      <c r="A16" s="120" t="s">
        <v>1962</v>
      </c>
    </row>
    <row r="17" spans="1:6" x14ac:dyDescent="0.25">
      <c r="A17" s="120" t="s">
        <v>1948</v>
      </c>
    </row>
    <row r="18" spans="1:6" x14ac:dyDescent="0.25">
      <c r="A18" s="120" t="s">
        <v>1949</v>
      </c>
    </row>
    <row r="19" spans="1:6" x14ac:dyDescent="0.25">
      <c r="A19" s="120" t="s">
        <v>2009</v>
      </c>
    </row>
    <row r="20" spans="1:6" x14ac:dyDescent="0.25">
      <c r="A20" s="120" t="s">
        <v>1951</v>
      </c>
    </row>
    <row r="21" spans="1:6" x14ac:dyDescent="0.25">
      <c r="A21" s="120" t="s">
        <v>1952</v>
      </c>
    </row>
    <row r="22" spans="1:6" x14ac:dyDescent="0.25">
      <c r="B22" t="s">
        <v>2170</v>
      </c>
    </row>
    <row r="23" spans="1:6" x14ac:dyDescent="0.25">
      <c r="B23" s="116" t="s">
        <v>2013</v>
      </c>
      <c r="C23" s="116" t="s">
        <v>1983</v>
      </c>
      <c r="D23" s="116" t="s">
        <v>2023</v>
      </c>
      <c r="E23" s="116" t="s">
        <v>1986</v>
      </c>
      <c r="F23" s="116" t="s">
        <v>2047</v>
      </c>
    </row>
    <row r="24" spans="1:6" x14ac:dyDescent="0.25">
      <c r="A24" s="128" t="s">
        <v>1922</v>
      </c>
      <c r="B24" s="100">
        <f>INDEX(LINEST(B3:AI3,B$34:AI$34,TRUE,TRUE),1,1)</f>
        <v>-15.769900687547747</v>
      </c>
      <c r="C24" s="152">
        <f>INDEX(LINEST(B3:AI3,B$34:AI$34,TRUE,TRUE),1,2)</f>
        <v>6068.7967914438505</v>
      </c>
      <c r="D24" s="37">
        <f>INDEX(LINEST(B3:AI3,B$34:AI$34,TRUE,TRUE),3,1)</f>
        <v>0.16017552650605779</v>
      </c>
      <c r="E24" s="37">
        <f>INDEX(LINEST(B3:AI3,B$34:AI$34,TRUE,TRUE),4,1)</f>
        <v>6.1032001447512245</v>
      </c>
      <c r="F24" s="100">
        <f>_xlfn.F.DIST.RT(E24,1,32)</f>
        <v>1.9009131192511797E-2</v>
      </c>
    </row>
    <row r="25" spans="1:6" x14ac:dyDescent="0.25">
      <c r="A25" s="128" t="s">
        <v>1788</v>
      </c>
      <c r="B25" s="100">
        <f t="shared" ref="B25:B32" si="4">INDEX(LINEST(B4:AI4,B$34:AI$34,TRUE,TRUE),1,1)</f>
        <v>-19.592818945760122</v>
      </c>
      <c r="C25" s="152">
        <f t="shared" ref="C25:C32" si="5">INDEX(LINEST(B4:AI4,B$34:AI$34,TRUE,TRUE),1,2)</f>
        <v>6407.6096256684486</v>
      </c>
      <c r="D25" s="37">
        <f t="shared" ref="D25:D31" si="6">INDEX(LINEST(B4:AI4,B$34:AI$34,TRUE,TRUE),3,1)</f>
        <v>0.22384549916773713</v>
      </c>
      <c r="E25" s="37">
        <f t="shared" ref="E25:E32" si="7">INDEX(LINEST(B4:AI4,B$34:AI$34,TRUE,TRUE),4,1)</f>
        <v>9.2289047679124625</v>
      </c>
      <c r="F25" s="100">
        <f t="shared" ref="F25:F32" si="8">_xlfn.F.DIST.RT(E25,1,32)</f>
        <v>4.7143246166423498E-3</v>
      </c>
    </row>
    <row r="26" spans="1:6" x14ac:dyDescent="0.25">
      <c r="A26" s="128" t="s">
        <v>1923</v>
      </c>
      <c r="B26" s="100">
        <f t="shared" si="4"/>
        <v>-20.768678380443088</v>
      </c>
      <c r="C26" s="152">
        <f t="shared" si="5"/>
        <v>8050.7754010695189</v>
      </c>
      <c r="D26" s="37">
        <f t="shared" si="6"/>
        <v>0.20125566822642629</v>
      </c>
      <c r="E26" s="37">
        <f t="shared" si="7"/>
        <v>8.0628821101559804</v>
      </c>
      <c r="F26" s="100">
        <f t="shared" si="8"/>
        <v>7.7883996227579126E-3</v>
      </c>
    </row>
    <row r="27" spans="1:6" x14ac:dyDescent="0.25">
      <c r="A27" s="128" t="s">
        <v>1924</v>
      </c>
      <c r="B27" s="100">
        <f t="shared" si="4"/>
        <v>-19.860198624904505</v>
      </c>
      <c r="C27" s="152">
        <f t="shared" si="5"/>
        <v>7728.4064171122991</v>
      </c>
      <c r="D27" s="37">
        <f t="shared" si="6"/>
        <v>0.19485646483978131</v>
      </c>
      <c r="E27" s="37">
        <f t="shared" si="7"/>
        <v>7.7444661759995297</v>
      </c>
      <c r="F27" s="100">
        <f t="shared" si="8"/>
        <v>8.9641379693976061E-3</v>
      </c>
    </row>
    <row r="28" spans="1:6" x14ac:dyDescent="0.25">
      <c r="A28" s="128" t="s">
        <v>1939</v>
      </c>
      <c r="B28" s="100">
        <f t="shared" si="4"/>
        <v>-15.663559969442318</v>
      </c>
      <c r="C28" s="152">
        <f t="shared" si="5"/>
        <v>5391.3475935828874</v>
      </c>
      <c r="D28" s="37">
        <f t="shared" si="6"/>
        <v>0.17165411707288275</v>
      </c>
      <c r="E28" s="37">
        <f t="shared" si="7"/>
        <v>6.6312054656708526</v>
      </c>
      <c r="F28" s="100">
        <f t="shared" si="8"/>
        <v>1.4847751177713116E-2</v>
      </c>
    </row>
    <row r="29" spans="1:6" x14ac:dyDescent="0.25">
      <c r="A29" s="128" t="s">
        <v>1925</v>
      </c>
      <c r="B29" s="100">
        <f t="shared" si="4"/>
        <v>-16.266615737203967</v>
      </c>
      <c r="C29" s="152">
        <f t="shared" si="5"/>
        <v>6230.2245989304811</v>
      </c>
      <c r="D29" s="37">
        <f t="shared" si="6"/>
        <v>0.15905937580963875</v>
      </c>
      <c r="E29" s="37">
        <f t="shared" si="7"/>
        <v>6.0526271171747483</v>
      </c>
      <c r="F29" s="100">
        <f t="shared" si="8"/>
        <v>1.9469854940170676E-2</v>
      </c>
    </row>
    <row r="30" spans="1:6" x14ac:dyDescent="0.25">
      <c r="A30" s="128" t="s">
        <v>1940</v>
      </c>
      <c r="B30" s="100">
        <f t="shared" si="4"/>
        <v>-13.778456837280366</v>
      </c>
      <c r="C30" s="152">
        <f t="shared" si="5"/>
        <v>5889.5935828877</v>
      </c>
      <c r="D30" s="37">
        <f t="shared" si="6"/>
        <v>0.1242498875683101</v>
      </c>
      <c r="E30" s="37">
        <f t="shared" si="7"/>
        <v>4.5401037873073156</v>
      </c>
      <c r="F30" s="100">
        <f t="shared" si="8"/>
        <v>4.0891504709868645E-2</v>
      </c>
    </row>
    <row r="31" spans="1:6" x14ac:dyDescent="0.25">
      <c r="A31" s="128" t="s">
        <v>1926</v>
      </c>
      <c r="B31" s="100">
        <f t="shared" si="4"/>
        <v>-17.87318563789152</v>
      </c>
      <c r="C31" s="152">
        <f t="shared" si="5"/>
        <v>6014.3101604278081</v>
      </c>
      <c r="D31" s="37">
        <f t="shared" si="6"/>
        <v>0.21575065245748679</v>
      </c>
      <c r="E31" s="37">
        <f t="shared" si="7"/>
        <v>8.8033492157483995</v>
      </c>
      <c r="F31" s="100">
        <f t="shared" si="8"/>
        <v>5.6495702195614467E-3</v>
      </c>
    </row>
    <row r="32" spans="1:6" x14ac:dyDescent="0.25">
      <c r="A32" s="128" t="s">
        <v>1927</v>
      </c>
      <c r="B32" s="100">
        <f t="shared" si="4"/>
        <v>-21.310007639419403</v>
      </c>
      <c r="C32" s="152">
        <f t="shared" si="5"/>
        <v>8363.1604278074865</v>
      </c>
      <c r="D32" s="37" t="s">
        <v>2176</v>
      </c>
      <c r="E32" s="37">
        <f t="shared" si="7"/>
        <v>7.2944386028533472</v>
      </c>
      <c r="F32" s="100">
        <f t="shared" si="8"/>
        <v>1.0964864388337601E-2</v>
      </c>
    </row>
    <row r="34" spans="1:35" x14ac:dyDescent="0.25">
      <c r="A34" s="229" t="s">
        <v>2171</v>
      </c>
      <c r="B34">
        <v>1</v>
      </c>
      <c r="C34">
        <f>B34+1</f>
        <v>2</v>
      </c>
      <c r="D34">
        <f t="shared" ref="D34:AI34" si="9">C34+1</f>
        <v>3</v>
      </c>
      <c r="E34">
        <f t="shared" si="9"/>
        <v>4</v>
      </c>
      <c r="F34">
        <f t="shared" si="9"/>
        <v>5</v>
      </c>
      <c r="G34">
        <f t="shared" si="9"/>
        <v>6</v>
      </c>
      <c r="H34">
        <f t="shared" si="9"/>
        <v>7</v>
      </c>
      <c r="I34">
        <f t="shared" si="9"/>
        <v>8</v>
      </c>
      <c r="J34">
        <f t="shared" si="9"/>
        <v>9</v>
      </c>
      <c r="K34">
        <f t="shared" si="9"/>
        <v>10</v>
      </c>
      <c r="L34">
        <f t="shared" si="9"/>
        <v>11</v>
      </c>
      <c r="M34">
        <f t="shared" si="9"/>
        <v>12</v>
      </c>
      <c r="N34">
        <f t="shared" si="9"/>
        <v>13</v>
      </c>
      <c r="O34">
        <f t="shared" si="9"/>
        <v>14</v>
      </c>
      <c r="P34">
        <f t="shared" si="9"/>
        <v>15</v>
      </c>
      <c r="Q34">
        <f t="shared" si="9"/>
        <v>16</v>
      </c>
      <c r="R34">
        <f t="shared" si="9"/>
        <v>17</v>
      </c>
      <c r="S34">
        <f t="shared" si="9"/>
        <v>18</v>
      </c>
      <c r="T34">
        <f t="shared" si="9"/>
        <v>19</v>
      </c>
      <c r="U34">
        <f t="shared" si="9"/>
        <v>20</v>
      </c>
      <c r="V34">
        <f t="shared" si="9"/>
        <v>21</v>
      </c>
      <c r="W34">
        <f t="shared" si="9"/>
        <v>22</v>
      </c>
      <c r="X34">
        <f t="shared" si="9"/>
        <v>23</v>
      </c>
      <c r="Y34">
        <f t="shared" si="9"/>
        <v>24</v>
      </c>
      <c r="Z34">
        <f t="shared" si="9"/>
        <v>25</v>
      </c>
      <c r="AA34">
        <f t="shared" si="9"/>
        <v>26</v>
      </c>
      <c r="AB34">
        <f t="shared" si="9"/>
        <v>27</v>
      </c>
      <c r="AC34">
        <f t="shared" si="9"/>
        <v>28</v>
      </c>
      <c r="AD34">
        <f t="shared" si="9"/>
        <v>29</v>
      </c>
      <c r="AE34">
        <f t="shared" si="9"/>
        <v>30</v>
      </c>
      <c r="AF34">
        <f t="shared" si="9"/>
        <v>31</v>
      </c>
      <c r="AG34">
        <f t="shared" si="9"/>
        <v>32</v>
      </c>
      <c r="AH34">
        <f t="shared" si="9"/>
        <v>33</v>
      </c>
      <c r="AI34">
        <f t="shared" si="9"/>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B9CA1-9AB3-41BC-A9F3-EE407282C3AD}">
  <dimension ref="A1:AG121"/>
  <sheetViews>
    <sheetView topLeftCell="A48" workbookViewId="0">
      <selection activeCell="L77" sqref="L77"/>
    </sheetView>
    <sheetView workbookViewId="1"/>
  </sheetViews>
  <sheetFormatPr defaultRowHeight="15" x14ac:dyDescent="0.25"/>
  <cols>
    <col min="5" max="5" width="14.42578125" customWidth="1"/>
    <col min="6" max="6" width="16.42578125" customWidth="1"/>
    <col min="7" max="8" width="14.28515625" customWidth="1"/>
    <col min="9" max="9" width="12.42578125" customWidth="1"/>
    <col min="10" max="10" width="13.5703125" customWidth="1"/>
    <col min="11" max="11" width="11" customWidth="1"/>
    <col min="12" max="12" width="10.5703125" customWidth="1"/>
    <col min="13" max="13" width="13.7109375" customWidth="1"/>
    <col min="16" max="16" width="12" bestFit="1" customWidth="1"/>
    <col min="17" max="17" width="12.140625" customWidth="1"/>
    <col min="20" max="20" width="12" bestFit="1" customWidth="1"/>
    <col min="25" max="25" width="19.5703125" customWidth="1"/>
    <col min="26" max="26" width="12" bestFit="1" customWidth="1"/>
    <col min="27" max="27" width="11.7109375" customWidth="1"/>
    <col min="28" max="28" width="12" customWidth="1"/>
    <col min="29" max="29" width="11" customWidth="1"/>
    <col min="30" max="30" width="12" bestFit="1" customWidth="1"/>
  </cols>
  <sheetData>
    <row r="1" spans="1:30" x14ac:dyDescent="0.25">
      <c r="A1" s="120" t="s">
        <v>1958</v>
      </c>
    </row>
    <row r="2" spans="1:30" x14ac:dyDescent="0.25">
      <c r="A2" s="138" t="s">
        <v>1960</v>
      </c>
      <c r="B2" s="138" t="s">
        <v>1959</v>
      </c>
      <c r="C2" s="138" t="s">
        <v>1961</v>
      </c>
      <c r="Y2" t="s">
        <v>2002</v>
      </c>
    </row>
    <row r="3" spans="1:30" x14ac:dyDescent="0.25">
      <c r="A3">
        <v>235836</v>
      </c>
      <c r="B3" s="137">
        <v>1</v>
      </c>
      <c r="C3" s="137">
        <v>5758</v>
      </c>
      <c r="E3" t="s">
        <v>1973</v>
      </c>
      <c r="Y3" t="s">
        <v>1973</v>
      </c>
    </row>
    <row r="4" spans="1:30" ht="15.75" thickBot="1" x14ac:dyDescent="0.3">
      <c r="A4">
        <v>224173</v>
      </c>
      <c r="B4" s="137">
        <f t="shared" ref="B4:B36" si="0">B3+1</f>
        <v>2</v>
      </c>
      <c r="C4" s="137">
        <v>5826</v>
      </c>
    </row>
    <row r="5" spans="1:30" x14ac:dyDescent="0.25">
      <c r="A5">
        <v>257444</v>
      </c>
      <c r="B5" s="137">
        <f t="shared" si="0"/>
        <v>3</v>
      </c>
      <c r="C5" s="137">
        <v>6750</v>
      </c>
      <c r="E5" s="134" t="s">
        <v>1974</v>
      </c>
      <c r="F5" s="134"/>
      <c r="Y5" s="134" t="s">
        <v>1974</v>
      </c>
      <c r="Z5" s="134"/>
    </row>
    <row r="6" spans="1:30" x14ac:dyDescent="0.25">
      <c r="A6">
        <v>259618</v>
      </c>
      <c r="B6" s="137">
        <f t="shared" si="0"/>
        <v>4</v>
      </c>
      <c r="C6" s="137">
        <v>6587</v>
      </c>
      <c r="E6" t="s">
        <v>1975</v>
      </c>
      <c r="F6">
        <v>0.81684416167304752</v>
      </c>
      <c r="Y6" t="s">
        <v>1975</v>
      </c>
      <c r="Z6">
        <v>0.67981395416611523</v>
      </c>
    </row>
    <row r="7" spans="1:30" x14ac:dyDescent="0.25">
      <c r="A7">
        <v>256301</v>
      </c>
      <c r="B7" s="137">
        <f t="shared" si="0"/>
        <v>5</v>
      </c>
      <c r="C7" s="137">
        <v>6515</v>
      </c>
      <c r="E7" t="s">
        <v>1976</v>
      </c>
      <c r="F7">
        <v>0.6672343844593438</v>
      </c>
      <c r="Y7" t="s">
        <v>1976</v>
      </c>
      <c r="Z7">
        <v>0.46214701227896909</v>
      </c>
    </row>
    <row r="8" spans="1:30" x14ac:dyDescent="0.25">
      <c r="A8">
        <v>230804</v>
      </c>
      <c r="B8" s="137">
        <f t="shared" si="0"/>
        <v>6</v>
      </c>
      <c r="C8" s="137">
        <v>6452</v>
      </c>
      <c r="E8" t="s">
        <v>1977</v>
      </c>
      <c r="F8">
        <v>0.64505001008996676</v>
      </c>
      <c r="Y8" t="s">
        <v>1977</v>
      </c>
      <c r="Z8">
        <v>0.3643555599660544</v>
      </c>
    </row>
    <row r="9" spans="1:30" x14ac:dyDescent="0.25">
      <c r="A9">
        <v>230690</v>
      </c>
      <c r="B9" s="137">
        <f t="shared" si="0"/>
        <v>7</v>
      </c>
      <c r="C9" s="137">
        <v>6532</v>
      </c>
      <c r="E9" t="s">
        <v>1978</v>
      </c>
      <c r="F9">
        <v>11250.142957445407</v>
      </c>
      <c r="Y9" t="s">
        <v>1978</v>
      </c>
      <c r="Z9">
        <v>10107.353045089958</v>
      </c>
    </row>
    <row r="10" spans="1:30" ht="15.75" thickBot="1" x14ac:dyDescent="0.3">
      <c r="A10">
        <v>227541</v>
      </c>
      <c r="B10" s="137">
        <f t="shared" si="0"/>
        <v>8</v>
      </c>
      <c r="C10" s="137">
        <v>6493</v>
      </c>
      <c r="E10" s="118" t="s">
        <v>1979</v>
      </c>
      <c r="F10" s="118">
        <v>33</v>
      </c>
      <c r="Y10" s="118" t="s">
        <v>1979</v>
      </c>
      <c r="Z10" s="118">
        <v>14</v>
      </c>
    </row>
    <row r="11" spans="1:30" x14ac:dyDescent="0.25">
      <c r="A11">
        <v>208381</v>
      </c>
      <c r="B11" s="137">
        <f t="shared" si="0"/>
        <v>9</v>
      </c>
      <c r="C11" s="137">
        <v>5556</v>
      </c>
    </row>
    <row r="12" spans="1:30" ht="15.75" thickBot="1" x14ac:dyDescent="0.3">
      <c r="A12">
        <v>221843</v>
      </c>
      <c r="B12" s="137">
        <f t="shared" si="0"/>
        <v>10</v>
      </c>
      <c r="C12" s="137">
        <v>5836</v>
      </c>
      <c r="E12" t="s">
        <v>1980</v>
      </c>
      <c r="Y12" t="s">
        <v>1980</v>
      </c>
    </row>
    <row r="13" spans="1:30" x14ac:dyDescent="0.25">
      <c r="A13">
        <v>245318</v>
      </c>
      <c r="B13" s="137">
        <f t="shared" si="0"/>
        <v>11</v>
      </c>
      <c r="C13" s="137">
        <v>6361</v>
      </c>
      <c r="E13" s="123"/>
      <c r="F13" s="123" t="s">
        <v>1984</v>
      </c>
      <c r="G13" s="123" t="s">
        <v>1733</v>
      </c>
      <c r="H13" s="123" t="s">
        <v>1985</v>
      </c>
      <c r="I13" s="123" t="s">
        <v>1986</v>
      </c>
      <c r="J13" s="123" t="s">
        <v>1987</v>
      </c>
      <c r="Y13" s="123"/>
      <c r="Z13" s="123" t="s">
        <v>1984</v>
      </c>
      <c r="AA13" s="123" t="s">
        <v>1733</v>
      </c>
      <c r="AB13" s="123" t="s">
        <v>1985</v>
      </c>
      <c r="AC13" s="123" t="s">
        <v>1986</v>
      </c>
      <c r="AD13" s="123" t="s">
        <v>1987</v>
      </c>
    </row>
    <row r="14" spans="1:30" x14ac:dyDescent="0.25">
      <c r="A14">
        <v>247871</v>
      </c>
      <c r="B14" s="137">
        <f t="shared" si="0"/>
        <v>12</v>
      </c>
      <c r="C14" s="137">
        <v>5961</v>
      </c>
      <c r="E14" t="s">
        <v>1981</v>
      </c>
      <c r="F14">
        <v>2</v>
      </c>
      <c r="G14">
        <v>7613376566.626399</v>
      </c>
      <c r="H14">
        <v>3806688283.3131995</v>
      </c>
      <c r="I14">
        <v>30.07677265762258</v>
      </c>
      <c r="J14">
        <v>6.7932354686975116E-8</v>
      </c>
      <c r="Y14" t="s">
        <v>1981</v>
      </c>
      <c r="Z14">
        <v>2</v>
      </c>
      <c r="AA14">
        <v>965570793.49816108</v>
      </c>
      <c r="AB14">
        <v>482785396.74908054</v>
      </c>
      <c r="AC14">
        <v>4.7258426104582574</v>
      </c>
      <c r="AD14">
        <v>3.3010318897756387E-2</v>
      </c>
    </row>
    <row r="15" spans="1:30" x14ac:dyDescent="0.25">
      <c r="A15">
        <v>246947</v>
      </c>
      <c r="B15" s="137">
        <f t="shared" si="0"/>
        <v>13</v>
      </c>
      <c r="C15" s="137">
        <v>5959</v>
      </c>
      <c r="E15" t="s">
        <v>1982</v>
      </c>
      <c r="F15">
        <v>30</v>
      </c>
      <c r="G15">
        <v>3796971496.8887548</v>
      </c>
      <c r="H15">
        <v>126565716.56295849</v>
      </c>
      <c r="Y15" t="s">
        <v>1982</v>
      </c>
      <c r="Z15">
        <v>11</v>
      </c>
      <c r="AA15">
        <v>1123744441.3589816</v>
      </c>
      <c r="AB15">
        <v>102158585.57808924</v>
      </c>
    </row>
    <row r="16" spans="1:30" ht="15.75" thickBot="1" x14ac:dyDescent="0.3">
      <c r="A16">
        <v>258407</v>
      </c>
      <c r="B16" s="137">
        <f t="shared" si="0"/>
        <v>14</v>
      </c>
      <c r="C16" s="137">
        <v>6732</v>
      </c>
      <c r="E16" s="118" t="s">
        <v>1770</v>
      </c>
      <c r="F16" s="118">
        <v>32</v>
      </c>
      <c r="G16" s="118">
        <v>11410348063.515154</v>
      </c>
      <c r="H16" s="118"/>
      <c r="I16" s="118"/>
      <c r="J16" s="118"/>
      <c r="Y16" s="118" t="s">
        <v>1770</v>
      </c>
      <c r="Z16" s="118">
        <v>13</v>
      </c>
      <c r="AA16" s="118">
        <v>2089315234.8571427</v>
      </c>
      <c r="AB16" s="118"/>
      <c r="AC16" s="118"/>
      <c r="AD16" s="118"/>
    </row>
    <row r="17" spans="1:33" ht="15.75" thickBot="1" x14ac:dyDescent="0.3">
      <c r="A17">
        <v>235495</v>
      </c>
      <c r="B17" s="137">
        <f t="shared" si="0"/>
        <v>15</v>
      </c>
      <c r="C17" s="137">
        <v>6447</v>
      </c>
    </row>
    <row r="18" spans="1:33" x14ac:dyDescent="0.25">
      <c r="A18">
        <v>235856</v>
      </c>
      <c r="B18" s="137">
        <f t="shared" si="0"/>
        <v>16</v>
      </c>
      <c r="C18" s="137">
        <v>6415</v>
      </c>
      <c r="E18" s="123"/>
      <c r="F18" s="123" t="s">
        <v>1988</v>
      </c>
      <c r="G18" s="123" t="s">
        <v>1978</v>
      </c>
      <c r="H18" s="123" t="s">
        <v>1989</v>
      </c>
      <c r="I18" s="123" t="s">
        <v>1990</v>
      </c>
      <c r="J18" s="123" t="s">
        <v>1991</v>
      </c>
      <c r="K18" s="123" t="s">
        <v>1992</v>
      </c>
      <c r="L18" s="123" t="s">
        <v>1993</v>
      </c>
      <c r="M18" s="123" t="s">
        <v>1994</v>
      </c>
      <c r="Y18" s="123"/>
      <c r="Z18" s="123" t="s">
        <v>1988</v>
      </c>
      <c r="AA18" s="123" t="s">
        <v>1978</v>
      </c>
      <c r="AB18" s="123" t="s">
        <v>1989</v>
      </c>
      <c r="AC18" s="123" t="s">
        <v>1990</v>
      </c>
      <c r="AD18" s="123" t="s">
        <v>1991</v>
      </c>
      <c r="AE18" s="123" t="s">
        <v>1992</v>
      </c>
      <c r="AF18" s="123" t="s">
        <v>1993</v>
      </c>
      <c r="AG18" s="123" t="s">
        <v>1994</v>
      </c>
    </row>
    <row r="19" spans="1:33" x14ac:dyDescent="0.25">
      <c r="A19">
        <v>203734</v>
      </c>
      <c r="B19" s="137">
        <f t="shared" si="0"/>
        <v>17</v>
      </c>
      <c r="C19" s="137">
        <v>5657</v>
      </c>
      <c r="E19" t="s">
        <v>1983</v>
      </c>
      <c r="F19">
        <v>74531.711505896325</v>
      </c>
      <c r="G19">
        <v>35698.679226321408</v>
      </c>
      <c r="H19">
        <v>2.0878002525914874</v>
      </c>
      <c r="I19">
        <v>4.5407814156097286E-2</v>
      </c>
      <c r="J19">
        <v>1625.282195646927</v>
      </c>
      <c r="K19">
        <v>147438.14081614572</v>
      </c>
      <c r="L19">
        <v>1625.282195646927</v>
      </c>
      <c r="M19">
        <v>147438.14081614572</v>
      </c>
      <c r="Y19" t="s">
        <v>1983</v>
      </c>
      <c r="Z19">
        <v>72155.651612314425</v>
      </c>
      <c r="AA19">
        <v>56923.060108925194</v>
      </c>
      <c r="AB19">
        <v>1.267599659509536</v>
      </c>
      <c r="AC19">
        <v>0.23111688090005211</v>
      </c>
      <c r="AD19">
        <v>-53131.158954434242</v>
      </c>
      <c r="AE19">
        <v>197442.46217906309</v>
      </c>
      <c r="AF19">
        <v>-53131.158954434242</v>
      </c>
      <c r="AG19">
        <v>197442.46217906309</v>
      </c>
    </row>
    <row r="20" spans="1:33" x14ac:dyDescent="0.25">
      <c r="A20">
        <v>216722</v>
      </c>
      <c r="B20" s="137">
        <f t="shared" si="0"/>
        <v>18</v>
      </c>
      <c r="C20" s="137">
        <v>6264</v>
      </c>
      <c r="E20" t="s">
        <v>1959</v>
      </c>
      <c r="F20">
        <v>-788.88439905559994</v>
      </c>
      <c r="G20">
        <v>225.97247943975694</v>
      </c>
      <c r="H20">
        <v>-3.4910640490888287</v>
      </c>
      <c r="I20">
        <v>1.512249468072775E-3</v>
      </c>
      <c r="J20">
        <v>-1250.3817696975134</v>
      </c>
      <c r="K20">
        <v>-327.38702841368661</v>
      </c>
      <c r="L20">
        <v>-1250.3817696975134</v>
      </c>
      <c r="M20">
        <v>-327.38702841368661</v>
      </c>
      <c r="Y20" t="s">
        <v>2003</v>
      </c>
      <c r="Z20">
        <v>-111.53424261083174</v>
      </c>
      <c r="AA20">
        <v>695.54247771514451</v>
      </c>
      <c r="AB20">
        <v>-0.16035575997776796</v>
      </c>
      <c r="AC20">
        <v>0.87550768973961679</v>
      </c>
      <c r="AD20">
        <v>-1642.412914275234</v>
      </c>
      <c r="AE20">
        <v>1419.3444290535704</v>
      </c>
      <c r="AF20">
        <v>-1642.412914275234</v>
      </c>
      <c r="AG20">
        <v>1419.3444290535704</v>
      </c>
    </row>
    <row r="21" spans="1:33" ht="15.75" thickBot="1" x14ac:dyDescent="0.3">
      <c r="A21">
        <v>233549</v>
      </c>
      <c r="B21" s="137">
        <f t="shared" si="0"/>
        <v>19</v>
      </c>
      <c r="C21" s="137">
        <v>6182</v>
      </c>
      <c r="E21" s="118" t="s">
        <v>1961</v>
      </c>
      <c r="F21" s="118">
        <v>27.027592689493311</v>
      </c>
      <c r="G21" s="118">
        <v>5.5641360501671624</v>
      </c>
      <c r="H21" s="118">
        <v>4.8574643836541931</v>
      </c>
      <c r="I21" s="118">
        <v>3.4832668743160987E-5</v>
      </c>
      <c r="J21" s="118">
        <v>15.664110891124153</v>
      </c>
      <c r="K21" s="118">
        <v>38.391074487862468</v>
      </c>
      <c r="L21" s="118">
        <v>15.664110891124153</v>
      </c>
      <c r="M21" s="118">
        <v>38.391074487862468</v>
      </c>
      <c r="Y21" s="118" t="s">
        <v>2004</v>
      </c>
      <c r="Z21" s="118">
        <v>24.227790591263627</v>
      </c>
      <c r="AA21" s="118">
        <v>8.3115550585399607</v>
      </c>
      <c r="AB21" s="118">
        <v>2.9149527880910857</v>
      </c>
      <c r="AC21" s="118">
        <v>1.4063878508375432E-2</v>
      </c>
      <c r="AD21" s="118">
        <v>5.9341812501325855</v>
      </c>
      <c r="AE21" s="118">
        <v>42.521399932394672</v>
      </c>
      <c r="AF21" s="118">
        <v>5.9341812501325855</v>
      </c>
      <c r="AG21" s="118">
        <v>42.521399932394672</v>
      </c>
    </row>
    <row r="22" spans="1:33" x14ac:dyDescent="0.25">
      <c r="A22">
        <v>226882</v>
      </c>
      <c r="B22" s="137">
        <f t="shared" si="0"/>
        <v>20</v>
      </c>
      <c r="C22" s="137">
        <v>6380</v>
      </c>
    </row>
    <row r="23" spans="1:33" x14ac:dyDescent="0.25">
      <c r="A23">
        <v>221127</v>
      </c>
      <c r="B23" s="137">
        <f t="shared" si="0"/>
        <v>21</v>
      </c>
      <c r="C23" s="137">
        <v>5722</v>
      </c>
    </row>
    <row r="24" spans="1:33" x14ac:dyDescent="0.25">
      <c r="A24">
        <v>222912</v>
      </c>
      <c r="B24" s="137">
        <f t="shared" si="0"/>
        <v>22</v>
      </c>
      <c r="C24" s="137">
        <v>5861</v>
      </c>
    </row>
    <row r="25" spans="1:33" x14ac:dyDescent="0.25">
      <c r="A25">
        <v>194115</v>
      </c>
      <c r="B25" s="137">
        <f t="shared" si="0"/>
        <v>23</v>
      </c>
      <c r="C25" s="137">
        <v>5296</v>
      </c>
      <c r="E25" t="s">
        <v>1995</v>
      </c>
      <c r="J25" t="s">
        <v>2000</v>
      </c>
      <c r="Y25" t="s">
        <v>1995</v>
      </c>
      <c r="AD25" t="s">
        <v>2000</v>
      </c>
    </row>
    <row r="26" spans="1:33" ht="15.75" thickBot="1" x14ac:dyDescent="0.3">
      <c r="A26">
        <v>202243</v>
      </c>
      <c r="B26" s="137">
        <f t="shared" si="0"/>
        <v>24</v>
      </c>
      <c r="C26" s="137">
        <v>6168</v>
      </c>
    </row>
    <row r="27" spans="1:33" x14ac:dyDescent="0.25">
      <c r="A27">
        <v>222560</v>
      </c>
      <c r="B27" s="137">
        <f t="shared" si="0"/>
        <v>25</v>
      </c>
      <c r="C27" s="137">
        <v>6398</v>
      </c>
      <c r="E27" s="123" t="s">
        <v>1996</v>
      </c>
      <c r="F27" s="123" t="s">
        <v>1997</v>
      </c>
      <c r="G27" s="123" t="s">
        <v>1998</v>
      </c>
      <c r="H27" s="123" t="s">
        <v>1999</v>
      </c>
      <c r="J27" s="123" t="s">
        <v>2001</v>
      </c>
      <c r="K27" s="123" t="s">
        <v>1960</v>
      </c>
      <c r="Y27" s="123" t="s">
        <v>1996</v>
      </c>
      <c r="Z27" s="123" t="s">
        <v>2005</v>
      </c>
      <c r="AA27" s="123" t="s">
        <v>1998</v>
      </c>
      <c r="AB27" s="123" t="s">
        <v>1999</v>
      </c>
      <c r="AD27" s="123" t="s">
        <v>2001</v>
      </c>
      <c r="AE27" s="123" t="s">
        <v>2006</v>
      </c>
    </row>
    <row r="28" spans="1:33" x14ac:dyDescent="0.25">
      <c r="A28">
        <v>221732</v>
      </c>
      <c r="B28" s="137">
        <f t="shared" si="0"/>
        <v>26</v>
      </c>
      <c r="C28" s="137">
        <v>6268</v>
      </c>
      <c r="E28">
        <v>1</v>
      </c>
      <c r="F28">
        <v>229367.70581294323</v>
      </c>
      <c r="G28">
        <v>6468.2941870567738</v>
      </c>
      <c r="H28">
        <v>0.59380805523036984</v>
      </c>
      <c r="J28">
        <v>1.5151515151515151</v>
      </c>
      <c r="K28">
        <v>188154</v>
      </c>
      <c r="Y28">
        <v>1</v>
      </c>
      <c r="Z28">
        <v>224498.27073235973</v>
      </c>
      <c r="AA28">
        <v>2383.7292676402722</v>
      </c>
      <c r="AB28">
        <v>0.25638630695386366</v>
      </c>
      <c r="AD28">
        <v>3.5714285714285716</v>
      </c>
      <c r="AE28">
        <v>188154</v>
      </c>
    </row>
    <row r="29" spans="1:33" x14ac:dyDescent="0.25">
      <c r="A29">
        <v>188154</v>
      </c>
      <c r="B29" s="137">
        <f t="shared" si="0"/>
        <v>27</v>
      </c>
      <c r="C29" s="137">
        <v>5711</v>
      </c>
      <c r="E29">
        <v>2</v>
      </c>
      <c r="F29">
        <v>230416.69771677314</v>
      </c>
      <c r="G29">
        <v>-6243.6977167731384</v>
      </c>
      <c r="H29">
        <v>-0.57318945172009617</v>
      </c>
      <c r="J29">
        <v>4.545454545454545</v>
      </c>
      <c r="K29">
        <v>194115</v>
      </c>
      <c r="Y29">
        <v>2</v>
      </c>
      <c r="Z29">
        <v>208444.85028069746</v>
      </c>
      <c r="AA29">
        <v>12682.149719302543</v>
      </c>
      <c r="AB29">
        <v>1.3640515199894105</v>
      </c>
      <c r="AD29">
        <v>10.714285714285715</v>
      </c>
      <c r="AE29">
        <v>194115</v>
      </c>
    </row>
    <row r="30" spans="1:33" x14ac:dyDescent="0.25">
      <c r="A30">
        <v>204019</v>
      </c>
      <c r="B30" s="137">
        <f t="shared" si="0"/>
        <v>28</v>
      </c>
      <c r="C30" s="137">
        <v>5796</v>
      </c>
      <c r="E30">
        <v>3</v>
      </c>
      <c r="F30">
        <v>254601.30896280936</v>
      </c>
      <c r="G30">
        <v>2842.6910371906415</v>
      </c>
      <c r="H30">
        <v>0.26096723302918651</v>
      </c>
      <c r="J30">
        <v>7.5757575757575761</v>
      </c>
      <c r="K30">
        <v>201014</v>
      </c>
      <c r="Y30">
        <v>3</v>
      </c>
      <c r="Z30">
        <v>211700.97893027225</v>
      </c>
      <c r="AA30">
        <v>11211.021069727751</v>
      </c>
      <c r="AB30">
        <v>1.2058216208818306</v>
      </c>
      <c r="AD30">
        <v>17.857142857142858</v>
      </c>
      <c r="AE30">
        <v>201014</v>
      </c>
    </row>
    <row r="31" spans="1:33" x14ac:dyDescent="0.25">
      <c r="A31">
        <v>219982</v>
      </c>
      <c r="B31" s="137">
        <f t="shared" si="0"/>
        <v>29</v>
      </c>
      <c r="C31" s="137">
        <v>6061</v>
      </c>
      <c r="E31">
        <v>4</v>
      </c>
      <c r="F31">
        <v>249406.92695536633</v>
      </c>
      <c r="G31">
        <v>10211.073044633667</v>
      </c>
      <c r="H31">
        <v>0.93740594523085019</v>
      </c>
      <c r="J31">
        <v>10.606060606060606</v>
      </c>
      <c r="K31">
        <v>202243</v>
      </c>
      <c r="Y31">
        <v>4</v>
      </c>
      <c r="Z31">
        <v>197900.74300359748</v>
      </c>
      <c r="AA31">
        <v>-3785.743003597483</v>
      </c>
      <c r="AB31">
        <v>-0.40718242668959881</v>
      </c>
      <c r="AD31">
        <v>25.000000000000004</v>
      </c>
      <c r="AE31">
        <v>202243</v>
      </c>
    </row>
    <row r="32" spans="1:33" x14ac:dyDescent="0.25">
      <c r="A32">
        <v>225886</v>
      </c>
      <c r="B32" s="137">
        <f t="shared" si="0"/>
        <v>30</v>
      </c>
      <c r="C32" s="137">
        <v>6245</v>
      </c>
      <c r="E32">
        <v>5</v>
      </c>
      <c r="F32">
        <v>246672.05588266725</v>
      </c>
      <c r="G32">
        <v>9628.9441173327505</v>
      </c>
      <c r="H32">
        <v>0.88396483135795323</v>
      </c>
      <c r="J32">
        <v>13.636363636363637</v>
      </c>
      <c r="K32">
        <v>203734</v>
      </c>
      <c r="Y32">
        <v>5</v>
      </c>
      <c r="Z32">
        <v>218915.84215656851</v>
      </c>
      <c r="AA32">
        <v>-16672.842156568513</v>
      </c>
      <c r="AB32">
        <v>-1.7932776532038559</v>
      </c>
      <c r="AD32">
        <v>32.142857142857146</v>
      </c>
      <c r="AE32">
        <v>204019</v>
      </c>
    </row>
    <row r="33" spans="1:31" x14ac:dyDescent="0.25">
      <c r="A33">
        <v>201014</v>
      </c>
      <c r="B33" s="137">
        <f t="shared" si="0"/>
        <v>31</v>
      </c>
      <c r="C33" s="137">
        <v>5535</v>
      </c>
      <c r="E33">
        <v>6</v>
      </c>
      <c r="F33">
        <v>244180.43314417356</v>
      </c>
      <c r="G33">
        <v>-13376.433144173556</v>
      </c>
      <c r="H33">
        <v>-1.2279951284768369</v>
      </c>
      <c r="J33">
        <v>16.666666666666668</v>
      </c>
      <c r="K33">
        <v>204019</v>
      </c>
      <c r="Y33">
        <v>6</v>
      </c>
      <c r="Z33">
        <v>224376.69974994834</v>
      </c>
      <c r="AA33">
        <v>-1816.6997499483405</v>
      </c>
      <c r="AB33">
        <v>-0.19539842299052262</v>
      </c>
      <c r="AD33">
        <v>39.285714285714285</v>
      </c>
      <c r="AE33">
        <v>206543</v>
      </c>
    </row>
    <row r="34" spans="1:31" x14ac:dyDescent="0.25">
      <c r="A34">
        <v>206543</v>
      </c>
      <c r="B34" s="137">
        <f t="shared" si="0"/>
        <v>32</v>
      </c>
      <c r="C34" s="137">
        <v>5515</v>
      </c>
      <c r="E34">
        <v>7</v>
      </c>
      <c r="F34">
        <v>245553.75616027744</v>
      </c>
      <c r="G34">
        <v>-14863.756160277437</v>
      </c>
      <c r="H34">
        <v>-1.3645356694836588</v>
      </c>
      <c r="J34">
        <v>19.696969696969695</v>
      </c>
      <c r="K34">
        <v>206543</v>
      </c>
      <c r="Y34">
        <v>7</v>
      </c>
      <c r="Z34">
        <v>221115.55273047322</v>
      </c>
      <c r="AA34">
        <v>616.44726952677593</v>
      </c>
      <c r="AB34">
        <v>6.6303099521960548E-2</v>
      </c>
      <c r="AD34">
        <v>46.428571428571431</v>
      </c>
      <c r="AE34">
        <v>214397</v>
      </c>
    </row>
    <row r="35" spans="1:31" x14ac:dyDescent="0.25">
      <c r="A35">
        <v>214397</v>
      </c>
      <c r="B35" s="137">
        <f t="shared" si="0"/>
        <v>33</v>
      </c>
      <c r="C35" s="137">
        <v>5708</v>
      </c>
      <c r="E35">
        <v>8</v>
      </c>
      <c r="F35">
        <v>243710.79564633162</v>
      </c>
      <c r="G35">
        <v>-16169.795646331622</v>
      </c>
      <c r="H35">
        <v>-1.4844338597700217</v>
      </c>
      <c r="J35">
        <v>22.727272727272727</v>
      </c>
      <c r="K35">
        <v>208381</v>
      </c>
      <c r="Y35">
        <v>8</v>
      </c>
      <c r="Z35">
        <v>207509.13912852854</v>
      </c>
      <c r="AA35">
        <v>-19355.139128528535</v>
      </c>
      <c r="AB35">
        <v>-2.0817769488789644</v>
      </c>
      <c r="AD35">
        <v>53.571428571428569</v>
      </c>
      <c r="AE35">
        <v>219982</v>
      </c>
    </row>
    <row r="36" spans="1:31" x14ac:dyDescent="0.25">
      <c r="A36">
        <v>192025</v>
      </c>
      <c r="B36" s="137">
        <f t="shared" si="0"/>
        <v>34</v>
      </c>
      <c r="C36" s="115">
        <v>5254</v>
      </c>
      <c r="E36">
        <v>9</v>
      </c>
      <c r="F36">
        <v>217597.05689722075</v>
      </c>
      <c r="G36">
        <v>-9216.0568972207548</v>
      </c>
      <c r="H36">
        <v>-0.84606059414889412</v>
      </c>
      <c r="J36">
        <v>25.757575757575758</v>
      </c>
      <c r="K36">
        <v>214397</v>
      </c>
      <c r="Y36">
        <v>9</v>
      </c>
      <c r="Z36">
        <v>209456.96708617511</v>
      </c>
      <c r="AA36">
        <v>-5437.9670861751074</v>
      </c>
      <c r="AB36">
        <v>-0.58489037219452389</v>
      </c>
      <c r="AD36">
        <v>60.714285714285715</v>
      </c>
      <c r="AE36">
        <v>221127</v>
      </c>
    </row>
    <row r="37" spans="1:31" x14ac:dyDescent="0.25">
      <c r="E37">
        <v>10</v>
      </c>
      <c r="F37">
        <v>224375.8984512233</v>
      </c>
      <c r="G37">
        <v>-2532.8984512233001</v>
      </c>
      <c r="H37">
        <v>-0.23252738046865246</v>
      </c>
      <c r="J37">
        <v>28.787878787878789</v>
      </c>
      <c r="K37">
        <v>216722</v>
      </c>
      <c r="Y37">
        <v>10</v>
      </c>
      <c r="Z37">
        <v>215765.79735024914</v>
      </c>
      <c r="AA37">
        <v>4216.2026497508632</v>
      </c>
      <c r="AB37">
        <v>0.45348129144246763</v>
      </c>
      <c r="AD37">
        <v>67.857142857142861</v>
      </c>
      <c r="AE37">
        <v>221732</v>
      </c>
    </row>
    <row r="38" spans="1:31" x14ac:dyDescent="0.25">
      <c r="E38">
        <v>11</v>
      </c>
      <c r="F38">
        <v>237776.50021415169</v>
      </c>
      <c r="G38">
        <v>7541.4997858483111</v>
      </c>
      <c r="H38">
        <v>0.69233142337833642</v>
      </c>
      <c r="J38">
        <v>31.81818181818182</v>
      </c>
      <c r="K38">
        <v>219982</v>
      </c>
      <c r="Y38">
        <v>11</v>
      </c>
      <c r="Z38">
        <v>220112.17657643085</v>
      </c>
      <c r="AA38">
        <v>5773.8234235691489</v>
      </c>
      <c r="AB38">
        <v>0.62101400719807076</v>
      </c>
      <c r="AD38">
        <v>75</v>
      </c>
      <c r="AE38">
        <v>222560</v>
      </c>
    </row>
    <row r="39" spans="1:31" x14ac:dyDescent="0.25">
      <c r="E39">
        <v>12</v>
      </c>
      <c r="F39">
        <v>226176.57873929874</v>
      </c>
      <c r="G39">
        <v>21694.42126070126</v>
      </c>
      <c r="H39">
        <v>1.9916104193194035</v>
      </c>
      <c r="J39">
        <v>34.848484848484851</v>
      </c>
      <c r="K39">
        <v>221127</v>
      </c>
      <c r="Y39">
        <v>12</v>
      </c>
      <c r="Z39">
        <v>202798.91101402283</v>
      </c>
      <c r="AA39">
        <v>-1784.9110140228295</v>
      </c>
      <c r="AB39">
        <v>-0.19197932808015911</v>
      </c>
      <c r="AD39">
        <v>82.142857142857139</v>
      </c>
      <c r="AE39">
        <v>222912</v>
      </c>
    </row>
    <row r="40" spans="1:31" x14ac:dyDescent="0.25">
      <c r="E40">
        <v>13</v>
      </c>
      <c r="F40">
        <v>225333.63915486415</v>
      </c>
      <c r="G40">
        <v>21613.360845135845</v>
      </c>
      <c r="H40">
        <v>1.9841688394637158</v>
      </c>
      <c r="J40">
        <v>37.878787878787875</v>
      </c>
      <c r="K40">
        <v>221732</v>
      </c>
      <c r="Y40">
        <v>13</v>
      </c>
      <c r="Z40">
        <v>202202.82095958671</v>
      </c>
      <c r="AA40">
        <v>4340.1790404132917</v>
      </c>
      <c r="AB40">
        <v>0.46681579607053525</v>
      </c>
      <c r="AD40">
        <v>89.285714285714292</v>
      </c>
      <c r="AE40">
        <v>225886</v>
      </c>
    </row>
    <row r="41" spans="1:31" ht="15.75" thickBot="1" x14ac:dyDescent="0.3">
      <c r="E41">
        <v>14</v>
      </c>
      <c r="F41">
        <v>245437.08390478691</v>
      </c>
      <c r="G41">
        <v>12969.916095213091</v>
      </c>
      <c r="H41">
        <v>1.1906756913454466</v>
      </c>
      <c r="J41">
        <v>40.909090909090907</v>
      </c>
      <c r="K41">
        <v>221843</v>
      </c>
      <c r="Y41" s="118">
        <v>14</v>
      </c>
      <c r="Z41" s="118">
        <v>206767.25030108978</v>
      </c>
      <c r="AA41" s="118">
        <v>7629.7496989102219</v>
      </c>
      <c r="AB41" s="118">
        <v>0.82063150997949197</v>
      </c>
      <c r="AD41" s="118">
        <v>96.428571428571431</v>
      </c>
      <c r="AE41" s="118">
        <v>226882</v>
      </c>
    </row>
    <row r="42" spans="1:31" x14ac:dyDescent="0.25">
      <c r="E42">
        <v>15</v>
      </c>
      <c r="F42">
        <v>236945.3355892257</v>
      </c>
      <c r="G42">
        <v>-1450.335589225695</v>
      </c>
      <c r="H42">
        <v>-0.13314498858027021</v>
      </c>
      <c r="J42">
        <v>43.939393939393938</v>
      </c>
      <c r="K42">
        <v>222560</v>
      </c>
    </row>
    <row r="43" spans="1:31" x14ac:dyDescent="0.25">
      <c r="E43">
        <v>16</v>
      </c>
      <c r="F43">
        <v>235291.5682241063</v>
      </c>
      <c r="G43">
        <v>564.43177589369589</v>
      </c>
      <c r="H43">
        <v>5.1816464350729702E-2</v>
      </c>
      <c r="J43">
        <v>46.969696969696969</v>
      </c>
      <c r="K43">
        <v>222912</v>
      </c>
    </row>
    <row r="44" spans="1:31" x14ac:dyDescent="0.25">
      <c r="E44">
        <v>17</v>
      </c>
      <c r="F44">
        <v>214015.76856641477</v>
      </c>
      <c r="G44">
        <v>-10281.768566414772</v>
      </c>
      <c r="H44">
        <v>-0.94389599795392154</v>
      </c>
      <c r="J44">
        <v>50</v>
      </c>
      <c r="K44">
        <v>224173</v>
      </c>
    </row>
    <row r="45" spans="1:31" x14ac:dyDescent="0.25">
      <c r="E45">
        <v>18</v>
      </c>
      <c r="F45">
        <v>229632.63292988163</v>
      </c>
      <c r="G45">
        <v>-12910.632929881627</v>
      </c>
      <c r="H45">
        <v>-1.1852333258476282</v>
      </c>
      <c r="J45">
        <v>53.030303030303031</v>
      </c>
      <c r="K45">
        <v>225886</v>
      </c>
    </row>
    <row r="46" spans="1:31" x14ac:dyDescent="0.25">
      <c r="E46">
        <v>19</v>
      </c>
      <c r="F46">
        <v>226627.48593028757</v>
      </c>
      <c r="G46">
        <v>6921.5140697124298</v>
      </c>
      <c r="H46">
        <v>0.63541494714478197</v>
      </c>
      <c r="J46">
        <v>56.060606060606062</v>
      </c>
      <c r="K46">
        <v>226882</v>
      </c>
    </row>
    <row r="47" spans="1:31" x14ac:dyDescent="0.25">
      <c r="E47">
        <v>20</v>
      </c>
      <c r="F47">
        <v>231190.06488375162</v>
      </c>
      <c r="G47">
        <v>-4308.0648837516201</v>
      </c>
      <c r="H47">
        <v>-0.39549277698991353</v>
      </c>
      <c r="J47">
        <v>59.090909090909093</v>
      </c>
      <c r="K47">
        <v>227541</v>
      </c>
    </row>
    <row r="48" spans="1:31" x14ac:dyDescent="0.25">
      <c r="E48">
        <v>21</v>
      </c>
      <c r="F48">
        <v>212617.02449500945</v>
      </c>
      <c r="G48">
        <v>8509.9755049905507</v>
      </c>
      <c r="H48">
        <v>0.78124028662584533</v>
      </c>
      <c r="J48">
        <v>62.121212121212125</v>
      </c>
      <c r="K48">
        <v>230690</v>
      </c>
    </row>
    <row r="49" spans="5:18" x14ac:dyDescent="0.25">
      <c r="E49">
        <v>22</v>
      </c>
      <c r="F49">
        <v>215584.97547979341</v>
      </c>
      <c r="G49">
        <v>7327.0245202065853</v>
      </c>
      <c r="H49">
        <v>0.67264197563482242</v>
      </c>
      <c r="J49">
        <v>65.151515151515142</v>
      </c>
      <c r="K49">
        <v>230804</v>
      </c>
    </row>
    <row r="50" spans="5:18" x14ac:dyDescent="0.25">
      <c r="E50">
        <v>23</v>
      </c>
      <c r="F50">
        <v>199525.50121117412</v>
      </c>
      <c r="G50">
        <v>-5410.5012111741235</v>
      </c>
      <c r="H50">
        <v>-0.496699610301857</v>
      </c>
      <c r="J50">
        <v>68.181818181818187</v>
      </c>
      <c r="K50">
        <v>233549</v>
      </c>
    </row>
    <row r="51" spans="5:18" x14ac:dyDescent="0.25">
      <c r="E51">
        <v>24</v>
      </c>
      <c r="F51">
        <v>222304.67763735665</v>
      </c>
      <c r="G51">
        <v>-20061.677637356654</v>
      </c>
      <c r="H51">
        <v>-1.8417198473030418</v>
      </c>
      <c r="J51">
        <v>71.212121212121218</v>
      </c>
      <c r="K51">
        <v>235495</v>
      </c>
    </row>
    <row r="52" spans="5:18" x14ac:dyDescent="0.25">
      <c r="E52">
        <v>25</v>
      </c>
      <c r="F52">
        <v>227732.13955688453</v>
      </c>
      <c r="G52">
        <v>-5172.1395568845328</v>
      </c>
      <c r="H52">
        <v>-0.47481732321318021</v>
      </c>
      <c r="J52">
        <v>74.242424242424235</v>
      </c>
      <c r="K52">
        <v>235836</v>
      </c>
    </row>
    <row r="53" spans="5:18" x14ac:dyDescent="0.25">
      <c r="E53">
        <v>26</v>
      </c>
      <c r="F53">
        <v>223429.66810819478</v>
      </c>
      <c r="G53">
        <v>-1697.6681081947754</v>
      </c>
      <c r="H53">
        <v>-0.15585082691058999</v>
      </c>
      <c r="J53">
        <v>77.272727272727266</v>
      </c>
      <c r="K53">
        <v>235856</v>
      </c>
    </row>
    <row r="54" spans="5:18" x14ac:dyDescent="0.25">
      <c r="E54">
        <v>27</v>
      </c>
      <c r="F54">
        <v>207586.41458109143</v>
      </c>
      <c r="G54">
        <v>-19432.414581091434</v>
      </c>
      <c r="H54">
        <v>-1.7839516844979433</v>
      </c>
      <c r="J54">
        <v>80.303030303030297</v>
      </c>
      <c r="K54">
        <v>245318</v>
      </c>
    </row>
    <row r="55" spans="5:18" x14ac:dyDescent="0.25">
      <c r="E55">
        <v>28</v>
      </c>
      <c r="F55">
        <v>209094.87556064274</v>
      </c>
      <c r="G55">
        <v>-5075.8755606427439</v>
      </c>
      <c r="H55">
        <v>-0.4659800108176767</v>
      </c>
      <c r="J55">
        <v>83.333333333333329</v>
      </c>
      <c r="K55">
        <v>246947</v>
      </c>
    </row>
    <row r="56" spans="5:18" x14ac:dyDescent="0.25">
      <c r="E56">
        <v>29</v>
      </c>
      <c r="F56">
        <v>215468.30322430289</v>
      </c>
      <c r="G56">
        <v>4513.6967756971135</v>
      </c>
      <c r="H56">
        <v>0.41437037753161926</v>
      </c>
      <c r="J56">
        <v>86.36363636363636</v>
      </c>
      <c r="K56">
        <v>247871</v>
      </c>
    </row>
    <row r="57" spans="5:18" x14ac:dyDescent="0.25">
      <c r="E57">
        <v>30</v>
      </c>
      <c r="F57">
        <v>219652.49588011403</v>
      </c>
      <c r="G57">
        <v>6233.504119885969</v>
      </c>
      <c r="H57">
        <v>0.57225365013650642</v>
      </c>
      <c r="J57">
        <v>89.393939393939391</v>
      </c>
      <c r="K57">
        <v>256301</v>
      </c>
    </row>
    <row r="58" spans="5:18" x14ac:dyDescent="0.25">
      <c r="E58">
        <v>31</v>
      </c>
      <c r="F58">
        <v>199674.0206715182</v>
      </c>
      <c r="G58">
        <v>1339.9793284818006</v>
      </c>
      <c r="H58">
        <v>0.12301396567380508</v>
      </c>
      <c r="J58">
        <v>92.424242424242422</v>
      </c>
      <c r="K58">
        <v>257444</v>
      </c>
    </row>
    <row r="59" spans="5:18" x14ac:dyDescent="0.25">
      <c r="E59">
        <v>32</v>
      </c>
      <c r="F59">
        <v>198344.58441867275</v>
      </c>
      <c r="G59">
        <v>8198.4155813272519</v>
      </c>
      <c r="H59">
        <v>0.75263818736937838</v>
      </c>
      <c r="J59">
        <v>95.454545454545453</v>
      </c>
      <c r="K59">
        <v>258407</v>
      </c>
    </row>
    <row r="60" spans="5:18" ht="15.75" thickBot="1" x14ac:dyDescent="0.3">
      <c r="E60" s="118">
        <v>33</v>
      </c>
      <c r="F60" s="118">
        <v>202772.02540868934</v>
      </c>
      <c r="G60" s="118">
        <v>11624.97459131066</v>
      </c>
      <c r="H60" s="118">
        <v>1.0672061836614879</v>
      </c>
      <c r="J60" s="118">
        <v>98.484848484848484</v>
      </c>
      <c r="K60" s="118">
        <v>259618</v>
      </c>
    </row>
    <row r="61" spans="5:18" x14ac:dyDescent="0.25">
      <c r="P61" s="1" t="s">
        <v>2050</v>
      </c>
    </row>
    <row r="62" spans="5:18" x14ac:dyDescent="0.25">
      <c r="R62" t="s">
        <v>2036</v>
      </c>
    </row>
    <row r="63" spans="5:18" x14ac:dyDescent="0.25">
      <c r="R63" t="s">
        <v>2028</v>
      </c>
    </row>
    <row r="64" spans="5:18" x14ac:dyDescent="0.25">
      <c r="E64" t="s">
        <v>1973</v>
      </c>
      <c r="P64" t="s">
        <v>2011</v>
      </c>
      <c r="R64" t="s">
        <v>2027</v>
      </c>
    </row>
    <row r="65" spans="5:31" ht="15.75" thickBot="1" x14ac:dyDescent="0.3">
      <c r="P65" cm="1">
        <f t="array" ref="P65:Q69">LINEST(A3:A36,C3:C36,TRUE,TRUE)</f>
        <v>35.706445847791436</v>
      </c>
      <c r="Q65">
        <v>8159.298815869377</v>
      </c>
      <c r="T65">
        <f>INDEX(LINEST(A3:A36,C3:C36,TRUE,TRUE),1,1)</f>
        <v>35.706445847791436</v>
      </c>
      <c r="U65">
        <f>INDEX(LINEST(A3:A36,C3:C36,TRUE,TRUE),1,2)</f>
        <v>8159.298815869377</v>
      </c>
      <c r="V65">
        <f>SLOPE(A3:A36,C3:C36)</f>
        <v>35.706445847791429</v>
      </c>
      <c r="W65">
        <f>INTERCEPT(A3:A36,C3:C36)</f>
        <v>8159.2988158694352</v>
      </c>
    </row>
    <row r="66" spans="5:31" x14ac:dyDescent="0.25">
      <c r="E66" s="134" t="s">
        <v>1974</v>
      </c>
      <c r="F66" s="134"/>
      <c r="P66">
        <v>5.4610554262841537</v>
      </c>
      <c r="Q66">
        <v>33194.088163391199</v>
      </c>
      <c r="T66">
        <f>INDEX(LINEST(A3:A36,C3:C36,TRUE,TRUE),2,1)</f>
        <v>5.4610554262841537</v>
      </c>
    </row>
    <row r="67" spans="5:31" x14ac:dyDescent="0.25">
      <c r="E67" t="s">
        <v>1975</v>
      </c>
      <c r="F67">
        <v>0.75624637946821882</v>
      </c>
      <c r="P67">
        <v>0.57190858645878928</v>
      </c>
      <c r="Q67">
        <v>12937.166097056635</v>
      </c>
    </row>
    <row r="68" spans="5:31" x14ac:dyDescent="0.25">
      <c r="E68" t="s">
        <v>1976</v>
      </c>
      <c r="F68">
        <v>0.57190858645878928</v>
      </c>
      <c r="P68">
        <v>42.750389724692489</v>
      </c>
      <c r="Q68">
        <v>32</v>
      </c>
      <c r="Y68" t="s">
        <v>2041</v>
      </c>
      <c r="Z68" t="s">
        <v>1733</v>
      </c>
      <c r="AA68" t="s">
        <v>1723</v>
      </c>
      <c r="AB68" t="s">
        <v>2043</v>
      </c>
      <c r="AD68">
        <f>T69/(1-T69)</f>
        <v>1.3359496788966403</v>
      </c>
      <c r="AE68" t="s">
        <v>2044</v>
      </c>
    </row>
    <row r="69" spans="5:31" x14ac:dyDescent="0.25">
      <c r="E69" t="s">
        <v>1977</v>
      </c>
      <c r="F69">
        <v>0.55853072978562646</v>
      </c>
      <c r="P69">
        <v>7155144126.4517431</v>
      </c>
      <c r="Q69">
        <v>5355848531.9306116</v>
      </c>
      <c r="R69">
        <f>+Q69/P69</f>
        <v>0.74853118781083061</v>
      </c>
      <c r="T69" s="1">
        <f>P69/(SUM(P69:Q69))</f>
        <v>0.57190858645878928</v>
      </c>
      <c r="U69" t="s">
        <v>2030</v>
      </c>
      <c r="Y69" t="s">
        <v>2048</v>
      </c>
      <c r="Z69">
        <f>P69</f>
        <v>7155144126.4517431</v>
      </c>
      <c r="AA69">
        <v>1</v>
      </c>
      <c r="AB69">
        <f>Z69/AA69</f>
        <v>7155144126.4517431</v>
      </c>
      <c r="AD69">
        <f>AA70/AA69</f>
        <v>32</v>
      </c>
      <c r="AE69" t="s">
        <v>2045</v>
      </c>
    </row>
    <row r="70" spans="5:31" x14ac:dyDescent="0.25">
      <c r="E70" t="s">
        <v>1978</v>
      </c>
      <c r="F70">
        <v>12937.166097056635</v>
      </c>
      <c r="P70" t="s">
        <v>2020</v>
      </c>
      <c r="Q70" t="s">
        <v>1983</v>
      </c>
      <c r="T70" s="1">
        <f>SQRT(Q69/Q68)</f>
        <v>12937.166097056635</v>
      </c>
      <c r="U70" t="s">
        <v>2029</v>
      </c>
      <c r="Y70" t="s">
        <v>1982</v>
      </c>
      <c r="Z70">
        <f>Q69</f>
        <v>5355848531.9306116</v>
      </c>
      <c r="AA70">
        <v>32</v>
      </c>
      <c r="AB70" s="152">
        <f>Z70/AA70</f>
        <v>167370266.62283161</v>
      </c>
      <c r="AD70">
        <f>+AD69*AD68</f>
        <v>42.750389724692489</v>
      </c>
    </row>
    <row r="71" spans="5:31" ht="15.75" thickBot="1" x14ac:dyDescent="0.3">
      <c r="E71" s="118" t="s">
        <v>1979</v>
      </c>
      <c r="F71" s="118">
        <v>34</v>
      </c>
      <c r="P71" t="s">
        <v>2021</v>
      </c>
      <c r="Q71" t="s">
        <v>2022</v>
      </c>
      <c r="T71" s="1">
        <f>P65/P66</f>
        <v>6.5383782182351959</v>
      </c>
      <c r="U71" t="s">
        <v>2031</v>
      </c>
      <c r="Y71" t="s">
        <v>2042</v>
      </c>
      <c r="Z71">
        <f>SUM(Z69:Z70)</f>
        <v>12510992658.382355</v>
      </c>
      <c r="AA71">
        <f>SUM(AA69:AA70)</f>
        <v>33</v>
      </c>
    </row>
    <row r="72" spans="5:31" x14ac:dyDescent="0.25">
      <c r="P72" t="s">
        <v>2023</v>
      </c>
      <c r="Q72" t="s">
        <v>2024</v>
      </c>
      <c r="T72" s="1">
        <f>T71^2</f>
        <v>42.750389724692454</v>
      </c>
      <c r="U72" t="s">
        <v>2032</v>
      </c>
      <c r="AB72" s="86">
        <f>+AB69/AB70</f>
        <v>42.750389724692489</v>
      </c>
    </row>
    <row r="73" spans="5:31" ht="15.75" thickBot="1" x14ac:dyDescent="0.3">
      <c r="E73" t="s">
        <v>1980</v>
      </c>
      <c r="P73" t="s">
        <v>1986</v>
      </c>
      <c r="Q73" t="s">
        <v>1984</v>
      </c>
      <c r="T73" s="1">
        <f>T69^0.5</f>
        <v>0.75624637946821882</v>
      </c>
      <c r="U73" t="s">
        <v>2035</v>
      </c>
    </row>
    <row r="74" spans="5:31" x14ac:dyDescent="0.25">
      <c r="E74" s="123"/>
      <c r="F74" s="123" t="s">
        <v>1984</v>
      </c>
      <c r="G74" s="123" t="s">
        <v>1733</v>
      </c>
      <c r="H74" s="123" t="s">
        <v>1985</v>
      </c>
      <c r="I74" s="123" t="s">
        <v>1986</v>
      </c>
      <c r="J74" s="123" t="s">
        <v>1987</v>
      </c>
      <c r="P74" t="s">
        <v>2025</v>
      </c>
      <c r="Q74" t="s">
        <v>2026</v>
      </c>
      <c r="AB74">
        <f>_xlfn.F.INV.RT(0.001%,AA69,AA70)</f>
        <v>27.416028654080005</v>
      </c>
      <c r="AC74" t="s">
        <v>2046</v>
      </c>
      <c r="AD74">
        <f>_xlfn.F.DIST.RT(AB72,AA69,AA70)</f>
        <v>2.3055884932565211E-7</v>
      </c>
    </row>
    <row r="75" spans="5:31" x14ac:dyDescent="0.25">
      <c r="E75" t="s">
        <v>1981</v>
      </c>
      <c r="F75">
        <v>1</v>
      </c>
      <c r="G75">
        <v>7155144126.4517431</v>
      </c>
      <c r="H75">
        <v>7155144126.4517431</v>
      </c>
      <c r="I75">
        <v>42.750389724692489</v>
      </c>
      <c r="J75">
        <v>2.3055884932565211E-7</v>
      </c>
      <c r="P75" t="s">
        <v>2033</v>
      </c>
      <c r="Q75" t="s">
        <v>2034</v>
      </c>
      <c r="T75" t="s">
        <v>2037</v>
      </c>
    </row>
    <row r="76" spans="5:31" x14ac:dyDescent="0.25">
      <c r="E76" t="s">
        <v>1982</v>
      </c>
      <c r="F76">
        <v>32</v>
      </c>
      <c r="G76">
        <v>5355848531.9306116</v>
      </c>
      <c r="H76">
        <v>167370266.62283161</v>
      </c>
      <c r="K76">
        <f>G76/F76</f>
        <v>167370266.62283161</v>
      </c>
      <c r="L76" t="b">
        <f>K76=H76</f>
        <v>1</v>
      </c>
      <c r="T76" t="s">
        <v>2038</v>
      </c>
    </row>
    <row r="77" spans="5:31" ht="15.75" thickBot="1" x14ac:dyDescent="0.3">
      <c r="E77" s="118" t="s">
        <v>1770</v>
      </c>
      <c r="F77" s="118">
        <v>33</v>
      </c>
      <c r="G77" s="118">
        <v>12510992658.382355</v>
      </c>
      <c r="H77" s="118"/>
      <c r="I77" s="118"/>
      <c r="J77" s="118"/>
      <c r="T77" t="s">
        <v>2039</v>
      </c>
    </row>
    <row r="78" spans="5:31" ht="15.75" thickBot="1" x14ac:dyDescent="0.3">
      <c r="G78">
        <f>M81-L81</f>
        <v>22.247611776563815</v>
      </c>
      <c r="H78">
        <f>G78/G81</f>
        <v>4.0738666869202014</v>
      </c>
      <c r="T78" t="s">
        <v>2040</v>
      </c>
    </row>
    <row r="79" spans="5:31" x14ac:dyDescent="0.25">
      <c r="E79" s="123"/>
      <c r="F79" s="123" t="s">
        <v>1988</v>
      </c>
      <c r="G79" s="123" t="s">
        <v>1978</v>
      </c>
      <c r="H79" s="123" t="s">
        <v>1989</v>
      </c>
      <c r="I79" s="123" t="s">
        <v>1990</v>
      </c>
      <c r="J79" s="123" t="s">
        <v>1991</v>
      </c>
      <c r="K79" s="123" t="s">
        <v>1992</v>
      </c>
      <c r="L79" s="123" t="s">
        <v>1993</v>
      </c>
      <c r="M79" s="123" t="s">
        <v>1994</v>
      </c>
    </row>
    <row r="80" spans="5:31" x14ac:dyDescent="0.25">
      <c r="E80" t="s">
        <v>1983</v>
      </c>
      <c r="F80">
        <v>8159.298815869377</v>
      </c>
      <c r="G80">
        <v>33194.088163391199</v>
      </c>
      <c r="H80">
        <v>0.24580578251485249</v>
      </c>
      <c r="I80">
        <v>0.80740236334118276</v>
      </c>
      <c r="J80">
        <v>-59454.846169896424</v>
      </c>
      <c r="K80">
        <v>75773.443801635178</v>
      </c>
      <c r="L80">
        <v>-59454.846169896424</v>
      </c>
      <c r="M80">
        <v>75773.443801635178</v>
      </c>
      <c r="N80">
        <v>1.96</v>
      </c>
      <c r="O80">
        <f>N80*G80+F80</f>
        <v>73219.711616116125</v>
      </c>
      <c r="P80">
        <f>M80-F80</f>
        <v>67614.144985765801</v>
      </c>
      <c r="Q80">
        <f>+P80/G80</f>
        <v>2.0369333434601011</v>
      </c>
      <c r="R80">
        <f>-L80+F80</f>
        <v>67614.144985765801</v>
      </c>
      <c r="T80" t="s">
        <v>2178</v>
      </c>
    </row>
    <row r="81" spans="5:21" ht="15.75" thickBot="1" x14ac:dyDescent="0.3">
      <c r="E81" s="118" t="s">
        <v>1961</v>
      </c>
      <c r="F81" s="118">
        <v>35.706445847791436</v>
      </c>
      <c r="G81" s="118">
        <v>5.4610554262841537</v>
      </c>
      <c r="H81" s="118">
        <v>6.5383782182351959</v>
      </c>
      <c r="I81" s="118">
        <v>2.3055884932565378E-7</v>
      </c>
      <c r="J81" s="118">
        <v>24.582639959509528</v>
      </c>
      <c r="K81" s="118">
        <v>46.830251736073343</v>
      </c>
      <c r="L81" s="118">
        <v>24.582639959509528</v>
      </c>
      <c r="M81" s="118">
        <v>46.830251736073343</v>
      </c>
      <c r="N81">
        <v>1.96</v>
      </c>
      <c r="O81">
        <f>N81*G81+F81</f>
        <v>46.410114483308377</v>
      </c>
      <c r="P81">
        <f>M81-F81</f>
        <v>11.123805888281908</v>
      </c>
      <c r="Q81">
        <f>+P81/G81</f>
        <v>2.0369333434601007</v>
      </c>
      <c r="R81">
        <f>-L81+F81</f>
        <v>11.123805888281908</v>
      </c>
      <c r="T81" t="s">
        <v>2179</v>
      </c>
    </row>
    <row r="82" spans="5:21" x14ac:dyDescent="0.25">
      <c r="T82">
        <f>F81-_xlfn.T.INV.2T(0.05,F76)*G81</f>
        <v>24.582639959509528</v>
      </c>
      <c r="U82">
        <f>P65-P66*_xlfn.T.INV.2T(0.05,Q68)</f>
        <v>24.582639959509528</v>
      </c>
    </row>
    <row r="85" spans="5:21" x14ac:dyDescent="0.25">
      <c r="E85" t="s">
        <v>1995</v>
      </c>
      <c r="J85" t="s">
        <v>2000</v>
      </c>
    </row>
    <row r="86" spans="5:21" ht="15.75" thickBot="1" x14ac:dyDescent="0.3"/>
    <row r="87" spans="5:21" x14ac:dyDescent="0.25">
      <c r="E87" s="123" t="s">
        <v>1996</v>
      </c>
      <c r="F87" s="123" t="s">
        <v>1997</v>
      </c>
      <c r="G87" s="123" t="s">
        <v>1998</v>
      </c>
      <c r="H87" s="123" t="s">
        <v>1999</v>
      </c>
      <c r="J87" s="123" t="s">
        <v>2001</v>
      </c>
      <c r="K87" s="123" t="s">
        <v>1960</v>
      </c>
    </row>
    <row r="88" spans="5:21" x14ac:dyDescent="0.25">
      <c r="E88">
        <v>1</v>
      </c>
      <c r="F88">
        <v>213757.01400745247</v>
      </c>
      <c r="G88">
        <v>22078.985992547532</v>
      </c>
      <c r="H88">
        <v>1.7330933296481812</v>
      </c>
      <c r="J88">
        <v>1.4705882352941178</v>
      </c>
      <c r="K88">
        <v>188154</v>
      </c>
    </row>
    <row r="89" spans="5:21" x14ac:dyDescent="0.25">
      <c r="E89">
        <v>2</v>
      </c>
      <c r="F89">
        <v>216185.05232510227</v>
      </c>
      <c r="G89">
        <v>7987.9476748977322</v>
      </c>
      <c r="H89">
        <v>0.62701515538878316</v>
      </c>
      <c r="J89">
        <v>4.4117647058823533</v>
      </c>
      <c r="K89">
        <v>192025</v>
      </c>
    </row>
    <row r="90" spans="5:21" x14ac:dyDescent="0.25">
      <c r="E90">
        <v>3</v>
      </c>
      <c r="F90">
        <v>249177.80828846156</v>
      </c>
      <c r="G90">
        <v>8266.1917115384422</v>
      </c>
      <c r="H90">
        <v>0.64885596293670078</v>
      </c>
      <c r="J90">
        <v>7.3529411764705888</v>
      </c>
      <c r="K90">
        <v>194115</v>
      </c>
    </row>
    <row r="91" spans="5:21" x14ac:dyDescent="0.25">
      <c r="E91">
        <v>4</v>
      </c>
      <c r="F91">
        <v>243357.65761527157</v>
      </c>
      <c r="G91">
        <v>16260.342384728428</v>
      </c>
      <c r="H91">
        <v>1.276358023610344</v>
      </c>
      <c r="J91">
        <v>10.294117647058824</v>
      </c>
      <c r="K91">
        <v>201014</v>
      </c>
    </row>
    <row r="92" spans="5:21" x14ac:dyDescent="0.25">
      <c r="E92">
        <v>5</v>
      </c>
      <c r="F92">
        <v>240786.79351423058</v>
      </c>
      <c r="G92">
        <v>15514.20648576942</v>
      </c>
      <c r="H92">
        <v>1.2177899738849907</v>
      </c>
      <c r="J92">
        <v>13.23529411764706</v>
      </c>
      <c r="K92">
        <v>202243</v>
      </c>
    </row>
    <row r="93" spans="5:21" x14ac:dyDescent="0.25">
      <c r="E93">
        <v>6</v>
      </c>
      <c r="F93">
        <v>238537.28742581973</v>
      </c>
      <c r="G93">
        <v>-7733.2874258197262</v>
      </c>
      <c r="H93">
        <v>-0.60702556079632275</v>
      </c>
      <c r="J93">
        <v>16.176470588235297</v>
      </c>
      <c r="K93">
        <v>203734</v>
      </c>
    </row>
    <row r="94" spans="5:21" x14ac:dyDescent="0.25">
      <c r="E94">
        <v>7</v>
      </c>
      <c r="F94">
        <v>241393.80309364304</v>
      </c>
      <c r="G94">
        <v>-10703.803093643044</v>
      </c>
      <c r="H94">
        <v>-0.8401966353763648</v>
      </c>
      <c r="J94">
        <v>19.117647058823529</v>
      </c>
      <c r="K94">
        <v>204019</v>
      </c>
    </row>
    <row r="95" spans="5:21" x14ac:dyDescent="0.25">
      <c r="E95">
        <v>8</v>
      </c>
      <c r="F95">
        <v>240001.25170557917</v>
      </c>
      <c r="G95">
        <v>-12460.251705579169</v>
      </c>
      <c r="H95">
        <v>-0.97806933361729842</v>
      </c>
      <c r="J95">
        <v>22.058823529411768</v>
      </c>
      <c r="K95">
        <v>206543</v>
      </c>
    </row>
    <row r="96" spans="5:21" x14ac:dyDescent="0.25">
      <c r="E96">
        <v>9</v>
      </c>
      <c r="F96">
        <v>206544.31194619861</v>
      </c>
      <c r="G96">
        <v>1836.6880538013938</v>
      </c>
      <c r="H96">
        <v>0.14417110531082025</v>
      </c>
      <c r="J96">
        <v>25</v>
      </c>
      <c r="K96">
        <v>208381</v>
      </c>
    </row>
    <row r="97" spans="5:11" x14ac:dyDescent="0.25">
      <c r="E97">
        <v>10</v>
      </c>
      <c r="F97">
        <v>216542.11678358019</v>
      </c>
      <c r="G97">
        <v>5300.8832164198102</v>
      </c>
      <c r="H97">
        <v>0.41609362616209339</v>
      </c>
      <c r="J97">
        <v>27.941176470588239</v>
      </c>
      <c r="K97">
        <v>214397</v>
      </c>
    </row>
    <row r="98" spans="5:11" x14ac:dyDescent="0.25">
      <c r="E98">
        <v>11</v>
      </c>
      <c r="F98">
        <v>235288.0008536707</v>
      </c>
      <c r="G98">
        <v>10029.999146329297</v>
      </c>
      <c r="H98">
        <v>0.78730629308554434</v>
      </c>
      <c r="J98">
        <v>30.882352941176471</v>
      </c>
      <c r="K98">
        <v>216722</v>
      </c>
    </row>
    <row r="99" spans="5:11" x14ac:dyDescent="0.25">
      <c r="E99">
        <v>12</v>
      </c>
      <c r="F99">
        <v>221005.42251455411</v>
      </c>
      <c r="G99">
        <v>26865.577485445887</v>
      </c>
      <c r="H99">
        <v>2.1088175495418366</v>
      </c>
      <c r="J99">
        <v>33.82352941176471</v>
      </c>
      <c r="K99">
        <v>219982</v>
      </c>
    </row>
    <row r="100" spans="5:11" x14ac:dyDescent="0.25">
      <c r="E100">
        <v>13</v>
      </c>
      <c r="F100">
        <v>220934.00962285855</v>
      </c>
      <c r="G100">
        <v>26012.990377141454</v>
      </c>
      <c r="H100">
        <v>2.0418935961118563</v>
      </c>
      <c r="J100">
        <v>36.764705882352942</v>
      </c>
      <c r="K100">
        <v>221127</v>
      </c>
    </row>
    <row r="101" spans="5:11" x14ac:dyDescent="0.25">
      <c r="E101">
        <v>14</v>
      </c>
      <c r="F101">
        <v>248535.09226320131</v>
      </c>
      <c r="G101">
        <v>9871.9077367986902</v>
      </c>
      <c r="H101">
        <v>0.77489688409254742</v>
      </c>
      <c r="J101">
        <v>39.705882352941174</v>
      </c>
      <c r="K101">
        <v>221732</v>
      </c>
    </row>
    <row r="102" spans="5:11" x14ac:dyDescent="0.25">
      <c r="E102">
        <v>15</v>
      </c>
      <c r="F102">
        <v>238358.75519658075</v>
      </c>
      <c r="G102">
        <v>-2863.7551965807506</v>
      </c>
      <c r="H102">
        <v>-0.22479089531623697</v>
      </c>
      <c r="J102">
        <v>42.647058823529413</v>
      </c>
      <c r="K102">
        <v>221843</v>
      </c>
    </row>
    <row r="103" spans="5:11" x14ac:dyDescent="0.25">
      <c r="E103">
        <v>16</v>
      </c>
      <c r="F103">
        <v>237216.14892945145</v>
      </c>
      <c r="G103">
        <v>-1360.1489294514467</v>
      </c>
      <c r="H103">
        <v>-0.10676509499829749</v>
      </c>
      <c r="J103">
        <v>45.588235294117652</v>
      </c>
      <c r="K103">
        <v>222560</v>
      </c>
    </row>
    <row r="104" spans="5:11" x14ac:dyDescent="0.25">
      <c r="E104">
        <v>17</v>
      </c>
      <c r="F104">
        <v>210150.66297682552</v>
      </c>
      <c r="G104">
        <v>-6416.6629768255225</v>
      </c>
      <c r="H104">
        <v>-0.50367692644446582</v>
      </c>
      <c r="J104">
        <v>48.529411764705884</v>
      </c>
      <c r="K104">
        <v>222912</v>
      </c>
    </row>
    <row r="105" spans="5:11" x14ac:dyDescent="0.25">
      <c r="E105">
        <v>18</v>
      </c>
      <c r="F105">
        <v>231824.47560643492</v>
      </c>
      <c r="G105">
        <v>-15102.47560643492</v>
      </c>
      <c r="H105">
        <v>-1.185471096522341</v>
      </c>
      <c r="J105">
        <v>51.470588235294116</v>
      </c>
      <c r="K105">
        <v>224173</v>
      </c>
    </row>
    <row r="106" spans="5:11" x14ac:dyDescent="0.25">
      <c r="E106">
        <v>19</v>
      </c>
      <c r="F106">
        <v>228896.54704691604</v>
      </c>
      <c r="G106">
        <v>4652.4529530839645</v>
      </c>
      <c r="H106">
        <v>0.36519499501532388</v>
      </c>
      <c r="J106">
        <v>54.411764705882355</v>
      </c>
      <c r="K106">
        <v>225886</v>
      </c>
    </row>
    <row r="107" spans="5:11" x14ac:dyDescent="0.25">
      <c r="E107">
        <v>20</v>
      </c>
      <c r="F107">
        <v>235966.42332477873</v>
      </c>
      <c r="G107">
        <v>-9084.4233247787342</v>
      </c>
      <c r="H107">
        <v>-0.71308317660913445</v>
      </c>
      <c r="J107">
        <v>57.352941176470594</v>
      </c>
      <c r="K107">
        <v>226882</v>
      </c>
    </row>
    <row r="108" spans="5:11" x14ac:dyDescent="0.25">
      <c r="E108">
        <v>21</v>
      </c>
      <c r="F108">
        <v>212471.58195693197</v>
      </c>
      <c r="G108">
        <v>8655.4180430680281</v>
      </c>
      <c r="H108">
        <v>0.67940834243116877</v>
      </c>
      <c r="J108">
        <v>60.294117647058826</v>
      </c>
      <c r="K108">
        <v>227541</v>
      </c>
    </row>
    <row r="109" spans="5:11" x14ac:dyDescent="0.25">
      <c r="E109">
        <v>22</v>
      </c>
      <c r="F109">
        <v>217434.77792977498</v>
      </c>
      <c r="G109">
        <v>5477.2220702250197</v>
      </c>
      <c r="H109">
        <v>0.42993537104072005</v>
      </c>
      <c r="J109">
        <v>63.235294117647058</v>
      </c>
      <c r="K109">
        <v>230690</v>
      </c>
    </row>
    <row r="110" spans="5:11" x14ac:dyDescent="0.25">
      <c r="E110">
        <v>23</v>
      </c>
      <c r="F110">
        <v>197260.63602577281</v>
      </c>
      <c r="G110">
        <v>-3145.6360257728084</v>
      </c>
      <c r="H110">
        <v>-0.24691717344302</v>
      </c>
      <c r="J110">
        <v>66.176470588235304</v>
      </c>
      <c r="K110">
        <v>230804</v>
      </c>
    </row>
    <row r="111" spans="5:11" x14ac:dyDescent="0.25">
      <c r="E111">
        <v>24</v>
      </c>
      <c r="F111">
        <v>228396.65680504695</v>
      </c>
      <c r="G111">
        <v>-26153.65680504695</v>
      </c>
      <c r="H111">
        <v>-2.0529352285487232</v>
      </c>
      <c r="J111">
        <v>69.117647058823536</v>
      </c>
      <c r="K111">
        <v>233549</v>
      </c>
    </row>
    <row r="112" spans="5:11" x14ac:dyDescent="0.25">
      <c r="E112">
        <v>25</v>
      </c>
      <c r="F112">
        <v>236609.13935003898</v>
      </c>
      <c r="G112">
        <v>-14049.139350038982</v>
      </c>
      <c r="H112">
        <v>-1.1027893084885712</v>
      </c>
      <c r="J112">
        <v>72.058823529411768</v>
      </c>
      <c r="K112">
        <v>235495</v>
      </c>
    </row>
    <row r="113" spans="5:11" x14ac:dyDescent="0.25">
      <c r="E113">
        <v>26</v>
      </c>
      <c r="F113">
        <v>231967.30138982608</v>
      </c>
      <c r="G113">
        <v>-10235.301389826083</v>
      </c>
      <c r="H113">
        <v>-0.80342152359867502</v>
      </c>
      <c r="J113">
        <v>75</v>
      </c>
      <c r="K113">
        <v>235836</v>
      </c>
    </row>
    <row r="114" spans="5:11" x14ac:dyDescent="0.25">
      <c r="E114">
        <v>27</v>
      </c>
      <c r="F114">
        <v>212078.81105260627</v>
      </c>
      <c r="G114">
        <v>-23924.811052606266</v>
      </c>
      <c r="H114">
        <v>-1.8779816456408187</v>
      </c>
      <c r="J114">
        <v>77.941176470588232</v>
      </c>
      <c r="K114">
        <v>235856</v>
      </c>
    </row>
    <row r="115" spans="5:11" x14ac:dyDescent="0.25">
      <c r="E115">
        <v>28</v>
      </c>
      <c r="F115">
        <v>215113.85894966853</v>
      </c>
      <c r="G115">
        <v>-11094.858949668531</v>
      </c>
      <c r="H115">
        <v>-0.87089262367158782</v>
      </c>
      <c r="J115">
        <v>80.882352941176478</v>
      </c>
      <c r="K115">
        <v>245318</v>
      </c>
    </row>
    <row r="116" spans="5:11" x14ac:dyDescent="0.25">
      <c r="E116">
        <v>29</v>
      </c>
      <c r="F116">
        <v>224576.06709933328</v>
      </c>
      <c r="G116">
        <v>-4594.0670993332751</v>
      </c>
      <c r="H116">
        <v>-0.36061198863471883</v>
      </c>
      <c r="J116">
        <v>83.82352941176471</v>
      </c>
      <c r="K116">
        <v>246947</v>
      </c>
    </row>
    <row r="117" spans="5:11" x14ac:dyDescent="0.25">
      <c r="E117">
        <v>30</v>
      </c>
      <c r="F117">
        <v>231146.05313532689</v>
      </c>
      <c r="G117">
        <v>-5260.0531353268889</v>
      </c>
      <c r="H117">
        <v>-0.41288866279941805</v>
      </c>
      <c r="J117">
        <v>86.764705882352942</v>
      </c>
      <c r="K117">
        <v>247871</v>
      </c>
    </row>
    <row r="118" spans="5:11" x14ac:dyDescent="0.25">
      <c r="E118">
        <v>31</v>
      </c>
      <c r="F118">
        <v>205794.47658339498</v>
      </c>
      <c r="G118">
        <v>-4780.4765833949787</v>
      </c>
      <c r="H118">
        <v>-0.37524422915154076</v>
      </c>
      <c r="J118">
        <v>89.705882352941188</v>
      </c>
      <c r="K118">
        <v>256301</v>
      </c>
    </row>
    <row r="119" spans="5:11" x14ac:dyDescent="0.25">
      <c r="E119">
        <v>32</v>
      </c>
      <c r="F119">
        <v>205080.34766643913</v>
      </c>
      <c r="G119">
        <v>1462.6523335608654</v>
      </c>
      <c r="H119">
        <v>0.11481111513655148</v>
      </c>
      <c r="J119">
        <v>92.64705882352942</v>
      </c>
      <c r="K119">
        <v>257444</v>
      </c>
    </row>
    <row r="120" spans="5:11" x14ac:dyDescent="0.25">
      <c r="E120">
        <v>33</v>
      </c>
      <c r="F120">
        <v>211971.69171506289</v>
      </c>
      <c r="G120">
        <v>2425.3082849371131</v>
      </c>
      <c r="H120">
        <v>0.19037493897517505</v>
      </c>
      <c r="J120">
        <v>95.588235294117652</v>
      </c>
      <c r="K120">
        <v>258407</v>
      </c>
    </row>
    <row r="121" spans="5:11" ht="15.75" thickBot="1" x14ac:dyDescent="0.3">
      <c r="E121" s="118">
        <v>34</v>
      </c>
      <c r="F121" s="118">
        <v>195760.96530016558</v>
      </c>
      <c r="G121" s="118">
        <v>-3735.9653001655824</v>
      </c>
      <c r="H121" s="118">
        <v>-0.29325515871514707</v>
      </c>
      <c r="J121" s="118">
        <v>98.529411764705884</v>
      </c>
      <c r="K121" s="118">
        <v>259618</v>
      </c>
    </row>
  </sheetData>
  <sortState xmlns:xlrd2="http://schemas.microsoft.com/office/spreadsheetml/2017/richdata2" ref="K88:K121">
    <sortCondition ref="K88"/>
  </sortState>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22744-9CEB-4F70-8389-E5B14463600F}">
  <dimension ref="A1:AB149"/>
  <sheetViews>
    <sheetView workbookViewId="0"/>
    <sheetView workbookViewId="1"/>
  </sheetViews>
  <sheetFormatPr defaultRowHeight="15" x14ac:dyDescent="0.25"/>
  <cols>
    <col min="15" max="15" width="13.7109375" customWidth="1"/>
  </cols>
  <sheetData>
    <row r="1" spans="1:21" x14ac:dyDescent="0.25">
      <c r="A1" t="s">
        <v>1781</v>
      </c>
    </row>
    <row r="4" spans="1:21" ht="24" x14ac:dyDescent="0.25">
      <c r="A4" s="29" t="s">
        <v>1750</v>
      </c>
    </row>
    <row r="6" spans="1:21" x14ac:dyDescent="0.25">
      <c r="A6" s="253" t="s">
        <v>1751</v>
      </c>
      <c r="B6" s="253" t="s">
        <v>1752</v>
      </c>
      <c r="C6" s="52"/>
      <c r="D6" s="253" t="s">
        <v>1755</v>
      </c>
      <c r="E6" s="253"/>
      <c r="F6" s="253"/>
      <c r="G6" s="253"/>
      <c r="H6" s="253"/>
      <c r="I6" s="253"/>
      <c r="J6" s="253" t="s">
        <v>1756</v>
      </c>
      <c r="K6" s="253"/>
      <c r="L6" s="253" t="s">
        <v>1757</v>
      </c>
      <c r="M6" s="253" t="s">
        <v>1758</v>
      </c>
      <c r="N6" s="253"/>
      <c r="O6" s="253" t="s">
        <v>1759</v>
      </c>
      <c r="P6" s="254"/>
      <c r="Q6" s="254"/>
      <c r="R6" s="254"/>
      <c r="S6" s="254"/>
      <c r="T6" s="253" t="s">
        <v>1766</v>
      </c>
      <c r="U6" s="253"/>
    </row>
    <row r="7" spans="1:21" x14ac:dyDescent="0.25">
      <c r="A7" s="253"/>
      <c r="B7" s="253"/>
      <c r="C7" s="52"/>
      <c r="D7" s="253"/>
      <c r="E7" s="253"/>
      <c r="F7" s="253"/>
      <c r="G7" s="253"/>
      <c r="H7" s="253"/>
      <c r="I7" s="253"/>
      <c r="J7" s="253"/>
      <c r="K7" s="253"/>
      <c r="L7" s="253"/>
      <c r="M7" s="253"/>
      <c r="N7" s="253"/>
      <c r="O7" s="253"/>
      <c r="P7" s="254"/>
      <c r="Q7" s="254"/>
      <c r="R7" s="254"/>
      <c r="S7" s="254"/>
      <c r="T7" s="253"/>
      <c r="U7" s="253"/>
    </row>
    <row r="8" spans="1:21" x14ac:dyDescent="0.25">
      <c r="A8" s="253"/>
      <c r="B8" s="253"/>
      <c r="C8" s="28" t="s">
        <v>1753</v>
      </c>
      <c r="D8" s="253"/>
      <c r="E8" s="253"/>
      <c r="F8" s="253"/>
      <c r="G8" s="253"/>
      <c r="H8" s="253"/>
      <c r="I8" s="253"/>
      <c r="J8" s="253"/>
      <c r="K8" s="253"/>
      <c r="L8" s="253"/>
      <c r="M8" s="253"/>
      <c r="N8" s="253"/>
      <c r="O8" s="253"/>
      <c r="P8" s="254"/>
      <c r="Q8" s="254"/>
      <c r="R8" s="254"/>
      <c r="S8" s="254"/>
      <c r="T8" s="253"/>
      <c r="U8" s="253"/>
    </row>
    <row r="9" spans="1:21" ht="16.5" x14ac:dyDescent="0.25">
      <c r="A9" s="253"/>
      <c r="B9" s="253"/>
      <c r="C9" s="28" t="s">
        <v>1754</v>
      </c>
      <c r="D9" s="253"/>
      <c r="E9" s="253"/>
      <c r="F9" s="253"/>
      <c r="G9" s="253"/>
      <c r="H9" s="253"/>
      <c r="I9" s="253"/>
      <c r="J9" s="253"/>
      <c r="K9" s="253"/>
      <c r="L9" s="253"/>
      <c r="M9" s="253"/>
      <c r="N9" s="253"/>
      <c r="O9" s="253"/>
      <c r="P9" s="254"/>
      <c r="Q9" s="254"/>
      <c r="R9" s="253" t="s">
        <v>1762</v>
      </c>
      <c r="S9" s="253"/>
      <c r="T9" s="253"/>
      <c r="U9" s="253"/>
    </row>
    <row r="10" spans="1:21" ht="15" customHeight="1" x14ac:dyDescent="0.25">
      <c r="A10" s="253"/>
      <c r="B10" s="253"/>
      <c r="C10" s="28"/>
      <c r="D10" s="253"/>
      <c r="E10" s="253"/>
      <c r="F10" s="253"/>
      <c r="G10" s="253"/>
      <c r="H10" s="253"/>
      <c r="I10" s="253"/>
      <c r="J10" s="253"/>
      <c r="K10" s="253"/>
      <c r="L10" s="253"/>
      <c r="M10" s="253"/>
      <c r="N10" s="253"/>
      <c r="O10" s="253"/>
      <c r="P10" s="254"/>
      <c r="Q10" s="254"/>
      <c r="R10" s="253" t="s">
        <v>1763</v>
      </c>
      <c r="S10" s="253"/>
      <c r="T10" s="253"/>
      <c r="U10" s="253"/>
    </row>
    <row r="11" spans="1:21" ht="15" customHeight="1" x14ac:dyDescent="0.25">
      <c r="A11" s="253"/>
      <c r="B11" s="253"/>
      <c r="C11" s="28"/>
      <c r="D11" s="253" t="s">
        <v>1767</v>
      </c>
      <c r="E11" s="253"/>
      <c r="F11" s="253" t="s">
        <v>1769</v>
      </c>
      <c r="G11" s="253" t="s">
        <v>1662</v>
      </c>
      <c r="H11" s="253" t="s">
        <v>1770</v>
      </c>
      <c r="I11" s="253"/>
      <c r="J11" s="253" t="s">
        <v>1771</v>
      </c>
      <c r="K11" s="253"/>
      <c r="L11" s="253"/>
      <c r="M11" s="253"/>
      <c r="N11" s="253"/>
      <c r="O11" s="253"/>
      <c r="P11" s="253" t="s">
        <v>1760</v>
      </c>
      <c r="Q11" s="253"/>
      <c r="R11" s="253" t="s">
        <v>1764</v>
      </c>
      <c r="S11" s="253"/>
      <c r="T11" s="253"/>
      <c r="U11" s="253"/>
    </row>
    <row r="12" spans="1:21" ht="16.5" customHeight="1" x14ac:dyDescent="0.25">
      <c r="A12" s="253"/>
      <c r="B12" s="253"/>
      <c r="C12" s="28"/>
      <c r="D12" s="253" t="s">
        <v>1768</v>
      </c>
      <c r="E12" s="253"/>
      <c r="F12" s="253"/>
      <c r="G12" s="253"/>
      <c r="H12" s="253"/>
      <c r="I12" s="253"/>
      <c r="J12" s="253"/>
      <c r="K12" s="253"/>
      <c r="L12" s="253"/>
      <c r="M12" s="253"/>
      <c r="N12" s="253"/>
      <c r="O12" s="253"/>
      <c r="P12" s="253" t="s">
        <v>1761</v>
      </c>
      <c r="Q12" s="253"/>
      <c r="R12" s="253" t="s">
        <v>1765</v>
      </c>
      <c r="S12" s="253"/>
      <c r="T12" s="253"/>
      <c r="U12" s="253"/>
    </row>
    <row r="13" spans="1:21" ht="30" x14ac:dyDescent="0.25">
      <c r="A13" s="253"/>
      <c r="B13" s="28" t="s">
        <v>1525</v>
      </c>
      <c r="C13" s="28" t="s">
        <v>1773</v>
      </c>
      <c r="D13" s="253" t="s">
        <v>69</v>
      </c>
      <c r="E13" s="253"/>
      <c r="F13" s="253"/>
      <c r="G13" s="253"/>
      <c r="H13" s="253"/>
      <c r="I13" s="253"/>
      <c r="J13" s="253"/>
      <c r="K13" s="253"/>
      <c r="L13" s="253"/>
      <c r="M13" s="253"/>
      <c r="N13" s="253"/>
      <c r="O13" s="28" t="s">
        <v>1775</v>
      </c>
      <c r="P13" s="253"/>
      <c r="Q13" s="253"/>
      <c r="R13" s="253"/>
      <c r="S13" s="253"/>
      <c r="T13" s="253"/>
      <c r="U13" s="253"/>
    </row>
    <row r="14" spans="1:21" ht="30" x14ac:dyDescent="0.25">
      <c r="A14" s="253"/>
      <c r="B14" s="28" t="s">
        <v>1772</v>
      </c>
      <c r="C14" s="28" t="s">
        <v>1774</v>
      </c>
      <c r="D14" s="253"/>
      <c r="E14" s="253"/>
      <c r="F14" s="253"/>
      <c r="G14" s="253"/>
      <c r="H14" s="253"/>
      <c r="I14" s="253"/>
      <c r="J14" s="253"/>
      <c r="K14" s="253"/>
      <c r="L14" s="253"/>
      <c r="M14" s="253"/>
      <c r="N14" s="253"/>
      <c r="O14" s="28" t="s">
        <v>1776</v>
      </c>
      <c r="P14" s="253"/>
      <c r="Q14" s="253"/>
      <c r="R14" s="253"/>
      <c r="S14" s="253"/>
      <c r="T14" s="253"/>
      <c r="U14" s="253"/>
    </row>
    <row r="15" spans="1:21" x14ac:dyDescent="0.25">
      <c r="A15" s="27">
        <v>1960</v>
      </c>
      <c r="B15" s="27">
        <v>487</v>
      </c>
      <c r="C15" s="27">
        <v>45</v>
      </c>
      <c r="D15" s="53">
        <v>34305</v>
      </c>
      <c r="E15" s="27"/>
      <c r="F15" s="27">
        <v>631</v>
      </c>
      <c r="G15" s="53">
        <v>4858</v>
      </c>
      <c r="H15" s="53">
        <v>39794</v>
      </c>
      <c r="I15" s="27"/>
      <c r="J15" s="27" t="s">
        <v>1777</v>
      </c>
      <c r="K15" s="27"/>
      <c r="L15" s="27" t="s">
        <v>1777</v>
      </c>
      <c r="M15" s="27" t="s">
        <v>1777</v>
      </c>
      <c r="N15" s="27"/>
      <c r="O15" s="53">
        <v>4190</v>
      </c>
      <c r="P15" s="27" t="s">
        <v>1777</v>
      </c>
      <c r="Q15" s="27"/>
      <c r="R15" s="27" t="s">
        <v>1777</v>
      </c>
      <c r="S15" s="27"/>
      <c r="T15" s="27" t="s">
        <v>1777</v>
      </c>
      <c r="U15" s="27"/>
    </row>
    <row r="16" spans="1:21" x14ac:dyDescent="0.25">
      <c r="A16" s="27">
        <v>1961</v>
      </c>
      <c r="B16" s="27">
        <v>384</v>
      </c>
      <c r="C16" s="27">
        <v>50</v>
      </c>
      <c r="D16" s="53">
        <v>35292</v>
      </c>
      <c r="E16" s="27"/>
      <c r="F16" s="27">
        <v>560</v>
      </c>
      <c r="G16" s="53">
        <v>4719</v>
      </c>
      <c r="H16" s="53">
        <v>40571</v>
      </c>
      <c r="I16" s="27"/>
      <c r="J16" s="27" t="s">
        <v>1777</v>
      </c>
      <c r="K16" s="27"/>
      <c r="L16" s="27" t="s">
        <v>1777</v>
      </c>
      <c r="M16" s="27" t="s">
        <v>1777</v>
      </c>
      <c r="N16" s="27"/>
      <c r="O16" s="53">
        <v>4466</v>
      </c>
      <c r="P16" s="27" t="s">
        <v>1777</v>
      </c>
      <c r="Q16" s="27"/>
      <c r="R16" s="27" t="s">
        <v>1777</v>
      </c>
      <c r="S16" s="27"/>
      <c r="T16" s="27" t="s">
        <v>1777</v>
      </c>
      <c r="U16" s="27"/>
    </row>
    <row r="17" spans="1:21" x14ac:dyDescent="0.25">
      <c r="A17" s="27">
        <v>1962</v>
      </c>
      <c r="B17" s="27">
        <v>368</v>
      </c>
      <c r="C17" s="27">
        <v>54</v>
      </c>
      <c r="D17" s="53">
        <v>36192</v>
      </c>
      <c r="E17" s="27"/>
      <c r="F17" s="27">
        <v>676</v>
      </c>
      <c r="G17" s="53">
        <v>4587</v>
      </c>
      <c r="H17" s="53">
        <v>41455</v>
      </c>
      <c r="I17" s="27"/>
      <c r="J17" s="27" t="s">
        <v>1777</v>
      </c>
      <c r="K17" s="27"/>
      <c r="L17" s="27" t="s">
        <v>1777</v>
      </c>
      <c r="M17" s="27" t="s">
        <v>1777</v>
      </c>
      <c r="N17" s="27"/>
      <c r="O17" s="53">
        <v>4718</v>
      </c>
      <c r="P17" s="27" t="s">
        <v>1777</v>
      </c>
      <c r="Q17" s="27"/>
      <c r="R17" s="27" t="s">
        <v>1777</v>
      </c>
      <c r="S17" s="27"/>
      <c r="T17" s="27" t="s">
        <v>1777</v>
      </c>
      <c r="U17" s="27"/>
    </row>
    <row r="18" spans="1:21" x14ac:dyDescent="0.25">
      <c r="A18" s="27">
        <v>1963</v>
      </c>
      <c r="B18" s="27">
        <v>271</v>
      </c>
      <c r="C18" s="27">
        <v>58</v>
      </c>
      <c r="D18" s="53">
        <v>34276</v>
      </c>
      <c r="E18" s="27"/>
      <c r="F18" s="27">
        <v>696</v>
      </c>
      <c r="G18" s="53">
        <v>4087</v>
      </c>
      <c r="H18" s="53">
        <v>39059</v>
      </c>
      <c r="I18" s="27"/>
      <c r="J18" s="27" t="s">
        <v>1777</v>
      </c>
      <c r="K18" s="27"/>
      <c r="L18" s="27" t="s">
        <v>1777</v>
      </c>
      <c r="M18" s="27" t="s">
        <v>1777</v>
      </c>
      <c r="N18" s="27"/>
      <c r="O18" s="53">
        <v>5030</v>
      </c>
      <c r="P18" s="27" t="s">
        <v>1777</v>
      </c>
      <c r="Q18" s="27"/>
      <c r="R18" s="27" t="s">
        <v>1777</v>
      </c>
      <c r="S18" s="27"/>
      <c r="T18" s="27" t="s">
        <v>1777</v>
      </c>
      <c r="U18" s="27"/>
    </row>
    <row r="19" spans="1:21" x14ac:dyDescent="0.25">
      <c r="A19" s="27">
        <v>1964</v>
      </c>
      <c r="B19" s="27">
        <v>256</v>
      </c>
      <c r="C19" s="27">
        <v>62</v>
      </c>
      <c r="D19" s="53">
        <v>33151</v>
      </c>
      <c r="E19" s="27"/>
      <c r="F19" s="27">
        <v>696</v>
      </c>
      <c r="G19" s="53">
        <v>3270</v>
      </c>
      <c r="H19" s="53">
        <v>37118</v>
      </c>
      <c r="I19" s="27"/>
      <c r="J19" s="27" t="s">
        <v>1777</v>
      </c>
      <c r="K19" s="27"/>
      <c r="L19" s="27" t="s">
        <v>1777</v>
      </c>
      <c r="M19" s="27" t="s">
        <v>1777</v>
      </c>
      <c r="N19" s="27"/>
      <c r="O19" s="53">
        <v>5361</v>
      </c>
      <c r="P19" s="27" t="s">
        <v>1777</v>
      </c>
      <c r="Q19" s="27"/>
      <c r="R19" s="27" t="s">
        <v>1777</v>
      </c>
      <c r="S19" s="27"/>
      <c r="T19" s="27" t="s">
        <v>1777</v>
      </c>
      <c r="U19" s="27"/>
    </row>
    <row r="20" spans="1:21" x14ac:dyDescent="0.25">
      <c r="A20" s="27">
        <v>1965</v>
      </c>
      <c r="B20" s="27">
        <v>210</v>
      </c>
      <c r="C20" s="27">
        <v>65</v>
      </c>
      <c r="D20" s="53">
        <v>37082</v>
      </c>
      <c r="E20" s="27"/>
      <c r="F20" s="27">
        <v>777</v>
      </c>
      <c r="G20" s="53">
        <v>2682</v>
      </c>
      <c r="H20" s="53">
        <v>40541</v>
      </c>
      <c r="I20" s="27"/>
      <c r="J20" s="27" t="s">
        <v>1777</v>
      </c>
      <c r="K20" s="27"/>
      <c r="L20" s="27" t="s">
        <v>1777</v>
      </c>
      <c r="M20" s="27" t="s">
        <v>1777</v>
      </c>
      <c r="N20" s="27"/>
      <c r="O20" s="53">
        <v>5766</v>
      </c>
      <c r="P20" s="27" t="s">
        <v>1777</v>
      </c>
      <c r="Q20" s="27"/>
      <c r="R20" s="27" t="s">
        <v>1777</v>
      </c>
      <c r="S20" s="27"/>
      <c r="T20" s="27" t="s">
        <v>1777</v>
      </c>
      <c r="U20" s="27"/>
    </row>
    <row r="21" spans="1:21" x14ac:dyDescent="0.25">
      <c r="A21" s="27">
        <v>1966</v>
      </c>
      <c r="B21" s="27">
        <v>190</v>
      </c>
      <c r="C21" s="27">
        <v>66</v>
      </c>
      <c r="D21" s="53">
        <v>33128</v>
      </c>
      <c r="E21" s="27"/>
      <c r="F21" s="27">
        <v>681</v>
      </c>
      <c r="G21" s="53">
        <v>1905</v>
      </c>
      <c r="H21" s="53">
        <v>35713</v>
      </c>
      <c r="I21" s="27"/>
      <c r="J21" s="27" t="s">
        <v>1777</v>
      </c>
      <c r="K21" s="27"/>
      <c r="L21" s="27" t="s">
        <v>1777</v>
      </c>
      <c r="M21" s="27" t="s">
        <v>1777</v>
      </c>
      <c r="N21" s="27"/>
      <c r="O21" s="53">
        <v>6222</v>
      </c>
      <c r="P21" s="27" t="s">
        <v>1777</v>
      </c>
      <c r="Q21" s="27"/>
      <c r="R21" s="27" t="s">
        <v>1777</v>
      </c>
      <c r="S21" s="27"/>
      <c r="T21" s="27" t="s">
        <v>1777</v>
      </c>
      <c r="U21" s="27"/>
    </row>
    <row r="22" spans="1:21" x14ac:dyDescent="0.25">
      <c r="A22" s="27">
        <v>1967</v>
      </c>
      <c r="B22" s="27">
        <v>173</v>
      </c>
      <c r="C22" s="27">
        <v>73</v>
      </c>
      <c r="D22" s="53">
        <v>35775</v>
      </c>
      <c r="E22" s="27"/>
      <c r="F22" s="27">
        <v>683</v>
      </c>
      <c r="G22" s="53">
        <v>1635</v>
      </c>
      <c r="H22" s="53">
        <v>38093</v>
      </c>
      <c r="I22" s="27"/>
      <c r="J22" s="27" t="s">
        <v>1777</v>
      </c>
      <c r="K22" s="27"/>
      <c r="L22" s="27" t="s">
        <v>1777</v>
      </c>
      <c r="M22" s="27" t="s">
        <v>1777</v>
      </c>
      <c r="N22" s="27"/>
      <c r="O22" s="53">
        <v>6929</v>
      </c>
      <c r="P22" s="27" t="s">
        <v>1777</v>
      </c>
      <c r="Q22" s="27"/>
      <c r="R22" s="27" t="s">
        <v>1777</v>
      </c>
      <c r="S22" s="27"/>
      <c r="T22" s="27" t="s">
        <v>1777</v>
      </c>
      <c r="U22" s="27"/>
    </row>
    <row r="23" spans="1:21" x14ac:dyDescent="0.25">
      <c r="A23" s="27">
        <v>1968</v>
      </c>
      <c r="B23" s="27">
        <v>163</v>
      </c>
      <c r="C23" s="27">
        <v>75</v>
      </c>
      <c r="D23" s="53">
        <v>36820</v>
      </c>
      <c r="E23" s="27"/>
      <c r="F23" s="27">
        <v>733</v>
      </c>
      <c r="G23" s="53">
        <v>1415</v>
      </c>
      <c r="H23" s="53">
        <v>38969</v>
      </c>
      <c r="I23" s="27"/>
      <c r="J23" s="27" t="s">
        <v>1777</v>
      </c>
      <c r="K23" s="27"/>
      <c r="L23" s="27" t="s">
        <v>1777</v>
      </c>
      <c r="M23" s="27" t="s">
        <v>1777</v>
      </c>
      <c r="N23" s="27"/>
      <c r="O23" s="53">
        <v>7578</v>
      </c>
      <c r="P23" s="27" t="s">
        <v>1777</v>
      </c>
      <c r="Q23" s="27"/>
      <c r="R23" s="27" t="s">
        <v>1777</v>
      </c>
      <c r="S23" s="27"/>
      <c r="T23" s="27" t="s">
        <v>1777</v>
      </c>
      <c r="U23" s="27"/>
    </row>
    <row r="24" spans="1:21" x14ac:dyDescent="0.25">
      <c r="A24" s="27">
        <v>1969</v>
      </c>
      <c r="B24" s="27">
        <v>126</v>
      </c>
      <c r="C24" s="27">
        <v>78</v>
      </c>
      <c r="D24" s="53">
        <v>37934</v>
      </c>
      <c r="E24" s="27"/>
      <c r="F24" s="27">
        <v>821</v>
      </c>
      <c r="G24" s="53">
        <v>1420</v>
      </c>
      <c r="H24" s="53">
        <v>40175</v>
      </c>
      <c r="I24" s="27"/>
      <c r="J24" s="27" t="s">
        <v>1777</v>
      </c>
      <c r="K24" s="27"/>
      <c r="L24" s="27" t="s">
        <v>1777</v>
      </c>
      <c r="M24" s="27" t="s">
        <v>1777</v>
      </c>
      <c r="N24" s="27"/>
      <c r="O24" s="53">
        <v>8406</v>
      </c>
      <c r="P24" s="27" t="s">
        <v>1777</v>
      </c>
      <c r="Q24" s="27"/>
      <c r="R24" s="27" t="s">
        <v>1777</v>
      </c>
      <c r="S24" s="27"/>
      <c r="T24" s="27" t="s">
        <v>1777</v>
      </c>
      <c r="U24" s="27"/>
    </row>
    <row r="25" spans="1:21" x14ac:dyDescent="0.25">
      <c r="A25" s="27">
        <v>1970</v>
      </c>
      <c r="B25" s="27">
        <v>104</v>
      </c>
      <c r="C25" s="27">
        <v>83</v>
      </c>
      <c r="D25" s="53">
        <v>38530</v>
      </c>
      <c r="E25" s="27"/>
      <c r="F25" s="27">
        <v>784</v>
      </c>
      <c r="G25" s="53">
        <v>1434</v>
      </c>
      <c r="H25" s="53">
        <v>40748</v>
      </c>
      <c r="I25" s="27"/>
      <c r="J25" s="27" t="s">
        <v>1777</v>
      </c>
      <c r="K25" s="27"/>
      <c r="L25" s="27" t="s">
        <v>1777</v>
      </c>
      <c r="M25" s="27" t="s">
        <v>1777</v>
      </c>
      <c r="N25" s="27"/>
      <c r="O25" s="53">
        <v>9335</v>
      </c>
      <c r="P25" s="27" t="s">
        <v>1777</v>
      </c>
      <c r="Q25" s="27"/>
      <c r="R25" s="27" t="s">
        <v>1777</v>
      </c>
      <c r="S25" s="27"/>
      <c r="T25" s="27" t="s">
        <v>1777</v>
      </c>
      <c r="U25" s="27"/>
    </row>
    <row r="26" spans="1:21" x14ac:dyDescent="0.25">
      <c r="A26" s="27">
        <v>1971</v>
      </c>
      <c r="B26" s="27">
        <v>83</v>
      </c>
      <c r="C26" s="27">
        <v>83</v>
      </c>
      <c r="D26" s="53">
        <v>40113</v>
      </c>
      <c r="E26" s="27"/>
      <c r="F26" s="27">
        <v>792</v>
      </c>
      <c r="G26" s="53">
        <v>1427</v>
      </c>
      <c r="H26" s="53">
        <v>42332</v>
      </c>
      <c r="I26" s="27"/>
      <c r="J26" s="27" t="s">
        <v>1777</v>
      </c>
      <c r="K26" s="27"/>
      <c r="L26" s="27" t="s">
        <v>1777</v>
      </c>
      <c r="M26" s="27" t="s">
        <v>1777</v>
      </c>
      <c r="N26" s="27"/>
      <c r="O26" s="53">
        <v>10200</v>
      </c>
      <c r="P26" s="27" t="s">
        <v>1777</v>
      </c>
      <c r="Q26" s="27"/>
      <c r="R26" s="27" t="s">
        <v>1777</v>
      </c>
      <c r="S26" s="27"/>
      <c r="T26" s="27" t="s">
        <v>1777</v>
      </c>
      <c r="U26" s="27"/>
    </row>
    <row r="27" spans="1:21" x14ac:dyDescent="0.25">
      <c r="A27" s="27">
        <v>1972</v>
      </c>
      <c r="B27" s="27">
        <v>56</v>
      </c>
      <c r="C27" s="27">
        <v>86</v>
      </c>
      <c r="D27" s="53">
        <v>41406</v>
      </c>
      <c r="E27" s="27"/>
      <c r="F27" s="27">
        <v>880</v>
      </c>
      <c r="G27" s="53">
        <v>1512</v>
      </c>
      <c r="H27" s="53">
        <v>43798</v>
      </c>
      <c r="I27" s="27"/>
      <c r="J27" s="27" t="s">
        <v>1777</v>
      </c>
      <c r="K27" s="27"/>
      <c r="L27" s="27" t="s">
        <v>1777</v>
      </c>
      <c r="M27" s="27" t="s">
        <v>1777</v>
      </c>
      <c r="N27" s="27"/>
      <c r="O27" s="53">
        <v>10965</v>
      </c>
      <c r="P27" s="27" t="s">
        <v>1777</v>
      </c>
      <c r="Q27" s="27"/>
      <c r="R27" s="27" t="s">
        <v>1777</v>
      </c>
      <c r="S27" s="27"/>
      <c r="T27" s="27" t="s">
        <v>1777</v>
      </c>
      <c r="U27" s="27"/>
    </row>
    <row r="28" spans="1:21" x14ac:dyDescent="0.25">
      <c r="A28" s="27">
        <v>1973</v>
      </c>
      <c r="B28" s="27">
        <v>52</v>
      </c>
      <c r="C28" s="27">
        <v>84</v>
      </c>
      <c r="D28" s="53">
        <v>41628</v>
      </c>
      <c r="E28" s="27"/>
      <c r="F28" s="27">
        <v>810</v>
      </c>
      <c r="G28" s="53">
        <v>1041</v>
      </c>
      <c r="H28" s="53">
        <v>43478</v>
      </c>
      <c r="I28" s="27"/>
      <c r="J28" s="27" t="s">
        <v>1777</v>
      </c>
      <c r="K28" s="27"/>
      <c r="L28" s="27" t="s">
        <v>1777</v>
      </c>
      <c r="M28" s="27" t="s">
        <v>1777</v>
      </c>
      <c r="N28" s="27"/>
      <c r="O28" s="53">
        <v>11715</v>
      </c>
      <c r="P28" s="27" t="s">
        <v>1777</v>
      </c>
      <c r="Q28" s="27"/>
      <c r="R28" s="27" t="s">
        <v>1777</v>
      </c>
      <c r="S28" s="27"/>
      <c r="T28" s="27" t="s">
        <v>1777</v>
      </c>
      <c r="U28" s="27"/>
    </row>
    <row r="29" spans="1:21" x14ac:dyDescent="0.25">
      <c r="A29" s="27">
        <v>1974</v>
      </c>
      <c r="B29" s="27">
        <v>42</v>
      </c>
      <c r="C29" s="27">
        <v>85</v>
      </c>
      <c r="D29" s="53">
        <v>39084</v>
      </c>
      <c r="E29" s="27"/>
      <c r="F29" s="27">
        <v>795</v>
      </c>
      <c r="G29" s="27">
        <v>637</v>
      </c>
      <c r="H29" s="53">
        <v>40516</v>
      </c>
      <c r="I29" s="27"/>
      <c r="J29" s="27" t="s">
        <v>1777</v>
      </c>
      <c r="K29" s="27"/>
      <c r="L29" s="27" t="s">
        <v>1777</v>
      </c>
      <c r="M29" s="27" t="s">
        <v>1777</v>
      </c>
      <c r="N29" s="27"/>
      <c r="O29" s="53">
        <v>11443</v>
      </c>
      <c r="P29" s="27" t="s">
        <v>1777</v>
      </c>
      <c r="Q29" s="27"/>
      <c r="R29" s="27" t="s">
        <v>1777</v>
      </c>
      <c r="S29" s="27"/>
      <c r="T29" s="27" t="s">
        <v>1777</v>
      </c>
      <c r="U29" s="27"/>
    </row>
    <row r="30" spans="1:21" x14ac:dyDescent="0.25">
      <c r="A30" s="27">
        <v>1975</v>
      </c>
      <c r="B30" s="27">
        <v>30</v>
      </c>
      <c r="C30" s="27">
        <v>90</v>
      </c>
      <c r="D30" s="53">
        <v>37860</v>
      </c>
      <c r="E30" s="27"/>
      <c r="F30" s="27">
        <v>845</v>
      </c>
      <c r="G30" s="27">
        <v>591</v>
      </c>
      <c r="H30" s="53">
        <v>39295</v>
      </c>
      <c r="I30" s="27"/>
      <c r="J30" s="27" t="s">
        <v>1777</v>
      </c>
      <c r="K30" s="27"/>
      <c r="L30" s="27" t="s">
        <v>1777</v>
      </c>
      <c r="M30" s="27" t="s">
        <v>1777</v>
      </c>
      <c r="N30" s="27"/>
      <c r="O30" s="53">
        <v>10648</v>
      </c>
      <c r="P30" s="27" t="s">
        <v>1777</v>
      </c>
      <c r="Q30" s="27"/>
      <c r="R30" s="27" t="s">
        <v>1777</v>
      </c>
      <c r="S30" s="27"/>
      <c r="T30" s="27" t="s">
        <v>1777</v>
      </c>
      <c r="U30" s="27"/>
    </row>
    <row r="31" spans="1:21" x14ac:dyDescent="0.25">
      <c r="A31" s="27">
        <v>1976</v>
      </c>
      <c r="B31" s="27">
        <v>28</v>
      </c>
      <c r="C31" s="27">
        <v>95</v>
      </c>
      <c r="D31" s="53">
        <v>41000</v>
      </c>
      <c r="E31" s="27"/>
      <c r="F31" s="27">
        <v>893</v>
      </c>
      <c r="G31" s="27">
        <v>644</v>
      </c>
      <c r="H31" s="53">
        <v>42537</v>
      </c>
      <c r="I31" s="27"/>
      <c r="J31" s="27" t="s">
        <v>1777</v>
      </c>
      <c r="K31" s="27"/>
      <c r="L31" s="27" t="s">
        <v>1777</v>
      </c>
      <c r="M31" s="27" t="s">
        <v>1777</v>
      </c>
      <c r="N31" s="27"/>
      <c r="O31" s="53">
        <v>11227</v>
      </c>
      <c r="P31" s="27" t="s">
        <v>1777</v>
      </c>
      <c r="Q31" s="27"/>
      <c r="R31" s="27" t="s">
        <v>1777</v>
      </c>
      <c r="S31" s="27"/>
      <c r="T31" s="27" t="s">
        <v>1777</v>
      </c>
      <c r="U31" s="27"/>
    </row>
    <row r="32" spans="1:21" x14ac:dyDescent="0.25">
      <c r="A32" s="27">
        <v>1977</v>
      </c>
      <c r="B32" s="27">
        <v>26</v>
      </c>
      <c r="C32" s="27">
        <v>93</v>
      </c>
      <c r="D32" s="53">
        <v>39889</v>
      </c>
      <c r="E32" s="27"/>
      <c r="F32" s="27">
        <v>988</v>
      </c>
      <c r="G32" s="27">
        <v>672</v>
      </c>
      <c r="H32" s="53">
        <v>41549</v>
      </c>
      <c r="I32" s="27"/>
      <c r="J32" s="27" t="s">
        <v>1777</v>
      </c>
      <c r="K32" s="27"/>
      <c r="L32" s="27" t="s">
        <v>1777</v>
      </c>
      <c r="M32" s="27" t="s">
        <v>1777</v>
      </c>
      <c r="N32" s="27"/>
      <c r="O32" s="53">
        <v>11089</v>
      </c>
      <c r="P32" s="27" t="s">
        <v>1777</v>
      </c>
      <c r="Q32" s="27"/>
      <c r="R32" s="27" t="s">
        <v>1777</v>
      </c>
      <c r="S32" s="27"/>
      <c r="T32" s="27" t="s">
        <v>1777</v>
      </c>
      <c r="U32" s="27"/>
    </row>
    <row r="33" spans="1:21" x14ac:dyDescent="0.25">
      <c r="A33" s="27">
        <v>1978</v>
      </c>
      <c r="B33" s="27">
        <v>15</v>
      </c>
      <c r="C33" s="27">
        <v>87</v>
      </c>
      <c r="D33" s="53">
        <v>38110</v>
      </c>
      <c r="E33" s="27"/>
      <c r="F33" s="27">
        <v>949</v>
      </c>
      <c r="G33" s="27">
        <v>456</v>
      </c>
      <c r="H33" s="53">
        <v>39515</v>
      </c>
      <c r="I33" s="27"/>
      <c r="J33" s="27" t="s">
        <v>1777</v>
      </c>
      <c r="K33" s="27"/>
      <c r="L33" s="27" t="s">
        <v>1777</v>
      </c>
      <c r="M33" s="27" t="s">
        <v>1777</v>
      </c>
      <c r="N33" s="27"/>
      <c r="O33" s="53">
        <v>11242</v>
      </c>
      <c r="P33" s="27" t="s">
        <v>1777</v>
      </c>
      <c r="Q33" s="27"/>
      <c r="R33" s="27" t="s">
        <v>1777</v>
      </c>
      <c r="S33" s="27"/>
      <c r="T33" s="27" t="s">
        <v>1777</v>
      </c>
      <c r="U33" s="27"/>
    </row>
    <row r="34" spans="1:21" x14ac:dyDescent="0.25">
      <c r="A34" s="27">
        <v>1979</v>
      </c>
      <c r="B34" s="27">
        <v>11</v>
      </c>
      <c r="C34" s="27">
        <v>81</v>
      </c>
      <c r="D34" s="53">
        <v>26272</v>
      </c>
      <c r="E34" s="27"/>
      <c r="F34" s="27">
        <v>542</v>
      </c>
      <c r="G34" s="27">
        <v>433</v>
      </c>
      <c r="H34" s="53">
        <v>27247</v>
      </c>
      <c r="I34" s="27"/>
      <c r="J34" s="27" t="s">
        <v>1777</v>
      </c>
      <c r="K34" s="27"/>
      <c r="L34" s="27" t="s">
        <v>1777</v>
      </c>
      <c r="M34" s="27" t="s">
        <v>1777</v>
      </c>
      <c r="N34" s="27"/>
      <c r="O34" s="53">
        <v>11422</v>
      </c>
      <c r="P34" s="27" t="s">
        <v>1777</v>
      </c>
      <c r="Q34" s="27"/>
      <c r="R34" s="27" t="s">
        <v>1777</v>
      </c>
      <c r="S34" s="27"/>
      <c r="T34" s="27" t="s">
        <v>1777</v>
      </c>
      <c r="U34" s="27"/>
    </row>
    <row r="35" spans="1:21" x14ac:dyDescent="0.25">
      <c r="A35" s="27">
        <v>1980</v>
      </c>
      <c r="B35" s="27">
        <v>21</v>
      </c>
      <c r="C35" s="27">
        <v>94</v>
      </c>
      <c r="D35" s="53">
        <v>22712</v>
      </c>
      <c r="E35" s="27"/>
      <c r="F35" s="27">
        <v>567</v>
      </c>
      <c r="G35" s="27">
        <v>323</v>
      </c>
      <c r="H35" s="53">
        <v>23602</v>
      </c>
      <c r="I35" s="27"/>
      <c r="J35" s="27" t="s">
        <v>1777</v>
      </c>
      <c r="K35" s="27"/>
      <c r="L35" s="27" t="s">
        <v>1777</v>
      </c>
      <c r="M35" s="27" t="s">
        <v>1777</v>
      </c>
      <c r="N35" s="27"/>
      <c r="O35" s="53">
        <v>11571</v>
      </c>
      <c r="P35" s="27" t="s">
        <v>1777</v>
      </c>
      <c r="Q35" s="27"/>
      <c r="R35" s="27" t="s">
        <v>1777</v>
      </c>
      <c r="S35" s="27"/>
      <c r="T35" s="27" t="s">
        <v>1777</v>
      </c>
      <c r="U35" s="27"/>
    </row>
    <row r="36" spans="1:21" x14ac:dyDescent="0.25">
      <c r="A36" s="27">
        <v>1981</v>
      </c>
      <c r="B36" s="27">
        <v>23</v>
      </c>
      <c r="C36" s="27">
        <v>97</v>
      </c>
      <c r="D36" s="53">
        <v>18702</v>
      </c>
      <c r="E36" s="27"/>
      <c r="F36" s="27">
        <v>599</v>
      </c>
      <c r="G36" s="27">
        <v>181</v>
      </c>
      <c r="H36" s="53">
        <v>19482</v>
      </c>
      <c r="I36" s="27"/>
      <c r="J36" s="27" t="s">
        <v>1777</v>
      </c>
      <c r="K36" s="27"/>
      <c r="L36" s="27" t="s">
        <v>1777</v>
      </c>
      <c r="M36" s="27" t="s">
        <v>1777</v>
      </c>
      <c r="N36" s="27"/>
      <c r="O36" s="53">
        <v>11684</v>
      </c>
      <c r="P36" s="27" t="s">
        <v>1777</v>
      </c>
      <c r="Q36" s="27"/>
      <c r="R36" s="27" t="s">
        <v>1777</v>
      </c>
      <c r="S36" s="27"/>
      <c r="T36" s="27" t="s">
        <v>1777</v>
      </c>
      <c r="U36" s="27"/>
    </row>
    <row r="37" spans="1:21" x14ac:dyDescent="0.25">
      <c r="A37" s="27">
        <v>1982</v>
      </c>
      <c r="B37" s="27">
        <v>26</v>
      </c>
      <c r="C37" s="27">
        <v>98</v>
      </c>
      <c r="D37" s="53">
        <v>18086</v>
      </c>
      <c r="E37" s="27"/>
      <c r="F37" s="27">
        <v>599</v>
      </c>
      <c r="G37" s="27">
        <v>510</v>
      </c>
      <c r="H37" s="53">
        <v>19195</v>
      </c>
      <c r="I37" s="27"/>
      <c r="J37" s="27" t="s">
        <v>1777</v>
      </c>
      <c r="K37" s="27"/>
      <c r="L37" s="27" t="s">
        <v>1777</v>
      </c>
      <c r="M37" s="27" t="s">
        <v>1777</v>
      </c>
      <c r="N37" s="27"/>
      <c r="O37" s="53">
        <v>11986</v>
      </c>
      <c r="P37" s="27" t="s">
        <v>1777</v>
      </c>
      <c r="Q37" s="27"/>
      <c r="R37" s="27" t="s">
        <v>1777</v>
      </c>
      <c r="S37" s="27"/>
      <c r="T37" s="27" t="s">
        <v>1777</v>
      </c>
      <c r="U37" s="27"/>
    </row>
    <row r="38" spans="1:21" x14ac:dyDescent="0.25">
      <c r="A38" s="27">
        <v>1983</v>
      </c>
      <c r="B38" s="27">
        <v>22</v>
      </c>
      <c r="C38" s="27">
        <v>92</v>
      </c>
      <c r="D38" s="53">
        <v>17563</v>
      </c>
      <c r="E38" s="27"/>
      <c r="F38" s="27">
        <v>712</v>
      </c>
      <c r="G38" s="27">
        <v>164</v>
      </c>
      <c r="H38" s="53">
        <v>18439</v>
      </c>
      <c r="I38" s="27"/>
      <c r="J38" s="27" t="s">
        <v>1777</v>
      </c>
      <c r="K38" s="27"/>
      <c r="L38" s="27" t="s">
        <v>1777</v>
      </c>
      <c r="M38" s="27" t="s">
        <v>1777</v>
      </c>
      <c r="N38" s="27"/>
      <c r="O38" s="53">
        <v>12436</v>
      </c>
      <c r="P38" s="27" t="s">
        <v>1777</v>
      </c>
      <c r="Q38" s="27"/>
      <c r="R38" s="27" t="s">
        <v>1777</v>
      </c>
      <c r="S38" s="27"/>
      <c r="T38" s="27" t="s">
        <v>1777</v>
      </c>
      <c r="U38" s="27"/>
    </row>
    <row r="39" spans="1:21" x14ac:dyDescent="0.25">
      <c r="A39" s="27">
        <v>1984</v>
      </c>
      <c r="B39" s="27">
        <v>41</v>
      </c>
      <c r="C39" s="27">
        <v>97</v>
      </c>
      <c r="D39" s="53">
        <v>20657</v>
      </c>
      <c r="E39" s="27"/>
      <c r="F39" s="27">
        <v>722</v>
      </c>
      <c r="G39" s="27">
        <v>684</v>
      </c>
      <c r="H39" s="53">
        <v>22063</v>
      </c>
      <c r="I39" s="27"/>
      <c r="J39" s="27" t="s">
        <v>1777</v>
      </c>
      <c r="K39" s="27"/>
      <c r="L39" s="27" t="s">
        <v>1777</v>
      </c>
      <c r="M39" s="27" t="s">
        <v>1777</v>
      </c>
      <c r="N39" s="27"/>
      <c r="O39" s="53">
        <v>12702</v>
      </c>
      <c r="P39" s="27" t="s">
        <v>1777</v>
      </c>
      <c r="Q39" s="27"/>
      <c r="R39" s="27" t="s">
        <v>1777</v>
      </c>
      <c r="S39" s="27"/>
      <c r="T39" s="27" t="s">
        <v>1777</v>
      </c>
      <c r="U39" s="27"/>
    </row>
    <row r="40" spans="1:21" x14ac:dyDescent="0.25">
      <c r="A40" s="27">
        <v>1985</v>
      </c>
      <c r="B40" s="27">
        <v>30</v>
      </c>
      <c r="C40" s="27">
        <v>98</v>
      </c>
      <c r="D40" s="53">
        <v>20064</v>
      </c>
      <c r="E40" s="27"/>
      <c r="F40" s="27">
        <v>858</v>
      </c>
      <c r="G40" s="27">
        <v>577</v>
      </c>
      <c r="H40" s="53">
        <v>21499</v>
      </c>
      <c r="I40" s="27"/>
      <c r="J40" s="27" t="s">
        <v>1777</v>
      </c>
      <c r="K40" s="27"/>
      <c r="L40" s="27" t="s">
        <v>1777</v>
      </c>
      <c r="M40" s="27" t="s">
        <v>1777</v>
      </c>
      <c r="N40" s="27"/>
      <c r="O40" s="53">
        <v>12907</v>
      </c>
      <c r="P40" s="27" t="s">
        <v>1777</v>
      </c>
      <c r="Q40" s="27"/>
      <c r="R40" s="27" t="s">
        <v>1777</v>
      </c>
      <c r="S40" s="27"/>
      <c r="T40" s="27" t="s">
        <v>1777</v>
      </c>
      <c r="U40" s="27"/>
    </row>
    <row r="41" spans="1:21" x14ac:dyDescent="0.25">
      <c r="A41" s="27">
        <v>1986</v>
      </c>
      <c r="B41" s="27">
        <v>18</v>
      </c>
      <c r="C41" s="27">
        <v>102</v>
      </c>
      <c r="D41" s="53">
        <v>20615</v>
      </c>
      <c r="E41" s="27"/>
      <c r="F41" s="27">
        <v>955</v>
      </c>
      <c r="G41" s="27">
        <v>501</v>
      </c>
      <c r="H41" s="53">
        <v>22070</v>
      </c>
      <c r="I41" s="27"/>
      <c r="J41" s="27" t="s">
        <v>1777</v>
      </c>
      <c r="K41" s="27"/>
      <c r="L41" s="27" t="s">
        <v>1777</v>
      </c>
      <c r="M41" s="27" t="s">
        <v>1777</v>
      </c>
      <c r="N41" s="27"/>
      <c r="O41" s="53">
        <v>13608</v>
      </c>
      <c r="P41" s="27" t="s">
        <v>1777</v>
      </c>
      <c r="Q41" s="27"/>
      <c r="R41" s="27" t="s">
        <v>1777</v>
      </c>
      <c r="S41" s="27"/>
      <c r="T41" s="27" t="s">
        <v>1777</v>
      </c>
      <c r="U41" s="27"/>
    </row>
    <row r="42" spans="1:21" x14ac:dyDescent="0.25">
      <c r="A42" s="27">
        <v>1987</v>
      </c>
      <c r="B42" s="27">
        <v>13</v>
      </c>
      <c r="C42" s="27">
        <v>105</v>
      </c>
      <c r="D42" s="53">
        <v>21218</v>
      </c>
      <c r="E42" s="27"/>
      <c r="F42" s="53">
        <v>1142</v>
      </c>
      <c r="G42" s="27">
        <v>530</v>
      </c>
      <c r="H42" s="53">
        <v>22890</v>
      </c>
      <c r="I42" s="27"/>
      <c r="J42" s="27" t="s">
        <v>1777</v>
      </c>
      <c r="K42" s="27"/>
      <c r="L42" s="27" t="s">
        <v>1777</v>
      </c>
      <c r="M42" s="27" t="s">
        <v>1777</v>
      </c>
      <c r="N42" s="27"/>
      <c r="O42" s="53">
        <v>14475</v>
      </c>
      <c r="P42" s="27" t="s">
        <v>1777</v>
      </c>
      <c r="Q42" s="27"/>
      <c r="R42" s="27" t="s">
        <v>1777</v>
      </c>
      <c r="S42" s="27"/>
      <c r="T42" s="27" t="s">
        <v>1777</v>
      </c>
      <c r="U42" s="27"/>
    </row>
    <row r="43" spans="1:21" x14ac:dyDescent="0.25">
      <c r="A43" s="27">
        <v>1988</v>
      </c>
      <c r="B43" s="27">
        <v>14</v>
      </c>
      <c r="C43" s="27">
        <v>109</v>
      </c>
      <c r="D43" s="53">
        <v>21221</v>
      </c>
      <c r="E43" s="27"/>
      <c r="F43" s="53">
        <v>1122</v>
      </c>
      <c r="G43" s="27">
        <v>300</v>
      </c>
      <c r="H43" s="53">
        <v>22642</v>
      </c>
      <c r="I43" s="27"/>
      <c r="J43" s="27" t="s">
        <v>1777</v>
      </c>
      <c r="K43" s="27"/>
      <c r="L43" s="27" t="s">
        <v>1777</v>
      </c>
      <c r="M43" s="27" t="s">
        <v>1777</v>
      </c>
      <c r="N43" s="27"/>
      <c r="O43" s="53">
        <v>15511</v>
      </c>
      <c r="P43" s="27" t="s">
        <v>1777</v>
      </c>
      <c r="Q43" s="27"/>
      <c r="R43" s="27" t="s">
        <v>1777</v>
      </c>
      <c r="S43" s="27"/>
      <c r="T43" s="27" t="s">
        <v>1777</v>
      </c>
      <c r="U43" s="27"/>
    </row>
    <row r="44" spans="1:21" x14ac:dyDescent="0.25">
      <c r="A44" s="27">
        <v>1989</v>
      </c>
      <c r="B44" s="27">
        <v>11</v>
      </c>
      <c r="C44" s="27">
        <v>112</v>
      </c>
      <c r="D44" s="53">
        <v>22823</v>
      </c>
      <c r="E44" s="27"/>
      <c r="F44" s="53">
        <v>1333</v>
      </c>
      <c r="G44" s="27">
        <v>270</v>
      </c>
      <c r="H44" s="53">
        <v>24425</v>
      </c>
      <c r="I44" s="27"/>
      <c r="J44" s="27" t="s">
        <v>1777</v>
      </c>
      <c r="K44" s="27"/>
      <c r="L44" s="27" t="s">
        <v>1777</v>
      </c>
      <c r="M44" s="27" t="s">
        <v>1777</v>
      </c>
      <c r="N44" s="27"/>
      <c r="O44" s="53">
        <v>15772</v>
      </c>
      <c r="P44" s="27" t="s">
        <v>1777</v>
      </c>
      <c r="Q44" s="27"/>
      <c r="R44" s="27" t="s">
        <v>1777</v>
      </c>
      <c r="S44" s="27"/>
      <c r="T44" s="27" t="s">
        <v>1777</v>
      </c>
      <c r="U44" s="27"/>
    </row>
    <row r="45" spans="1:21" x14ac:dyDescent="0.25">
      <c r="A45" s="27">
        <v>1990</v>
      </c>
      <c r="B45" s="27">
        <v>13</v>
      </c>
      <c r="C45" s="27">
        <v>107</v>
      </c>
      <c r="D45" s="53">
        <v>20540</v>
      </c>
      <c r="E45" s="27"/>
      <c r="F45" s="53">
        <v>1141</v>
      </c>
      <c r="G45" s="27">
        <v>163</v>
      </c>
      <c r="H45" s="53">
        <v>21843</v>
      </c>
      <c r="I45" s="27"/>
      <c r="J45" s="27" t="s">
        <v>1777</v>
      </c>
      <c r="K45" s="27"/>
      <c r="L45" s="27" t="s">
        <v>1777</v>
      </c>
      <c r="M45" s="27" t="s">
        <v>1777</v>
      </c>
      <c r="N45" s="27"/>
      <c r="O45" s="53">
        <v>15581</v>
      </c>
      <c r="P45" s="27" t="s">
        <v>1777</v>
      </c>
      <c r="Q45" s="27"/>
      <c r="R45" s="27" t="s">
        <v>1777</v>
      </c>
      <c r="S45" s="27"/>
      <c r="T45" s="27" t="s">
        <v>1777</v>
      </c>
      <c r="U45" s="27"/>
    </row>
    <row r="46" spans="1:21" x14ac:dyDescent="0.25">
      <c r="A46" s="27">
        <v>1991</v>
      </c>
      <c r="B46" s="27">
        <v>5</v>
      </c>
      <c r="C46" s="27">
        <v>103</v>
      </c>
      <c r="D46" s="53">
        <v>19261</v>
      </c>
      <c r="E46" s="27"/>
      <c r="F46" s="53">
        <v>1032</v>
      </c>
      <c r="G46" s="27">
        <v>151</v>
      </c>
      <c r="H46" s="53">
        <v>20444</v>
      </c>
      <c r="I46" s="27"/>
      <c r="J46" s="27" t="s">
        <v>1777</v>
      </c>
      <c r="K46" s="27"/>
      <c r="L46" s="27" t="s">
        <v>1777</v>
      </c>
      <c r="M46" s="27" t="s">
        <v>1777</v>
      </c>
      <c r="N46" s="27"/>
      <c r="O46" s="53">
        <v>15379</v>
      </c>
      <c r="P46" s="27" t="s">
        <v>1777</v>
      </c>
      <c r="Q46" s="27"/>
      <c r="R46" s="27" t="s">
        <v>1777</v>
      </c>
      <c r="S46" s="27"/>
      <c r="T46" s="27" t="s">
        <v>1777</v>
      </c>
      <c r="U46" s="27"/>
    </row>
    <row r="47" spans="1:21" x14ac:dyDescent="0.25">
      <c r="A47" s="27">
        <v>1992</v>
      </c>
      <c r="B47" s="27">
        <v>10</v>
      </c>
      <c r="C47" s="27">
        <v>120</v>
      </c>
      <c r="D47" s="53">
        <v>21874</v>
      </c>
      <c r="E47" s="27"/>
      <c r="F47" s="53">
        <v>1024</v>
      </c>
      <c r="G47" s="27">
        <v>259</v>
      </c>
      <c r="H47" s="53">
        <v>23157</v>
      </c>
      <c r="I47" s="27"/>
      <c r="J47" s="27" t="s">
        <v>1777</v>
      </c>
      <c r="K47" s="27"/>
      <c r="L47" s="27" t="s">
        <v>1777</v>
      </c>
      <c r="M47" s="27" t="s">
        <v>1777</v>
      </c>
      <c r="N47" s="27"/>
      <c r="O47" s="53">
        <v>15560</v>
      </c>
      <c r="P47" s="27" t="s">
        <v>1777</v>
      </c>
      <c r="Q47" s="27"/>
      <c r="R47" s="27" t="s">
        <v>1777</v>
      </c>
      <c r="S47" s="27"/>
      <c r="T47" s="27" t="s">
        <v>1777</v>
      </c>
      <c r="U47" s="27"/>
    </row>
    <row r="48" spans="1:21" x14ac:dyDescent="0.25">
      <c r="A48" s="27">
        <v>1993</v>
      </c>
      <c r="B48" s="27">
        <v>8</v>
      </c>
      <c r="C48" s="27">
        <v>121</v>
      </c>
      <c r="D48" s="53">
        <v>21893</v>
      </c>
      <c r="E48" s="27"/>
      <c r="F48" s="53">
        <v>1129</v>
      </c>
      <c r="G48" s="27">
        <v>250</v>
      </c>
      <c r="H48" s="53">
        <v>23271</v>
      </c>
      <c r="I48" s="27"/>
      <c r="J48" s="27" t="s">
        <v>1777</v>
      </c>
      <c r="K48" s="27"/>
      <c r="L48" s="27" t="s">
        <v>1777</v>
      </c>
      <c r="M48" s="27" t="s">
        <v>1777</v>
      </c>
      <c r="N48" s="27"/>
      <c r="O48" s="53">
        <v>15785</v>
      </c>
      <c r="P48" s="27" t="s">
        <v>1777</v>
      </c>
      <c r="Q48" s="27"/>
      <c r="R48" s="27" t="s">
        <v>1777</v>
      </c>
      <c r="S48" s="27"/>
      <c r="T48" s="27" t="s">
        <v>1777</v>
      </c>
      <c r="U48" s="27"/>
    </row>
    <row r="49" spans="1:27" x14ac:dyDescent="0.25">
      <c r="A49" s="27">
        <v>1994</v>
      </c>
      <c r="B49" s="27">
        <v>3</v>
      </c>
      <c r="C49" s="27">
        <v>120</v>
      </c>
      <c r="D49" s="53">
        <v>21986</v>
      </c>
      <c r="E49" s="27"/>
      <c r="F49" s="53">
        <v>1167</v>
      </c>
      <c r="G49" s="27">
        <v>218</v>
      </c>
      <c r="H49" s="53">
        <v>23371</v>
      </c>
      <c r="I49" s="27"/>
      <c r="J49" s="27" t="s">
        <v>1777</v>
      </c>
      <c r="K49" s="27"/>
      <c r="L49" s="27" t="s">
        <v>1777</v>
      </c>
      <c r="M49" s="27" t="s">
        <v>1777</v>
      </c>
      <c r="N49" s="27"/>
      <c r="O49" s="53">
        <v>16049</v>
      </c>
      <c r="P49" s="27" t="s">
        <v>1777</v>
      </c>
      <c r="Q49" s="27"/>
      <c r="R49" s="27" t="s">
        <v>1777</v>
      </c>
      <c r="S49" s="27"/>
      <c r="T49" s="27" t="s">
        <v>1777</v>
      </c>
      <c r="U49" s="27"/>
    </row>
    <row r="50" spans="1:27" x14ac:dyDescent="0.25">
      <c r="A50" s="27">
        <v>1995</v>
      </c>
      <c r="B50" s="27">
        <v>4</v>
      </c>
      <c r="C50" s="27">
        <v>106</v>
      </c>
      <c r="D50" s="53">
        <v>20064</v>
      </c>
      <c r="E50" s="27"/>
      <c r="F50" s="53">
        <v>1218</v>
      </c>
      <c r="G50" s="27">
        <v>130</v>
      </c>
      <c r="H50" s="53">
        <v>21412</v>
      </c>
      <c r="I50" s="27"/>
      <c r="J50" s="27" t="s">
        <v>1777</v>
      </c>
      <c r="K50" s="27"/>
      <c r="L50" s="27" t="s">
        <v>1777</v>
      </c>
      <c r="M50" s="27" t="s">
        <v>1777</v>
      </c>
      <c r="N50" s="27"/>
      <c r="O50" s="53">
        <v>15993</v>
      </c>
      <c r="P50" s="27" t="s">
        <v>1777</v>
      </c>
      <c r="Q50" s="27"/>
      <c r="R50" s="27" t="s">
        <v>1777</v>
      </c>
      <c r="S50" s="27"/>
      <c r="T50" s="27" t="s">
        <v>1777</v>
      </c>
      <c r="U50" s="27"/>
    </row>
    <row r="51" spans="1:27" x14ac:dyDescent="0.25">
      <c r="A51" s="27">
        <v>1996</v>
      </c>
      <c r="B51" s="27">
        <v>4</v>
      </c>
      <c r="C51" s="27">
        <v>114</v>
      </c>
      <c r="D51" s="53">
        <v>18362</v>
      </c>
      <c r="E51" s="27"/>
      <c r="F51" s="53">
        <v>1445</v>
      </c>
      <c r="G51" s="27">
        <v>148</v>
      </c>
      <c r="H51" s="53">
        <v>19954</v>
      </c>
      <c r="I51" s="27"/>
      <c r="J51" s="27" t="s">
        <v>1777</v>
      </c>
      <c r="K51" s="27"/>
      <c r="L51" s="27" t="s">
        <v>1777</v>
      </c>
      <c r="M51" s="27" t="s">
        <v>1777</v>
      </c>
      <c r="N51" s="27"/>
      <c r="O51" s="53">
        <v>16256</v>
      </c>
      <c r="P51" s="27" t="s">
        <v>1777</v>
      </c>
      <c r="Q51" s="27"/>
      <c r="R51" s="27" t="s">
        <v>1777</v>
      </c>
      <c r="S51" s="27"/>
      <c r="T51" s="27" t="s">
        <v>1777</v>
      </c>
      <c r="U51" s="27"/>
    </row>
    <row r="52" spans="1:27" x14ac:dyDescent="0.25">
      <c r="A52" s="27">
        <v>1997</v>
      </c>
      <c r="B52" s="27">
        <v>3</v>
      </c>
      <c r="C52" s="27">
        <v>112</v>
      </c>
      <c r="D52" s="53">
        <v>18332</v>
      </c>
      <c r="E52" s="27"/>
      <c r="F52" s="53">
        <v>1356</v>
      </c>
      <c r="G52" s="27">
        <v>190</v>
      </c>
      <c r="H52" s="53">
        <v>19878</v>
      </c>
      <c r="I52" s="27"/>
      <c r="J52" s="27" t="s">
        <v>1777</v>
      </c>
      <c r="K52" s="27"/>
      <c r="L52" s="27" t="s">
        <v>1777</v>
      </c>
      <c r="M52" s="27" t="s">
        <v>1777</v>
      </c>
      <c r="N52" s="27"/>
      <c r="O52" s="53">
        <v>16278</v>
      </c>
      <c r="P52" s="27" t="s">
        <v>1777</v>
      </c>
      <c r="Q52" s="27"/>
      <c r="R52" s="27" t="s">
        <v>1777</v>
      </c>
      <c r="S52" s="27"/>
      <c r="T52" s="27" t="s">
        <v>1777</v>
      </c>
      <c r="U52" s="27"/>
    </row>
    <row r="53" spans="1:27" x14ac:dyDescent="0.25">
      <c r="A53" s="27">
        <v>1998</v>
      </c>
      <c r="B53" s="27">
        <v>3</v>
      </c>
      <c r="C53" s="27">
        <v>102</v>
      </c>
      <c r="D53" s="53">
        <v>16979</v>
      </c>
      <c r="E53" s="27"/>
      <c r="F53" s="53">
        <v>1242</v>
      </c>
      <c r="G53" s="27">
        <v>197</v>
      </c>
      <c r="H53" s="53">
        <v>18417</v>
      </c>
      <c r="I53" s="27"/>
      <c r="J53" s="27" t="s">
        <v>1777</v>
      </c>
      <c r="K53" s="27"/>
      <c r="L53" s="27" t="s">
        <v>1777</v>
      </c>
      <c r="M53" s="27" t="s">
        <v>1777</v>
      </c>
      <c r="N53" s="27"/>
      <c r="O53" s="53">
        <v>16388</v>
      </c>
      <c r="P53" s="27" t="s">
        <v>1777</v>
      </c>
      <c r="Q53" s="27"/>
      <c r="R53" s="27" t="s">
        <v>1777</v>
      </c>
      <c r="S53" s="27"/>
      <c r="T53" s="27" t="s">
        <v>1777</v>
      </c>
      <c r="U53" s="27"/>
    </row>
    <row r="54" spans="1:27" x14ac:dyDescent="0.25">
      <c r="A54" s="27">
        <v>1999</v>
      </c>
      <c r="B54" s="27">
        <v>4</v>
      </c>
      <c r="C54" s="27">
        <v>106</v>
      </c>
      <c r="D54" s="53">
        <v>17825</v>
      </c>
      <c r="E54" s="27"/>
      <c r="F54" s="53">
        <v>1279</v>
      </c>
      <c r="G54" s="27">
        <v>179</v>
      </c>
      <c r="H54" s="53">
        <v>19282</v>
      </c>
      <c r="I54" s="27"/>
      <c r="J54" s="27" t="s">
        <v>1777</v>
      </c>
      <c r="K54" s="27"/>
      <c r="L54" s="27" t="s">
        <v>1777</v>
      </c>
      <c r="M54" s="27" t="s">
        <v>1777</v>
      </c>
      <c r="N54" s="27"/>
      <c r="O54" s="53">
        <v>17392</v>
      </c>
      <c r="P54" s="27" t="s">
        <v>1777</v>
      </c>
      <c r="Q54" s="27"/>
      <c r="R54" s="27" t="s">
        <v>1777</v>
      </c>
      <c r="S54" s="27"/>
      <c r="T54" s="27" t="s">
        <v>1777</v>
      </c>
      <c r="U54" s="27"/>
    </row>
    <row r="55" spans="1:27" x14ac:dyDescent="0.25">
      <c r="A55" s="27">
        <v>2000</v>
      </c>
      <c r="B55" s="27">
        <v>2</v>
      </c>
      <c r="C55" s="27">
        <v>114</v>
      </c>
      <c r="D55" s="53">
        <v>20445</v>
      </c>
      <c r="E55" s="27"/>
      <c r="F55" s="53">
        <v>1582</v>
      </c>
      <c r="G55" s="27">
        <v>191</v>
      </c>
      <c r="H55" s="53">
        <v>22217</v>
      </c>
      <c r="I55" s="27"/>
      <c r="J55" s="27" t="s">
        <v>1777</v>
      </c>
      <c r="K55" s="27"/>
      <c r="L55" s="27" t="s">
        <v>1777</v>
      </c>
      <c r="M55" s="27" t="s">
        <v>1777</v>
      </c>
      <c r="N55" s="27"/>
      <c r="O55" s="53">
        <v>17562</v>
      </c>
      <c r="P55" s="27" t="s">
        <v>1777</v>
      </c>
      <c r="Q55" s="27"/>
      <c r="R55" s="27" t="s">
        <v>1777</v>
      </c>
      <c r="S55" s="27"/>
      <c r="T55" s="27" t="s">
        <v>1777</v>
      </c>
      <c r="U55" s="27"/>
    </row>
    <row r="56" spans="1:27" x14ac:dyDescent="0.25">
      <c r="A56" s="27">
        <v>2001</v>
      </c>
      <c r="B56" s="27">
        <v>2</v>
      </c>
      <c r="C56" s="27">
        <v>107</v>
      </c>
      <c r="D56" s="53">
        <v>22293</v>
      </c>
      <c r="E56" s="27"/>
      <c r="F56" s="53">
        <v>1435</v>
      </c>
      <c r="G56" s="27">
        <v>197</v>
      </c>
      <c r="H56" s="53">
        <v>23925</v>
      </c>
      <c r="I56" s="27"/>
      <c r="J56" s="27" t="s">
        <v>1777</v>
      </c>
      <c r="K56" s="27"/>
      <c r="L56" s="27" t="s">
        <v>1777</v>
      </c>
      <c r="M56" s="27" t="s">
        <v>1777</v>
      </c>
      <c r="N56" s="27"/>
      <c r="O56" s="53">
        <v>17984</v>
      </c>
      <c r="P56" s="27" t="s">
        <v>1777</v>
      </c>
      <c r="Q56" s="27"/>
      <c r="R56" s="27" t="s">
        <v>1777</v>
      </c>
      <c r="S56" s="27"/>
      <c r="T56" s="27" t="s">
        <v>1777</v>
      </c>
      <c r="U56" s="27"/>
    </row>
    <row r="57" spans="1:27" x14ac:dyDescent="0.25">
      <c r="A57" s="27">
        <v>2002</v>
      </c>
      <c r="B57" s="27">
        <v>11</v>
      </c>
      <c r="C57" s="27">
        <v>109</v>
      </c>
      <c r="D57" s="53">
        <v>22066</v>
      </c>
      <c r="E57" s="27"/>
      <c r="F57" s="53">
        <v>1162</v>
      </c>
      <c r="G57" s="27">
        <v>127</v>
      </c>
      <c r="H57" s="53">
        <v>23355</v>
      </c>
      <c r="I57" s="27"/>
      <c r="J57" s="27" t="s">
        <v>1777</v>
      </c>
      <c r="K57" s="27"/>
      <c r="L57" s="27" t="s">
        <v>1777</v>
      </c>
      <c r="M57" s="27" t="s">
        <v>1777</v>
      </c>
      <c r="N57" s="27"/>
      <c r="O57" s="53">
        <v>18695</v>
      </c>
      <c r="P57" s="27" t="s">
        <v>1777</v>
      </c>
      <c r="Q57" s="27"/>
      <c r="R57" s="27" t="s">
        <v>1777</v>
      </c>
      <c r="S57" s="27"/>
      <c r="T57" s="27" t="s">
        <v>1777</v>
      </c>
      <c r="U57" s="27"/>
    </row>
    <row r="58" spans="1:27" x14ac:dyDescent="0.25">
      <c r="A58" s="27">
        <v>2003</v>
      </c>
      <c r="B58" s="27">
        <v>7</v>
      </c>
      <c r="C58" s="27">
        <v>126</v>
      </c>
      <c r="D58" s="53">
        <v>20816</v>
      </c>
      <c r="E58" s="27"/>
      <c r="F58" s="53">
        <v>1644</v>
      </c>
      <c r="G58" s="27">
        <v>244</v>
      </c>
      <c r="H58" s="53">
        <v>22703</v>
      </c>
      <c r="I58" s="27"/>
      <c r="J58" s="27" t="s">
        <v>1777</v>
      </c>
      <c r="K58" s="27"/>
      <c r="L58" s="27" t="s">
        <v>1777</v>
      </c>
      <c r="M58" s="27" t="s">
        <v>1777</v>
      </c>
      <c r="N58" s="27"/>
      <c r="O58" s="53">
        <v>19591</v>
      </c>
      <c r="P58" s="27" t="s">
        <v>1777</v>
      </c>
      <c r="Q58" s="27"/>
      <c r="R58" s="27" t="s">
        <v>1777</v>
      </c>
      <c r="S58" s="27"/>
      <c r="T58" s="27" t="s">
        <v>1777</v>
      </c>
      <c r="U58" s="27"/>
    </row>
    <row r="59" spans="1:27" x14ac:dyDescent="0.25">
      <c r="A59" s="27">
        <v>2004</v>
      </c>
      <c r="B59" s="27">
        <v>4</v>
      </c>
      <c r="C59" s="27">
        <v>113</v>
      </c>
      <c r="D59" s="53">
        <v>19337</v>
      </c>
      <c r="E59" s="27"/>
      <c r="F59" s="53">
        <v>1391</v>
      </c>
      <c r="G59" s="27">
        <v>279</v>
      </c>
      <c r="H59" s="53">
        <v>21007</v>
      </c>
      <c r="I59" s="27"/>
      <c r="J59" s="27" t="s">
        <v>1777</v>
      </c>
      <c r="K59" s="27"/>
      <c r="L59" s="27" t="s">
        <v>1777</v>
      </c>
      <c r="M59" s="27" t="s">
        <v>1777</v>
      </c>
      <c r="N59" s="27"/>
      <c r="O59" s="53">
        <v>19769</v>
      </c>
      <c r="P59" s="27" t="s">
        <v>1777</v>
      </c>
      <c r="Q59" s="27"/>
      <c r="R59" s="27" t="s">
        <v>1777</v>
      </c>
      <c r="S59" s="27"/>
      <c r="T59" s="27" t="s">
        <v>1777</v>
      </c>
      <c r="U59" s="27"/>
    </row>
    <row r="60" spans="1:27" x14ac:dyDescent="0.25">
      <c r="A60" s="27">
        <v>2005</v>
      </c>
      <c r="B60" s="27">
        <v>3</v>
      </c>
      <c r="C60" s="27">
        <v>119</v>
      </c>
      <c r="D60" s="53">
        <v>18425</v>
      </c>
      <c r="E60" s="27"/>
      <c r="F60" s="53">
        <v>1698</v>
      </c>
      <c r="G60" s="27">
        <v>299</v>
      </c>
      <c r="H60" s="53">
        <v>20422</v>
      </c>
      <c r="I60" s="27"/>
      <c r="J60" s="27" t="s">
        <v>1777</v>
      </c>
      <c r="K60" s="27"/>
      <c r="L60" s="27" t="s">
        <v>1777</v>
      </c>
      <c r="M60" s="27" t="s">
        <v>1777</v>
      </c>
      <c r="N60" s="27"/>
      <c r="O60" s="53">
        <v>20539</v>
      </c>
      <c r="P60" s="27" t="s">
        <v>1777</v>
      </c>
      <c r="Q60" s="27"/>
      <c r="R60" s="27" t="s">
        <v>1777</v>
      </c>
      <c r="S60" s="27"/>
      <c r="T60" s="27" t="s">
        <v>1777</v>
      </c>
      <c r="U60" s="27"/>
    </row>
    <row r="61" spans="1:27" x14ac:dyDescent="0.25">
      <c r="A61" s="27">
        <v>2006</v>
      </c>
      <c r="B61" s="27">
        <v>1</v>
      </c>
      <c r="C61" s="27">
        <v>104</v>
      </c>
      <c r="D61" s="53">
        <v>15645</v>
      </c>
      <c r="E61" s="27"/>
      <c r="F61" s="53">
        <v>1735</v>
      </c>
      <c r="G61" s="27">
        <v>238</v>
      </c>
      <c r="H61" s="53">
        <v>17619</v>
      </c>
      <c r="I61" s="27"/>
      <c r="J61" s="27" t="s">
        <v>1777</v>
      </c>
      <c r="K61" s="27"/>
      <c r="L61" s="27" t="s">
        <v>1777</v>
      </c>
      <c r="M61" s="27" t="s">
        <v>1777</v>
      </c>
      <c r="N61" s="27"/>
      <c r="O61" s="53">
        <v>19624</v>
      </c>
      <c r="P61" s="27" t="s">
        <v>1777</v>
      </c>
      <c r="Q61" s="27"/>
      <c r="R61" s="27" t="s">
        <v>1777</v>
      </c>
      <c r="S61" s="27"/>
      <c r="T61" s="27" t="s">
        <v>1777</v>
      </c>
      <c r="U61" s="27"/>
    </row>
    <row r="62" spans="1:27" x14ac:dyDescent="0.25">
      <c r="A62" s="27">
        <v>2007</v>
      </c>
      <c r="B62" s="27">
        <v>2</v>
      </c>
      <c r="C62" s="27">
        <v>115</v>
      </c>
      <c r="D62" s="53">
        <v>15882</v>
      </c>
      <c r="E62" s="27"/>
      <c r="F62" s="53">
        <v>1794</v>
      </c>
      <c r="G62" s="27">
        <v>161</v>
      </c>
      <c r="H62" s="53">
        <v>17837</v>
      </c>
      <c r="I62" s="27"/>
      <c r="J62" s="27" t="s">
        <v>1777</v>
      </c>
      <c r="K62" s="27"/>
      <c r="L62" s="27" t="s">
        <v>1777</v>
      </c>
      <c r="M62" s="27" t="s">
        <v>1777</v>
      </c>
      <c r="N62" s="27"/>
      <c r="O62" s="53">
        <v>20138</v>
      </c>
      <c r="P62" s="27" t="s">
        <v>1777</v>
      </c>
      <c r="Q62" s="27"/>
      <c r="R62" s="27" t="s">
        <v>1777</v>
      </c>
      <c r="S62" s="27"/>
      <c r="T62" s="27" t="s">
        <v>1777</v>
      </c>
      <c r="U62" s="27"/>
    </row>
    <row r="63" spans="1:27" x14ac:dyDescent="0.25">
      <c r="A63" s="27">
        <v>2008</v>
      </c>
      <c r="B63" s="27">
        <v>0</v>
      </c>
      <c r="C63" s="27">
        <v>133</v>
      </c>
      <c r="D63" s="53">
        <v>15793</v>
      </c>
      <c r="E63" s="27"/>
      <c r="F63" s="53">
        <v>1920</v>
      </c>
      <c r="G63" s="27">
        <v>63</v>
      </c>
      <c r="H63" s="53">
        <v>17775</v>
      </c>
      <c r="I63" s="27"/>
      <c r="J63" s="27" t="s">
        <v>1777</v>
      </c>
      <c r="K63" s="27"/>
      <c r="L63" s="27" t="s">
        <v>1777</v>
      </c>
      <c r="M63" s="27" t="s">
        <v>1777</v>
      </c>
      <c r="N63" s="27"/>
      <c r="O63" s="53">
        <v>19638</v>
      </c>
      <c r="P63" s="27" t="s">
        <v>1777</v>
      </c>
      <c r="Q63" s="27"/>
      <c r="R63" s="27" t="s">
        <v>1777</v>
      </c>
      <c r="S63" s="27"/>
      <c r="T63" s="27" t="s">
        <v>1777</v>
      </c>
      <c r="U63" s="27"/>
      <c r="AA63" t="s">
        <v>1901</v>
      </c>
    </row>
    <row r="64" spans="1:27" x14ac:dyDescent="0.25">
      <c r="A64" s="27">
        <v>2009</v>
      </c>
      <c r="B64" s="27">
        <v>0</v>
      </c>
      <c r="C64" s="27">
        <v>133</v>
      </c>
      <c r="D64" s="53">
        <v>14276</v>
      </c>
      <c r="E64" s="27"/>
      <c r="F64" s="53">
        <v>1795</v>
      </c>
      <c r="G64" s="27">
        <v>99</v>
      </c>
      <c r="H64" s="53">
        <v>16170</v>
      </c>
      <c r="I64" s="27"/>
      <c r="J64" s="27" t="s">
        <v>1777</v>
      </c>
      <c r="K64" s="27"/>
      <c r="L64" s="27" t="s">
        <v>1777</v>
      </c>
      <c r="M64" s="27" t="s">
        <v>1777</v>
      </c>
      <c r="N64" s="27"/>
      <c r="O64" s="53">
        <v>19475</v>
      </c>
      <c r="P64" s="27" t="s">
        <v>1777</v>
      </c>
      <c r="Q64" s="27"/>
      <c r="R64" s="27" t="s">
        <v>1777</v>
      </c>
      <c r="S64" s="27"/>
      <c r="T64" s="27" t="s">
        <v>1777</v>
      </c>
      <c r="U64" s="132" t="s">
        <v>1902</v>
      </c>
      <c r="V64" s="1"/>
      <c r="W64" s="1"/>
      <c r="X64" s="1"/>
      <c r="Y64" s="1"/>
      <c r="Z64" s="1"/>
      <c r="AA64" s="145" t="s">
        <v>1900</v>
      </c>
    </row>
    <row r="65" spans="1:28" x14ac:dyDescent="0.25">
      <c r="A65" s="27">
        <v>2010</v>
      </c>
      <c r="B65" s="27">
        <v>0</v>
      </c>
      <c r="C65" s="27">
        <v>126</v>
      </c>
      <c r="D65" s="53">
        <v>14593</v>
      </c>
      <c r="E65" s="27"/>
      <c r="F65" s="53">
        <v>1685</v>
      </c>
      <c r="G65" s="27">
        <v>100</v>
      </c>
      <c r="H65" s="53">
        <v>16378</v>
      </c>
      <c r="I65" s="27"/>
      <c r="J65" s="27" t="s">
        <v>1777</v>
      </c>
      <c r="K65" s="27"/>
      <c r="L65" s="27" t="s">
        <v>1777</v>
      </c>
      <c r="M65" s="27" t="s">
        <v>1777</v>
      </c>
      <c r="N65" s="27"/>
      <c r="O65" s="53">
        <v>21409</v>
      </c>
      <c r="P65" s="27" t="s">
        <v>1777</v>
      </c>
      <c r="Q65" s="27"/>
      <c r="R65" s="27" t="s">
        <v>1777</v>
      </c>
      <c r="S65" s="27"/>
      <c r="T65" s="27" t="s">
        <v>1777</v>
      </c>
      <c r="U65">
        <v>126</v>
      </c>
      <c r="V65" s="144">
        <v>14593</v>
      </c>
      <c r="W65" s="144">
        <v>1685</v>
      </c>
      <c r="X65">
        <v>100</v>
      </c>
      <c r="Y65" t="b">
        <f>U65=C65</f>
        <v>1</v>
      </c>
      <c r="Z65" t="b">
        <f>V65=D65</f>
        <v>1</v>
      </c>
      <c r="AA65" t="b">
        <f t="shared" ref="AA65:AA76" si="0">W65=F65</f>
        <v>1</v>
      </c>
      <c r="AB65" t="b">
        <f t="shared" ref="AB65:AB76" si="1">X65=G65</f>
        <v>1</v>
      </c>
    </row>
    <row r="66" spans="1:28" x14ac:dyDescent="0.25">
      <c r="A66" s="27">
        <v>2011</v>
      </c>
      <c r="B66" s="27">
        <v>0</v>
      </c>
      <c r="C66" s="27">
        <v>129</v>
      </c>
      <c r="D66" s="53">
        <v>14210</v>
      </c>
      <c r="E66" s="27"/>
      <c r="F66" s="53">
        <v>1989</v>
      </c>
      <c r="G66" s="27">
        <v>62</v>
      </c>
      <c r="H66" s="53">
        <v>16261</v>
      </c>
      <c r="I66" s="27"/>
      <c r="J66" s="27" t="s">
        <v>1777</v>
      </c>
      <c r="K66" s="27"/>
      <c r="L66" s="27" t="s">
        <v>1777</v>
      </c>
      <c r="M66" s="27" t="s">
        <v>1777</v>
      </c>
      <c r="N66" s="27"/>
      <c r="O66" s="53">
        <v>20473</v>
      </c>
      <c r="P66" s="27" t="s">
        <v>1777</v>
      </c>
      <c r="Q66" s="27"/>
      <c r="R66" s="27" t="s">
        <v>1777</v>
      </c>
      <c r="S66" s="27"/>
      <c r="T66" s="27" t="s">
        <v>1777</v>
      </c>
      <c r="U66">
        <v>129</v>
      </c>
      <c r="V66" s="144">
        <v>14210</v>
      </c>
      <c r="W66" s="144">
        <v>1989</v>
      </c>
      <c r="X66">
        <v>62</v>
      </c>
      <c r="Y66" t="b">
        <f t="shared" ref="Y66:Y76" si="2">U66=C66</f>
        <v>1</v>
      </c>
      <c r="Z66" t="b">
        <f t="shared" ref="Z66:Z76" si="3">V66=D66</f>
        <v>1</v>
      </c>
      <c r="AA66" t="b">
        <f t="shared" si="0"/>
        <v>1</v>
      </c>
      <c r="AB66" t="b">
        <f t="shared" si="1"/>
        <v>1</v>
      </c>
    </row>
    <row r="67" spans="1:28" x14ac:dyDescent="0.25">
      <c r="A67" s="27">
        <v>2012</v>
      </c>
      <c r="B67" s="27">
        <v>0</v>
      </c>
      <c r="C67" s="27">
        <v>115</v>
      </c>
      <c r="D67" s="53">
        <v>11922</v>
      </c>
      <c r="E67" s="27"/>
      <c r="F67" s="53">
        <v>1556</v>
      </c>
      <c r="G67" s="27">
        <v>29</v>
      </c>
      <c r="H67" s="53">
        <v>13507</v>
      </c>
      <c r="I67" s="27"/>
      <c r="J67" s="27" t="s">
        <v>1777</v>
      </c>
      <c r="K67" s="27"/>
      <c r="L67" s="27" t="s">
        <v>1777</v>
      </c>
      <c r="M67" s="27" t="s">
        <v>1777</v>
      </c>
      <c r="N67" s="27"/>
      <c r="O67" s="53">
        <v>20313</v>
      </c>
      <c r="P67" s="27" t="s">
        <v>1777</v>
      </c>
      <c r="Q67" s="27"/>
      <c r="R67" s="27" t="s">
        <v>1777</v>
      </c>
      <c r="S67" s="27"/>
      <c r="T67" s="27" t="s">
        <v>1777</v>
      </c>
      <c r="U67">
        <v>115</v>
      </c>
      <c r="V67" s="144">
        <v>11922</v>
      </c>
      <c r="W67" s="144">
        <v>1556</v>
      </c>
      <c r="X67">
        <v>29</v>
      </c>
      <c r="Y67" t="b">
        <f t="shared" si="2"/>
        <v>1</v>
      </c>
      <c r="Z67" t="b">
        <f t="shared" si="3"/>
        <v>1</v>
      </c>
      <c r="AA67" t="b">
        <f t="shared" si="0"/>
        <v>1</v>
      </c>
      <c r="AB67" t="b">
        <f t="shared" si="1"/>
        <v>1</v>
      </c>
    </row>
    <row r="68" spans="1:28" x14ac:dyDescent="0.25">
      <c r="A68" s="27">
        <v>2013</v>
      </c>
      <c r="B68" s="27">
        <v>0</v>
      </c>
      <c r="C68" s="27">
        <v>117</v>
      </c>
      <c r="D68" s="53">
        <v>12856</v>
      </c>
      <c r="E68" s="27"/>
      <c r="F68" s="53">
        <v>1864</v>
      </c>
      <c r="G68" s="27">
        <v>30</v>
      </c>
      <c r="H68" s="53">
        <v>14750</v>
      </c>
      <c r="I68" s="27"/>
      <c r="J68" s="27" t="s">
        <v>1777</v>
      </c>
      <c r="K68" s="27"/>
      <c r="L68" s="27" t="s">
        <v>1777</v>
      </c>
      <c r="M68" s="27" t="s">
        <v>1777</v>
      </c>
      <c r="N68" s="27"/>
      <c r="O68" s="53">
        <v>20728</v>
      </c>
      <c r="P68" s="27" t="s">
        <v>1777</v>
      </c>
      <c r="Q68" s="27"/>
      <c r="R68" s="27" t="s">
        <v>1777</v>
      </c>
      <c r="S68" s="27"/>
      <c r="T68" s="27" t="s">
        <v>1777</v>
      </c>
      <c r="U68">
        <v>117</v>
      </c>
      <c r="V68" s="144">
        <v>12856</v>
      </c>
      <c r="W68" s="144">
        <v>1864</v>
      </c>
      <c r="X68">
        <v>30</v>
      </c>
      <c r="Y68" t="b">
        <f t="shared" si="2"/>
        <v>1</v>
      </c>
      <c r="Z68" t="b">
        <f t="shared" si="3"/>
        <v>1</v>
      </c>
      <c r="AA68" t="b">
        <f t="shared" si="0"/>
        <v>1</v>
      </c>
      <c r="AB68" t="b">
        <f t="shared" si="1"/>
        <v>1</v>
      </c>
    </row>
    <row r="69" spans="1:28" x14ac:dyDescent="0.25">
      <c r="A69" s="27">
        <v>2014</v>
      </c>
      <c r="B69" s="27">
        <v>0</v>
      </c>
      <c r="C69" s="27">
        <v>127</v>
      </c>
      <c r="D69" s="53">
        <v>14584</v>
      </c>
      <c r="E69" s="27"/>
      <c r="F69" s="53">
        <v>2117</v>
      </c>
      <c r="G69" s="27">
        <v>52</v>
      </c>
      <c r="H69" s="53">
        <v>16753</v>
      </c>
      <c r="I69" s="27"/>
      <c r="J69" s="27" t="s">
        <v>1777</v>
      </c>
      <c r="K69" s="27"/>
      <c r="L69" s="27" t="s">
        <v>1777</v>
      </c>
      <c r="M69" s="27" t="s">
        <v>1777</v>
      </c>
      <c r="N69" s="27"/>
      <c r="O69" s="53">
        <v>20071</v>
      </c>
      <c r="P69" s="27" t="s">
        <v>1777</v>
      </c>
      <c r="Q69" s="27"/>
      <c r="R69" s="27" t="s">
        <v>1777</v>
      </c>
      <c r="S69" s="27"/>
      <c r="T69" s="27" t="s">
        <v>1777</v>
      </c>
      <c r="U69">
        <v>127</v>
      </c>
      <c r="V69" s="144">
        <v>14584</v>
      </c>
      <c r="W69" s="144">
        <v>2117</v>
      </c>
      <c r="X69">
        <v>52</v>
      </c>
      <c r="Y69" t="b">
        <f t="shared" si="2"/>
        <v>1</v>
      </c>
      <c r="Z69" t="b">
        <f t="shared" si="3"/>
        <v>1</v>
      </c>
      <c r="AA69" t="b">
        <f t="shared" si="0"/>
        <v>1</v>
      </c>
      <c r="AB69" t="b">
        <f t="shared" si="1"/>
        <v>1</v>
      </c>
    </row>
    <row r="70" spans="1:28" x14ac:dyDescent="0.25">
      <c r="A70" s="27">
        <v>2015</v>
      </c>
      <c r="B70" s="27">
        <v>0</v>
      </c>
      <c r="C70" s="27">
        <v>127</v>
      </c>
      <c r="D70" s="53">
        <v>14465</v>
      </c>
      <c r="E70" s="27"/>
      <c r="F70" s="53">
        <v>1979</v>
      </c>
      <c r="G70" s="27">
        <v>44</v>
      </c>
      <c r="H70" s="53">
        <v>16488</v>
      </c>
      <c r="I70" s="27"/>
      <c r="J70" s="27" t="s">
        <v>1777</v>
      </c>
      <c r="K70" s="27"/>
      <c r="L70" s="27" t="s">
        <v>1777</v>
      </c>
      <c r="M70" s="27" t="s">
        <v>1777</v>
      </c>
      <c r="N70" s="27"/>
      <c r="O70" s="53">
        <v>20175</v>
      </c>
      <c r="P70" s="27" t="s">
        <v>1777</v>
      </c>
      <c r="Q70" s="27"/>
      <c r="R70" s="27" t="s">
        <v>1777</v>
      </c>
      <c r="S70" s="27"/>
      <c r="T70" s="27" t="s">
        <v>1777</v>
      </c>
      <c r="U70">
        <v>127</v>
      </c>
      <c r="V70" s="144">
        <v>14465</v>
      </c>
      <c r="W70" s="144">
        <v>1979</v>
      </c>
      <c r="X70">
        <v>44</v>
      </c>
      <c r="Y70" t="b">
        <f t="shared" si="2"/>
        <v>1</v>
      </c>
      <c r="Z70" t="b">
        <f t="shared" si="3"/>
        <v>1</v>
      </c>
      <c r="AA70" t="b">
        <f t="shared" si="0"/>
        <v>1</v>
      </c>
      <c r="AB70" t="b">
        <f t="shared" si="1"/>
        <v>1</v>
      </c>
    </row>
    <row r="71" spans="1:28" x14ac:dyDescent="0.25">
      <c r="A71" s="27">
        <v>2016</v>
      </c>
      <c r="B71" s="27">
        <v>0</v>
      </c>
      <c r="C71" s="27">
        <v>112</v>
      </c>
      <c r="D71" s="53">
        <v>11231</v>
      </c>
      <c r="E71" s="27"/>
      <c r="F71" s="53">
        <v>1966</v>
      </c>
      <c r="G71" s="27">
        <v>52</v>
      </c>
      <c r="H71" s="53">
        <v>13249</v>
      </c>
      <c r="I71" s="27"/>
      <c r="J71" s="27" t="s">
        <v>1777</v>
      </c>
      <c r="K71" s="27"/>
      <c r="L71" s="27" t="s">
        <v>1777</v>
      </c>
      <c r="M71" s="27" t="s">
        <v>1777</v>
      </c>
      <c r="N71" s="27"/>
      <c r="O71" s="53">
        <v>19693</v>
      </c>
      <c r="P71" s="27" t="s">
        <v>1777</v>
      </c>
      <c r="Q71" s="27"/>
      <c r="R71" s="27" t="s">
        <v>1777</v>
      </c>
      <c r="S71" s="27"/>
      <c r="T71" s="27" t="s">
        <v>1777</v>
      </c>
      <c r="U71">
        <v>112</v>
      </c>
      <c r="V71" s="144">
        <v>11231</v>
      </c>
      <c r="W71" s="144">
        <v>1966</v>
      </c>
      <c r="X71">
        <v>52</v>
      </c>
      <c r="Y71" t="b">
        <f t="shared" si="2"/>
        <v>1</v>
      </c>
      <c r="Z71" t="b">
        <f t="shared" si="3"/>
        <v>1</v>
      </c>
      <c r="AA71" t="b">
        <f t="shared" si="0"/>
        <v>1</v>
      </c>
      <c r="AB71" t="b">
        <f t="shared" si="1"/>
        <v>1</v>
      </c>
    </row>
    <row r="72" spans="1:28" x14ac:dyDescent="0.25">
      <c r="A72" s="27">
        <v>2017</v>
      </c>
      <c r="B72" s="27">
        <v>0</v>
      </c>
      <c r="C72" s="27">
        <v>121</v>
      </c>
      <c r="D72" s="53">
        <v>12279</v>
      </c>
      <c r="E72" s="27"/>
      <c r="F72" s="53">
        <v>2118</v>
      </c>
      <c r="G72" s="27">
        <v>36</v>
      </c>
      <c r="H72" s="53">
        <v>14434</v>
      </c>
      <c r="I72" s="27"/>
      <c r="J72" s="27" t="s">
        <v>1777</v>
      </c>
      <c r="K72" s="27"/>
      <c r="L72" s="27" t="s">
        <v>1777</v>
      </c>
      <c r="M72" s="27" t="s">
        <v>1777</v>
      </c>
      <c r="N72" s="27"/>
      <c r="O72" s="53">
        <v>19338</v>
      </c>
      <c r="P72" s="27" t="s">
        <v>1777</v>
      </c>
      <c r="Q72" s="27"/>
      <c r="R72" s="27" t="s">
        <v>1777</v>
      </c>
      <c r="S72" s="27"/>
      <c r="T72" s="27" t="s">
        <v>1777</v>
      </c>
      <c r="U72">
        <v>121</v>
      </c>
      <c r="V72" s="144">
        <v>12279</v>
      </c>
      <c r="W72" s="144">
        <v>2118</v>
      </c>
      <c r="X72">
        <v>36</v>
      </c>
      <c r="Y72" t="b">
        <f t="shared" si="2"/>
        <v>1</v>
      </c>
      <c r="Z72" t="b">
        <f t="shared" si="3"/>
        <v>1</v>
      </c>
      <c r="AA72" t="b">
        <f t="shared" si="0"/>
        <v>1</v>
      </c>
      <c r="AB72" t="b">
        <f t="shared" si="1"/>
        <v>1</v>
      </c>
    </row>
    <row r="73" spans="1:28" x14ac:dyDescent="0.25">
      <c r="A73" s="27">
        <v>2018</v>
      </c>
      <c r="B73" s="27">
        <v>0</v>
      </c>
      <c r="C73" s="27">
        <v>130</v>
      </c>
      <c r="D73" s="53">
        <v>13315</v>
      </c>
      <c r="E73" s="27"/>
      <c r="F73" s="53">
        <v>2250</v>
      </c>
      <c r="G73" s="27">
        <v>35</v>
      </c>
      <c r="H73" s="53">
        <v>15601</v>
      </c>
      <c r="I73" s="27"/>
      <c r="J73" s="27" t="s">
        <v>1777</v>
      </c>
      <c r="K73" s="27"/>
      <c r="L73" s="27" t="s">
        <v>1777</v>
      </c>
      <c r="M73" s="27" t="s">
        <v>1777</v>
      </c>
      <c r="N73" s="27"/>
      <c r="O73" s="53">
        <v>20285</v>
      </c>
      <c r="P73" s="27" t="s">
        <v>1777</v>
      </c>
      <c r="Q73" s="27"/>
      <c r="R73" s="27" t="s">
        <v>1777</v>
      </c>
      <c r="S73" s="27"/>
      <c r="T73" s="27" t="s">
        <v>1777</v>
      </c>
      <c r="U73">
        <v>130</v>
      </c>
      <c r="V73" s="144">
        <v>13315</v>
      </c>
      <c r="W73" s="144">
        <v>2250</v>
      </c>
      <c r="X73">
        <v>35</v>
      </c>
      <c r="Y73" t="b">
        <f t="shared" si="2"/>
        <v>1</v>
      </c>
      <c r="Z73" t="b">
        <f t="shared" si="3"/>
        <v>1</v>
      </c>
      <c r="AA73" t="b">
        <f t="shared" si="0"/>
        <v>1</v>
      </c>
      <c r="AB73" t="b">
        <f t="shared" si="1"/>
        <v>1</v>
      </c>
    </row>
    <row r="74" spans="1:28" x14ac:dyDescent="0.25">
      <c r="A74" s="27">
        <v>2019</v>
      </c>
      <c r="B74" s="27">
        <v>0</v>
      </c>
      <c r="C74" s="27">
        <v>135</v>
      </c>
      <c r="D74" s="53">
        <v>13161</v>
      </c>
      <c r="E74" s="27"/>
      <c r="F74" s="53">
        <v>2694</v>
      </c>
      <c r="G74" s="27">
        <v>43</v>
      </c>
      <c r="H74" s="53">
        <v>15898</v>
      </c>
      <c r="I74" s="27"/>
      <c r="J74" s="27" t="s">
        <v>1777</v>
      </c>
      <c r="K74" s="27"/>
      <c r="L74" s="27" t="s">
        <v>1777</v>
      </c>
      <c r="M74" s="27" t="s">
        <v>1777</v>
      </c>
      <c r="N74" s="27"/>
      <c r="O74" s="53">
        <v>19315</v>
      </c>
      <c r="P74" s="27" t="s">
        <v>1777</v>
      </c>
      <c r="Q74" s="27"/>
      <c r="R74" s="27" t="s">
        <v>1777</v>
      </c>
      <c r="S74" s="27"/>
      <c r="T74" s="27" t="s">
        <v>1777</v>
      </c>
      <c r="U74">
        <v>135</v>
      </c>
      <c r="V74" s="144">
        <v>13161</v>
      </c>
      <c r="W74" s="144">
        <v>2694</v>
      </c>
      <c r="X74">
        <v>43</v>
      </c>
      <c r="Y74" t="b">
        <f t="shared" si="2"/>
        <v>1</v>
      </c>
      <c r="Z74" t="b">
        <f t="shared" si="3"/>
        <v>1</v>
      </c>
      <c r="AA74" t="b">
        <f t="shared" si="0"/>
        <v>1</v>
      </c>
      <c r="AB74" t="b">
        <f t="shared" si="1"/>
        <v>1</v>
      </c>
    </row>
    <row r="75" spans="1:28" x14ac:dyDescent="0.25">
      <c r="A75" s="27">
        <v>2020</v>
      </c>
      <c r="B75" s="27">
        <v>0</v>
      </c>
      <c r="C75" s="27">
        <v>120</v>
      </c>
      <c r="D75" s="53">
        <v>11817</v>
      </c>
      <c r="E75" s="27"/>
      <c r="F75" s="53">
        <v>2249</v>
      </c>
      <c r="G75" s="27">
        <v>49</v>
      </c>
      <c r="H75" s="53">
        <v>14115</v>
      </c>
      <c r="I75" s="27"/>
      <c r="J75" s="27" t="s">
        <v>1777</v>
      </c>
      <c r="K75" s="27"/>
      <c r="L75" s="27" t="s">
        <v>1777</v>
      </c>
      <c r="M75" s="27" t="s">
        <v>1777</v>
      </c>
      <c r="N75" s="27"/>
      <c r="O75" s="53">
        <v>20345</v>
      </c>
      <c r="P75" s="27" t="s">
        <v>1777</v>
      </c>
      <c r="Q75" s="27"/>
      <c r="R75" s="27" t="s">
        <v>1777</v>
      </c>
      <c r="S75" s="27"/>
      <c r="T75" s="27" t="s">
        <v>1777</v>
      </c>
      <c r="U75">
        <v>120</v>
      </c>
      <c r="V75" s="144">
        <v>11817</v>
      </c>
      <c r="W75" s="144">
        <v>2249</v>
      </c>
      <c r="X75">
        <v>49</v>
      </c>
      <c r="Y75" t="b">
        <f t="shared" si="2"/>
        <v>1</v>
      </c>
      <c r="Z75" t="b">
        <f t="shared" si="3"/>
        <v>1</v>
      </c>
      <c r="AA75" t="b">
        <f t="shared" si="0"/>
        <v>1</v>
      </c>
      <c r="AB75" t="b">
        <f t="shared" si="1"/>
        <v>1</v>
      </c>
    </row>
    <row r="76" spans="1:28" x14ac:dyDescent="0.25">
      <c r="A76" s="27">
        <v>2021</v>
      </c>
      <c r="B76" s="27">
        <v>0</v>
      </c>
      <c r="C76" s="27">
        <v>123</v>
      </c>
      <c r="D76" s="53">
        <v>12432</v>
      </c>
      <c r="E76" s="54" t="s">
        <v>1778</v>
      </c>
      <c r="F76" s="53">
        <v>2105</v>
      </c>
      <c r="G76" s="27">
        <v>37</v>
      </c>
      <c r="H76" s="53">
        <v>14575</v>
      </c>
      <c r="I76" s="54" t="s">
        <v>1778</v>
      </c>
      <c r="J76" s="27" t="s">
        <v>1777</v>
      </c>
      <c r="K76" s="27"/>
      <c r="L76" s="27" t="s">
        <v>1777</v>
      </c>
      <c r="M76" s="27" t="s">
        <v>1777</v>
      </c>
      <c r="N76" s="27"/>
      <c r="O76" s="53">
        <v>20305</v>
      </c>
      <c r="P76" s="27" t="s">
        <v>1777</v>
      </c>
      <c r="Q76" s="27"/>
      <c r="R76" s="27" t="s">
        <v>1777</v>
      </c>
      <c r="S76" s="27"/>
      <c r="T76" s="27" t="s">
        <v>1777</v>
      </c>
      <c r="U76">
        <v>123</v>
      </c>
      <c r="V76" s="144">
        <v>12437</v>
      </c>
      <c r="W76" s="144">
        <v>2105</v>
      </c>
      <c r="X76">
        <v>37</v>
      </c>
      <c r="Y76" t="b">
        <f t="shared" si="2"/>
        <v>1</v>
      </c>
      <c r="Z76" t="b">
        <f t="shared" si="3"/>
        <v>0</v>
      </c>
      <c r="AA76" t="b">
        <f t="shared" si="0"/>
        <v>1</v>
      </c>
      <c r="AB76" t="b">
        <f t="shared" si="1"/>
        <v>1</v>
      </c>
    </row>
    <row r="77" spans="1:28" x14ac:dyDescent="0.25">
      <c r="A77" s="27">
        <v>2022</v>
      </c>
      <c r="B77" s="27">
        <v>0</v>
      </c>
      <c r="C77" s="27">
        <v>132</v>
      </c>
      <c r="D77" s="53">
        <v>12268</v>
      </c>
      <c r="E77" s="27"/>
      <c r="F77" s="53">
        <v>2065</v>
      </c>
      <c r="G77" s="27">
        <v>33</v>
      </c>
      <c r="H77" s="53">
        <v>14365</v>
      </c>
      <c r="I77" s="27"/>
      <c r="J77" s="27" t="s">
        <v>1777</v>
      </c>
      <c r="K77" s="27"/>
      <c r="L77" s="27" t="s">
        <v>1777</v>
      </c>
      <c r="M77" s="27" t="s">
        <v>1777</v>
      </c>
      <c r="N77" s="27"/>
      <c r="O77" s="53">
        <v>20007</v>
      </c>
      <c r="P77" s="27" t="s">
        <v>1777</v>
      </c>
      <c r="Q77" s="27"/>
      <c r="R77" s="27" t="s">
        <v>1777</v>
      </c>
      <c r="S77" s="27"/>
      <c r="T77" s="27" t="s">
        <v>1777</v>
      </c>
      <c r="U77" s="27"/>
    </row>
    <row r="78" spans="1:28" x14ac:dyDescent="0.25">
      <c r="A78" s="253" t="s">
        <v>1751</v>
      </c>
      <c r="B78" s="253" t="s">
        <v>1752</v>
      </c>
      <c r="C78" s="52"/>
      <c r="D78" s="253" t="s">
        <v>1755</v>
      </c>
      <c r="E78" s="253"/>
      <c r="F78" s="253"/>
      <c r="G78" s="253"/>
      <c r="H78" s="253"/>
      <c r="I78" s="253"/>
      <c r="J78" s="253" t="s">
        <v>1756</v>
      </c>
      <c r="K78" s="253"/>
      <c r="L78" s="253" t="s">
        <v>1757</v>
      </c>
      <c r="M78" s="253" t="s">
        <v>1758</v>
      </c>
      <c r="N78" s="253"/>
      <c r="O78" s="253" t="s">
        <v>1759</v>
      </c>
      <c r="P78" s="254"/>
      <c r="Q78" s="254"/>
      <c r="R78" s="254"/>
      <c r="S78" s="254"/>
      <c r="T78" s="253" t="s">
        <v>1766</v>
      </c>
      <c r="U78" s="253"/>
    </row>
    <row r="79" spans="1:28" x14ac:dyDescent="0.25">
      <c r="A79" s="253"/>
      <c r="B79" s="253"/>
      <c r="C79" s="52"/>
      <c r="D79" s="253"/>
      <c r="E79" s="253"/>
      <c r="F79" s="253"/>
      <c r="G79" s="253"/>
      <c r="H79" s="253"/>
      <c r="I79" s="253"/>
      <c r="J79" s="253"/>
      <c r="K79" s="253"/>
      <c r="L79" s="253"/>
      <c r="M79" s="253"/>
      <c r="N79" s="253"/>
      <c r="O79" s="253"/>
      <c r="P79" s="254"/>
      <c r="Q79" s="254"/>
      <c r="R79" s="254"/>
      <c r="S79" s="254"/>
      <c r="T79" s="253"/>
      <c r="U79" s="253"/>
    </row>
    <row r="80" spans="1:28" x14ac:dyDescent="0.25">
      <c r="A80" s="253"/>
      <c r="B80" s="253"/>
      <c r="C80" s="28" t="s">
        <v>1753</v>
      </c>
      <c r="D80" s="253"/>
      <c r="E80" s="253"/>
      <c r="F80" s="253"/>
      <c r="G80" s="253"/>
      <c r="H80" s="253"/>
      <c r="I80" s="253"/>
      <c r="J80" s="253"/>
      <c r="K80" s="253"/>
      <c r="L80" s="253"/>
      <c r="M80" s="253"/>
      <c r="N80" s="253"/>
      <c r="O80" s="253"/>
      <c r="P80" s="254"/>
      <c r="Q80" s="254"/>
      <c r="R80" s="254"/>
      <c r="S80" s="254"/>
      <c r="T80" s="253"/>
      <c r="U80" s="253"/>
    </row>
    <row r="81" spans="1:21" ht="15" customHeight="1" x14ac:dyDescent="0.25">
      <c r="A81" s="253"/>
      <c r="B81" s="253"/>
      <c r="C81" s="28" t="s">
        <v>1754</v>
      </c>
      <c r="D81" s="253"/>
      <c r="E81" s="253"/>
      <c r="F81" s="253"/>
      <c r="G81" s="253"/>
      <c r="H81" s="253"/>
      <c r="I81" s="253"/>
      <c r="J81" s="253"/>
      <c r="K81" s="253"/>
      <c r="L81" s="253"/>
      <c r="M81" s="253"/>
      <c r="N81" s="253"/>
      <c r="O81" s="253"/>
      <c r="P81" s="254"/>
      <c r="Q81" s="254"/>
      <c r="R81" s="253" t="s">
        <v>1762</v>
      </c>
      <c r="S81" s="253"/>
      <c r="T81" s="253"/>
      <c r="U81" s="253"/>
    </row>
    <row r="82" spans="1:21" x14ac:dyDescent="0.25">
      <c r="A82" s="253"/>
      <c r="B82" s="253"/>
      <c r="C82" s="28"/>
      <c r="D82" s="253"/>
      <c r="E82" s="253"/>
      <c r="F82" s="253"/>
      <c r="G82" s="253"/>
      <c r="H82" s="253"/>
      <c r="I82" s="253"/>
      <c r="J82" s="253"/>
      <c r="K82" s="253"/>
      <c r="L82" s="253"/>
      <c r="M82" s="253"/>
      <c r="N82" s="253"/>
      <c r="O82" s="253"/>
      <c r="P82" s="254"/>
      <c r="Q82" s="254"/>
      <c r="R82" s="253" t="s">
        <v>1763</v>
      </c>
      <c r="S82" s="253"/>
      <c r="T82" s="253"/>
      <c r="U82" s="253"/>
    </row>
    <row r="83" spans="1:21" x14ac:dyDescent="0.25">
      <c r="A83" s="253"/>
      <c r="B83" s="253"/>
      <c r="C83" s="28"/>
      <c r="D83" s="253" t="s">
        <v>1767</v>
      </c>
      <c r="E83" s="253"/>
      <c r="F83" s="253" t="s">
        <v>1769</v>
      </c>
      <c r="G83" s="253" t="s">
        <v>1662</v>
      </c>
      <c r="H83" s="253" t="s">
        <v>1770</v>
      </c>
      <c r="I83" s="253"/>
      <c r="J83" s="253" t="s">
        <v>1771</v>
      </c>
      <c r="K83" s="253"/>
      <c r="L83" s="253"/>
      <c r="M83" s="253"/>
      <c r="N83" s="253"/>
      <c r="O83" s="253"/>
      <c r="P83" s="253" t="s">
        <v>1760</v>
      </c>
      <c r="Q83" s="253"/>
      <c r="R83" s="253" t="s">
        <v>1764</v>
      </c>
      <c r="S83" s="253"/>
      <c r="T83" s="253"/>
      <c r="U83" s="253"/>
    </row>
    <row r="84" spans="1:21" x14ac:dyDescent="0.25">
      <c r="A84" s="253"/>
      <c r="B84" s="253"/>
      <c r="C84" s="28"/>
      <c r="D84" s="253" t="s">
        <v>1768</v>
      </c>
      <c r="E84" s="253"/>
      <c r="F84" s="253"/>
      <c r="G84" s="253"/>
      <c r="H84" s="253"/>
      <c r="I84" s="253"/>
      <c r="J84" s="253"/>
      <c r="K84" s="253"/>
      <c r="L84" s="253"/>
      <c r="M84" s="253"/>
      <c r="N84" s="253"/>
      <c r="O84" s="253"/>
      <c r="P84" s="253" t="s">
        <v>1761</v>
      </c>
      <c r="Q84" s="253"/>
      <c r="R84" s="253" t="s">
        <v>1765</v>
      </c>
      <c r="S84" s="253"/>
      <c r="T84" s="253"/>
      <c r="U84" s="253"/>
    </row>
    <row r="85" spans="1:21" x14ac:dyDescent="0.25">
      <c r="A85" s="253" t="s">
        <v>1779</v>
      </c>
      <c r="B85" s="253"/>
      <c r="C85" s="253"/>
      <c r="D85" s="253"/>
      <c r="E85" s="253"/>
      <c r="F85" s="253"/>
      <c r="G85" s="253"/>
      <c r="H85" s="253"/>
      <c r="I85" s="253"/>
      <c r="J85" s="253"/>
      <c r="K85" s="253"/>
      <c r="L85" s="253"/>
      <c r="M85" s="253"/>
      <c r="N85" s="253"/>
      <c r="O85" s="253"/>
      <c r="P85" s="253"/>
      <c r="Q85" s="253"/>
      <c r="R85" s="253"/>
      <c r="S85" s="253"/>
      <c r="T85" s="253"/>
      <c r="U85" s="253"/>
    </row>
    <row r="86" spans="1:21" x14ac:dyDescent="0.25">
      <c r="A86" s="27">
        <v>1960</v>
      </c>
      <c r="B86" s="27">
        <v>12.1</v>
      </c>
      <c r="C86" s="27">
        <v>46.6</v>
      </c>
      <c r="D86" s="27">
        <v>199.8</v>
      </c>
      <c r="E86" s="27"/>
      <c r="F86" s="27">
        <v>2.4</v>
      </c>
      <c r="G86" s="27">
        <v>27.5</v>
      </c>
      <c r="H86" s="27">
        <v>229.8</v>
      </c>
      <c r="I86" s="27"/>
      <c r="J86" s="27">
        <v>8.5</v>
      </c>
      <c r="K86" s="27"/>
      <c r="L86" s="27" t="s">
        <v>1685</v>
      </c>
      <c r="M86" s="27" t="s">
        <v>1685</v>
      </c>
      <c r="N86" s="27"/>
      <c r="O86" s="27">
        <v>14.3</v>
      </c>
      <c r="P86" s="27">
        <v>311.39999999999998</v>
      </c>
      <c r="Q86" s="27"/>
      <c r="R86" s="27">
        <v>28.8</v>
      </c>
      <c r="S86" s="54" t="s">
        <v>1778</v>
      </c>
      <c r="T86" s="27">
        <v>340.2</v>
      </c>
      <c r="U86" s="54" t="s">
        <v>1778</v>
      </c>
    </row>
    <row r="87" spans="1:21" x14ac:dyDescent="0.25">
      <c r="A87" s="27">
        <v>1961</v>
      </c>
      <c r="B87" s="27">
        <v>9.6</v>
      </c>
      <c r="C87" s="27">
        <v>51.4</v>
      </c>
      <c r="D87" s="27">
        <v>205.6</v>
      </c>
      <c r="E87" s="27"/>
      <c r="F87" s="27">
        <v>2.2000000000000002</v>
      </c>
      <c r="G87" s="27">
        <v>26.8</v>
      </c>
      <c r="H87" s="27">
        <v>234.5</v>
      </c>
      <c r="I87" s="27"/>
      <c r="J87" s="27">
        <v>8.4</v>
      </c>
      <c r="K87" s="27"/>
      <c r="L87" s="27" t="s">
        <v>1685</v>
      </c>
      <c r="M87" s="27" t="s">
        <v>1685</v>
      </c>
      <c r="N87" s="27"/>
      <c r="O87" s="27">
        <v>15.2</v>
      </c>
      <c r="P87" s="27">
        <v>319</v>
      </c>
      <c r="Q87" s="27"/>
      <c r="R87" s="27">
        <v>30.2</v>
      </c>
      <c r="S87" s="54" t="s">
        <v>1778</v>
      </c>
      <c r="T87" s="27">
        <v>349.2</v>
      </c>
      <c r="U87" s="54" t="s">
        <v>1778</v>
      </c>
    </row>
    <row r="88" spans="1:21" x14ac:dyDescent="0.25">
      <c r="A88" s="27">
        <v>1962</v>
      </c>
      <c r="B88" s="27">
        <v>9.1</v>
      </c>
      <c r="C88" s="27">
        <v>56</v>
      </c>
      <c r="D88" s="27">
        <v>210.8</v>
      </c>
      <c r="E88" s="27"/>
      <c r="F88" s="27">
        <v>2.6</v>
      </c>
      <c r="G88" s="27">
        <v>26</v>
      </c>
      <c r="H88" s="27">
        <v>239.4</v>
      </c>
      <c r="I88" s="27"/>
      <c r="J88" s="27">
        <v>8.3000000000000007</v>
      </c>
      <c r="K88" s="27"/>
      <c r="L88" s="27" t="s">
        <v>1685</v>
      </c>
      <c r="M88" s="27" t="s">
        <v>1685</v>
      </c>
      <c r="N88" s="27"/>
      <c r="O88" s="27">
        <v>16.100000000000001</v>
      </c>
      <c r="P88" s="27">
        <v>328.9</v>
      </c>
      <c r="Q88" s="27"/>
      <c r="R88" s="27">
        <v>31.3</v>
      </c>
      <c r="S88" s="54" t="s">
        <v>1778</v>
      </c>
      <c r="T88" s="27">
        <v>360.3</v>
      </c>
      <c r="U88" s="54" t="s">
        <v>1778</v>
      </c>
    </row>
    <row r="89" spans="1:21" x14ac:dyDescent="0.25">
      <c r="A89" s="27">
        <v>1963</v>
      </c>
      <c r="B89" s="27">
        <v>6.6</v>
      </c>
      <c r="C89" s="27">
        <v>59.1</v>
      </c>
      <c r="D89" s="27">
        <v>199.7</v>
      </c>
      <c r="E89" s="27"/>
      <c r="F89" s="27">
        <v>2.7</v>
      </c>
      <c r="G89" s="27">
        <v>23.2</v>
      </c>
      <c r="H89" s="27">
        <v>225.5</v>
      </c>
      <c r="I89" s="27"/>
      <c r="J89" s="27">
        <v>8.1</v>
      </c>
      <c r="K89" s="27"/>
      <c r="L89" s="27" t="s">
        <v>1685</v>
      </c>
      <c r="M89" s="27" t="s">
        <v>1685</v>
      </c>
      <c r="N89" s="27"/>
      <c r="O89" s="27">
        <v>17.2</v>
      </c>
      <c r="P89" s="27">
        <v>316.5</v>
      </c>
      <c r="Q89" s="27"/>
      <c r="R89" s="27">
        <v>33.9</v>
      </c>
      <c r="S89" s="54" t="s">
        <v>1778</v>
      </c>
      <c r="T89" s="27">
        <v>350.4</v>
      </c>
      <c r="U89" s="54" t="s">
        <v>1778</v>
      </c>
    </row>
    <row r="90" spans="1:21" x14ac:dyDescent="0.25">
      <c r="A90" s="27">
        <v>1964</v>
      </c>
      <c r="B90" s="27">
        <v>6.3</v>
      </c>
      <c r="C90" s="27">
        <v>62.5</v>
      </c>
      <c r="D90" s="27">
        <v>193.1</v>
      </c>
      <c r="E90" s="27"/>
      <c r="F90" s="27">
        <v>2.7</v>
      </c>
      <c r="G90" s="27">
        <v>18.5</v>
      </c>
      <c r="H90" s="27">
        <v>214.3</v>
      </c>
      <c r="I90" s="27"/>
      <c r="J90" s="27">
        <v>7.7</v>
      </c>
      <c r="K90" s="27"/>
      <c r="L90" s="27" t="s">
        <v>1685</v>
      </c>
      <c r="M90" s="27" t="s">
        <v>1685</v>
      </c>
      <c r="N90" s="27"/>
      <c r="O90" s="27">
        <v>18.3</v>
      </c>
      <c r="P90" s="27">
        <v>309.2</v>
      </c>
      <c r="Q90" s="27"/>
      <c r="R90" s="27">
        <v>36</v>
      </c>
      <c r="S90" s="54" t="s">
        <v>1778</v>
      </c>
      <c r="T90" s="27">
        <v>345.1</v>
      </c>
      <c r="U90" s="54" t="s">
        <v>1778</v>
      </c>
    </row>
    <row r="91" spans="1:21" x14ac:dyDescent="0.25">
      <c r="A91" s="27">
        <v>1965</v>
      </c>
      <c r="B91" s="27">
        <v>5.2</v>
      </c>
      <c r="C91" s="27">
        <v>65.7</v>
      </c>
      <c r="D91" s="27">
        <v>216</v>
      </c>
      <c r="E91" s="27"/>
      <c r="F91" s="27">
        <v>3</v>
      </c>
      <c r="G91" s="27">
        <v>15.2</v>
      </c>
      <c r="H91" s="27">
        <v>234.2</v>
      </c>
      <c r="I91" s="27"/>
      <c r="J91" s="27">
        <v>7.6</v>
      </c>
      <c r="K91" s="27"/>
      <c r="L91" s="27" t="s">
        <v>1685</v>
      </c>
      <c r="M91" s="27" t="s">
        <v>1685</v>
      </c>
      <c r="N91" s="27"/>
      <c r="O91" s="27">
        <v>19.7</v>
      </c>
      <c r="P91" s="27">
        <v>332.3</v>
      </c>
      <c r="Q91" s="27"/>
      <c r="R91" s="27">
        <v>38.700000000000003</v>
      </c>
      <c r="S91" s="54" t="s">
        <v>1778</v>
      </c>
      <c r="T91" s="27">
        <v>371</v>
      </c>
      <c r="U91" s="54" t="s">
        <v>1778</v>
      </c>
    </row>
    <row r="92" spans="1:21" x14ac:dyDescent="0.25">
      <c r="A92" s="27">
        <v>1966</v>
      </c>
      <c r="B92" s="27">
        <v>4.5999999999999996</v>
      </c>
      <c r="C92" s="27">
        <v>67.2</v>
      </c>
      <c r="D92" s="27">
        <v>193</v>
      </c>
      <c r="E92" s="27"/>
      <c r="F92" s="27">
        <v>2.6</v>
      </c>
      <c r="G92" s="27">
        <v>10.8</v>
      </c>
      <c r="H92" s="27">
        <v>206.4</v>
      </c>
      <c r="I92" s="27"/>
      <c r="J92" s="27">
        <v>7.6</v>
      </c>
      <c r="K92" s="27"/>
      <c r="L92" s="27" t="s">
        <v>1685</v>
      </c>
      <c r="M92" s="27" t="s">
        <v>1685</v>
      </c>
      <c r="N92" s="27"/>
      <c r="O92" s="27">
        <v>21.2</v>
      </c>
      <c r="P92" s="27">
        <v>307</v>
      </c>
      <c r="Q92" s="27"/>
      <c r="R92" s="27">
        <v>42.7</v>
      </c>
      <c r="S92" s="54" t="s">
        <v>1778</v>
      </c>
      <c r="T92" s="27">
        <v>349.7</v>
      </c>
      <c r="U92" s="54" t="s">
        <v>1778</v>
      </c>
    </row>
    <row r="93" spans="1:21" x14ac:dyDescent="0.25">
      <c r="A93" s="27">
        <v>1967</v>
      </c>
      <c r="B93" s="27">
        <v>4.0999999999999996</v>
      </c>
      <c r="C93" s="27">
        <v>74.400000000000006</v>
      </c>
      <c r="D93" s="27">
        <v>208.4</v>
      </c>
      <c r="E93" s="27"/>
      <c r="F93" s="27">
        <v>2.6</v>
      </c>
      <c r="G93" s="27">
        <v>9.3000000000000007</v>
      </c>
      <c r="H93" s="27">
        <v>220.3</v>
      </c>
      <c r="I93" s="27"/>
      <c r="J93" s="27">
        <v>8.1</v>
      </c>
      <c r="K93" s="27"/>
      <c r="L93" s="27" t="s">
        <v>1685</v>
      </c>
      <c r="M93" s="27" t="s">
        <v>1685</v>
      </c>
      <c r="N93" s="27"/>
      <c r="O93" s="27">
        <v>23.6</v>
      </c>
      <c r="P93" s="27">
        <v>330.6</v>
      </c>
      <c r="Q93" s="27"/>
      <c r="R93" s="27">
        <v>46.6</v>
      </c>
      <c r="S93" s="54" t="s">
        <v>1778</v>
      </c>
      <c r="T93" s="27">
        <v>377.2</v>
      </c>
      <c r="U93" s="54" t="s">
        <v>1778</v>
      </c>
    </row>
    <row r="94" spans="1:21" x14ac:dyDescent="0.25">
      <c r="A94" s="27">
        <v>1968</v>
      </c>
      <c r="B94" s="27">
        <v>3.9</v>
      </c>
      <c r="C94" s="27">
        <v>75.8</v>
      </c>
      <c r="D94" s="27">
        <v>214.5</v>
      </c>
      <c r="E94" s="27"/>
      <c r="F94" s="27">
        <v>2.8</v>
      </c>
      <c r="G94" s="27">
        <v>8</v>
      </c>
      <c r="H94" s="27">
        <v>225.3</v>
      </c>
      <c r="I94" s="27"/>
      <c r="J94" s="27">
        <v>8.3000000000000007</v>
      </c>
      <c r="K94" s="27"/>
      <c r="L94" s="27" t="s">
        <v>1685</v>
      </c>
      <c r="M94" s="27" t="s">
        <v>1685</v>
      </c>
      <c r="N94" s="27"/>
      <c r="O94" s="27">
        <v>25.9</v>
      </c>
      <c r="P94" s="27">
        <v>339.2</v>
      </c>
      <c r="Q94" s="27"/>
      <c r="R94" s="27">
        <v>51.9</v>
      </c>
      <c r="S94" s="54" t="s">
        <v>1778</v>
      </c>
      <c r="T94" s="27">
        <v>391.1</v>
      </c>
      <c r="U94" s="54" t="s">
        <v>1778</v>
      </c>
    </row>
    <row r="95" spans="1:21" x14ac:dyDescent="0.25">
      <c r="A95" s="27">
        <v>1969</v>
      </c>
      <c r="B95" s="27">
        <v>3</v>
      </c>
      <c r="C95" s="27">
        <v>79.400000000000006</v>
      </c>
      <c r="D95" s="27">
        <v>221</v>
      </c>
      <c r="E95" s="27"/>
      <c r="F95" s="27">
        <v>3.2</v>
      </c>
      <c r="G95" s="27">
        <v>8.1</v>
      </c>
      <c r="H95" s="27">
        <v>232.2</v>
      </c>
      <c r="I95" s="27"/>
      <c r="J95" s="27">
        <v>8.6</v>
      </c>
      <c r="K95" s="27"/>
      <c r="L95" s="27" t="s">
        <v>1685</v>
      </c>
      <c r="M95" s="27" t="s">
        <v>1685</v>
      </c>
      <c r="N95" s="27"/>
      <c r="O95" s="27">
        <v>28.7</v>
      </c>
      <c r="P95" s="27">
        <v>351.8</v>
      </c>
      <c r="Q95" s="27"/>
      <c r="R95" s="27">
        <v>57.1</v>
      </c>
      <c r="S95" s="54" t="s">
        <v>1778</v>
      </c>
      <c r="T95" s="27">
        <v>408.9</v>
      </c>
      <c r="U95" s="54" t="s">
        <v>1778</v>
      </c>
    </row>
    <row r="96" spans="1:21" x14ac:dyDescent="0.25">
      <c r="A96" s="27">
        <v>1970</v>
      </c>
      <c r="B96" s="27">
        <v>2.5</v>
      </c>
      <c r="C96" s="27">
        <v>83.6</v>
      </c>
      <c r="D96" s="27">
        <v>224.4</v>
      </c>
      <c r="E96" s="27"/>
      <c r="F96" s="27">
        <v>3</v>
      </c>
      <c r="G96" s="27">
        <v>8.1</v>
      </c>
      <c r="H96" s="27">
        <v>235.6</v>
      </c>
      <c r="I96" s="27"/>
      <c r="J96" s="27">
        <v>9.1999999999999993</v>
      </c>
      <c r="K96" s="27"/>
      <c r="L96" s="27" t="s">
        <v>1685</v>
      </c>
      <c r="M96" s="27" t="s">
        <v>1685</v>
      </c>
      <c r="N96" s="27"/>
      <c r="O96" s="27">
        <v>31.8</v>
      </c>
      <c r="P96" s="27">
        <v>362.7</v>
      </c>
      <c r="Q96" s="27"/>
      <c r="R96" s="27">
        <v>65.2</v>
      </c>
      <c r="S96" s="54" t="s">
        <v>1778</v>
      </c>
      <c r="T96" s="27">
        <v>427.9</v>
      </c>
      <c r="U96" s="54" t="s">
        <v>1778</v>
      </c>
    </row>
    <row r="97" spans="1:21" x14ac:dyDescent="0.25">
      <c r="A97" s="27">
        <v>1971</v>
      </c>
      <c r="B97" s="27">
        <v>1.9</v>
      </c>
      <c r="C97" s="27">
        <v>84.4</v>
      </c>
      <c r="D97" s="27">
        <v>233.7</v>
      </c>
      <c r="E97" s="27"/>
      <c r="F97" s="27">
        <v>3</v>
      </c>
      <c r="G97" s="27">
        <v>8.1</v>
      </c>
      <c r="H97" s="27">
        <v>244.8</v>
      </c>
      <c r="I97" s="27"/>
      <c r="J97" s="27">
        <v>9.1</v>
      </c>
      <c r="K97" s="27"/>
      <c r="L97" s="27" t="s">
        <v>1685</v>
      </c>
      <c r="M97" s="27" t="s">
        <v>1685</v>
      </c>
      <c r="N97" s="27"/>
      <c r="O97" s="27">
        <v>34.799999999999997</v>
      </c>
      <c r="P97" s="27">
        <v>375</v>
      </c>
      <c r="Q97" s="27"/>
      <c r="R97" s="27">
        <v>70.8</v>
      </c>
      <c r="S97" s="54" t="s">
        <v>1778</v>
      </c>
      <c r="T97" s="27">
        <v>445.9</v>
      </c>
      <c r="U97" s="54" t="s">
        <v>1778</v>
      </c>
    </row>
    <row r="98" spans="1:21" x14ac:dyDescent="0.25">
      <c r="A98" s="27">
        <v>1972</v>
      </c>
      <c r="B98" s="27">
        <v>1.3</v>
      </c>
      <c r="C98" s="27">
        <v>87.2</v>
      </c>
      <c r="D98" s="27">
        <v>241.2</v>
      </c>
      <c r="E98" s="27"/>
      <c r="F98" s="27">
        <v>3.4</v>
      </c>
      <c r="G98" s="27">
        <v>8.6</v>
      </c>
      <c r="H98" s="27">
        <v>253.1</v>
      </c>
      <c r="I98" s="27"/>
      <c r="J98" s="27">
        <v>9.4</v>
      </c>
      <c r="K98" s="27"/>
      <c r="L98" s="27" t="s">
        <v>1685</v>
      </c>
      <c r="M98" s="27" t="s">
        <v>1685</v>
      </c>
      <c r="N98" s="27"/>
      <c r="O98" s="27">
        <v>37.4</v>
      </c>
      <c r="P98" s="27">
        <v>388.5</v>
      </c>
      <c r="Q98" s="27"/>
      <c r="R98" s="27">
        <v>76.400000000000006</v>
      </c>
      <c r="S98" s="54" t="s">
        <v>1778</v>
      </c>
      <c r="T98" s="27">
        <v>464.9</v>
      </c>
      <c r="U98" s="54" t="s">
        <v>1778</v>
      </c>
    </row>
    <row r="99" spans="1:21" x14ac:dyDescent="0.25">
      <c r="A99" s="27">
        <v>1973</v>
      </c>
      <c r="B99" s="27">
        <v>1.2</v>
      </c>
      <c r="C99" s="27">
        <v>84.9</v>
      </c>
      <c r="D99" s="27">
        <v>242.5</v>
      </c>
      <c r="E99" s="27"/>
      <c r="F99" s="27">
        <v>3.1</v>
      </c>
      <c r="G99" s="27">
        <v>5.9</v>
      </c>
      <c r="H99" s="27">
        <v>251.5</v>
      </c>
      <c r="I99" s="27"/>
      <c r="J99" s="27">
        <v>8.6999999999999993</v>
      </c>
      <c r="K99" s="27"/>
      <c r="L99" s="27" t="s">
        <v>1685</v>
      </c>
      <c r="M99" s="27" t="s">
        <v>1685</v>
      </c>
      <c r="N99" s="27"/>
      <c r="O99" s="27">
        <v>40</v>
      </c>
      <c r="P99" s="27">
        <v>386.3</v>
      </c>
      <c r="Q99" s="27"/>
      <c r="R99" s="27">
        <v>81.7</v>
      </c>
      <c r="S99" s="54" t="s">
        <v>1778</v>
      </c>
      <c r="T99" s="27">
        <v>468.1</v>
      </c>
      <c r="U99" s="54" t="s">
        <v>1778</v>
      </c>
    </row>
    <row r="100" spans="1:21" x14ac:dyDescent="0.25">
      <c r="A100" s="27">
        <v>1974</v>
      </c>
      <c r="B100" s="27">
        <v>1</v>
      </c>
      <c r="C100" s="27">
        <v>86.3</v>
      </c>
      <c r="D100" s="27">
        <v>227.7</v>
      </c>
      <c r="E100" s="27"/>
      <c r="F100" s="27">
        <v>3.1</v>
      </c>
      <c r="G100" s="27">
        <v>3.6</v>
      </c>
      <c r="H100" s="27">
        <v>234.3</v>
      </c>
      <c r="I100" s="27"/>
      <c r="J100" s="27">
        <v>9.1</v>
      </c>
      <c r="K100" s="27"/>
      <c r="L100" s="27" t="s">
        <v>1685</v>
      </c>
      <c r="M100" s="27" t="s">
        <v>1685</v>
      </c>
      <c r="N100" s="27"/>
      <c r="O100" s="27">
        <v>39</v>
      </c>
      <c r="P100" s="27">
        <v>369.7</v>
      </c>
      <c r="Q100" s="27"/>
      <c r="R100" s="27">
        <v>80.099999999999994</v>
      </c>
      <c r="S100" s="54" t="s">
        <v>1778</v>
      </c>
      <c r="T100" s="27">
        <v>449.8</v>
      </c>
      <c r="U100" s="54" t="s">
        <v>1778</v>
      </c>
    </row>
    <row r="101" spans="1:21" x14ac:dyDescent="0.25">
      <c r="A101" s="27">
        <v>1975</v>
      </c>
      <c r="B101" s="27">
        <v>0.7</v>
      </c>
      <c r="C101" s="27">
        <v>90.6</v>
      </c>
      <c r="D101" s="27">
        <v>220.5</v>
      </c>
      <c r="E101" s="27"/>
      <c r="F101" s="27">
        <v>3.2</v>
      </c>
      <c r="G101" s="27">
        <v>3.3</v>
      </c>
      <c r="H101" s="27">
        <v>227.1</v>
      </c>
      <c r="I101" s="27"/>
      <c r="J101" s="27">
        <v>9.8000000000000007</v>
      </c>
      <c r="K101" s="27"/>
      <c r="L101" s="27" t="s">
        <v>1685</v>
      </c>
      <c r="M101" s="27" t="s">
        <v>1685</v>
      </c>
      <c r="N101" s="27"/>
      <c r="O101" s="27">
        <v>36.299999999999997</v>
      </c>
      <c r="P101" s="27">
        <v>364.6</v>
      </c>
      <c r="Q101" s="27"/>
      <c r="R101" s="27">
        <v>74.2</v>
      </c>
      <c r="S101" s="54" t="s">
        <v>1778</v>
      </c>
      <c r="T101" s="27">
        <v>438.7</v>
      </c>
      <c r="U101" s="54" t="s">
        <v>1778</v>
      </c>
    </row>
    <row r="102" spans="1:21" x14ac:dyDescent="0.25">
      <c r="A102" s="27">
        <v>1976</v>
      </c>
      <c r="B102" s="27">
        <v>0.6</v>
      </c>
      <c r="C102" s="27">
        <v>95.7</v>
      </c>
      <c r="D102" s="27">
        <v>238.8</v>
      </c>
      <c r="E102" s="27"/>
      <c r="F102" s="27">
        <v>3.4</v>
      </c>
      <c r="G102" s="27">
        <v>3.7</v>
      </c>
      <c r="H102" s="27">
        <v>245.9</v>
      </c>
      <c r="I102" s="27"/>
      <c r="J102" s="27">
        <v>10.9</v>
      </c>
      <c r="K102" s="27"/>
      <c r="L102" s="27" t="s">
        <v>1685</v>
      </c>
      <c r="M102" s="27" t="s">
        <v>1685</v>
      </c>
      <c r="N102" s="27"/>
      <c r="O102" s="27">
        <v>38.299999999999997</v>
      </c>
      <c r="P102" s="27">
        <v>391.4</v>
      </c>
      <c r="Q102" s="27"/>
      <c r="R102" s="27">
        <v>79.5</v>
      </c>
      <c r="S102" s="54" t="s">
        <v>1778</v>
      </c>
      <c r="T102" s="27">
        <v>471</v>
      </c>
      <c r="U102" s="54" t="s">
        <v>1778</v>
      </c>
    </row>
    <row r="103" spans="1:21" x14ac:dyDescent="0.25">
      <c r="A103" s="27">
        <v>1977</v>
      </c>
      <c r="B103" s="27">
        <v>0.6</v>
      </c>
      <c r="C103" s="27">
        <v>93.9</v>
      </c>
      <c r="D103" s="27">
        <v>232.4</v>
      </c>
      <c r="E103" s="27"/>
      <c r="F103" s="27">
        <v>3.8</v>
      </c>
      <c r="G103" s="27">
        <v>3.8</v>
      </c>
      <c r="H103" s="27">
        <v>240</v>
      </c>
      <c r="I103" s="27"/>
      <c r="J103" s="27">
        <v>12</v>
      </c>
      <c r="K103" s="27"/>
      <c r="L103" s="27" t="s">
        <v>1685</v>
      </c>
      <c r="M103" s="27" t="s">
        <v>1685</v>
      </c>
      <c r="N103" s="27"/>
      <c r="O103" s="27">
        <v>37.799999999999997</v>
      </c>
      <c r="P103" s="27">
        <v>384.3</v>
      </c>
      <c r="Q103" s="27"/>
      <c r="R103" s="27">
        <v>81.5</v>
      </c>
      <c r="S103" s="54" t="s">
        <v>1778</v>
      </c>
      <c r="T103" s="27">
        <v>465.8</v>
      </c>
      <c r="U103" s="54" t="s">
        <v>1778</v>
      </c>
    </row>
    <row r="104" spans="1:21" x14ac:dyDescent="0.25">
      <c r="A104" s="27">
        <v>1978</v>
      </c>
      <c r="B104" s="27">
        <v>0.4</v>
      </c>
      <c r="C104" s="27">
        <v>87.6</v>
      </c>
      <c r="D104" s="27">
        <v>222</v>
      </c>
      <c r="E104" s="27"/>
      <c r="F104" s="27">
        <v>3.6</v>
      </c>
      <c r="G104" s="27">
        <v>2.6</v>
      </c>
      <c r="H104" s="27">
        <v>228.2</v>
      </c>
      <c r="I104" s="27"/>
      <c r="J104" s="27">
        <v>14.4</v>
      </c>
      <c r="K104" s="27"/>
      <c r="L104" s="27" t="s">
        <v>1685</v>
      </c>
      <c r="M104" s="27" t="s">
        <v>1685</v>
      </c>
      <c r="N104" s="27"/>
      <c r="O104" s="27">
        <v>38.4</v>
      </c>
      <c r="P104" s="27">
        <v>368.9</v>
      </c>
      <c r="Q104" s="27"/>
      <c r="R104" s="27">
        <v>81.900000000000006</v>
      </c>
      <c r="S104" s="54" t="s">
        <v>1778</v>
      </c>
      <c r="T104" s="27">
        <v>450.8</v>
      </c>
      <c r="U104" s="54" t="s">
        <v>1778</v>
      </c>
    </row>
    <row r="105" spans="1:21" x14ac:dyDescent="0.25">
      <c r="A105" s="27">
        <v>1979</v>
      </c>
      <c r="B105" s="27">
        <v>0.3</v>
      </c>
      <c r="C105" s="27">
        <v>81.599999999999994</v>
      </c>
      <c r="D105" s="27">
        <v>153</v>
      </c>
      <c r="E105" s="27"/>
      <c r="F105" s="27">
        <v>2.1</v>
      </c>
      <c r="G105" s="27">
        <v>2.5</v>
      </c>
      <c r="H105" s="27">
        <v>157.6</v>
      </c>
      <c r="I105" s="27"/>
      <c r="J105" s="27">
        <v>16.2</v>
      </c>
      <c r="K105" s="27"/>
      <c r="L105" s="27" t="s">
        <v>1685</v>
      </c>
      <c r="M105" s="27" t="s">
        <v>1685</v>
      </c>
      <c r="N105" s="27"/>
      <c r="O105" s="27">
        <v>39</v>
      </c>
      <c r="P105" s="27">
        <v>294.60000000000002</v>
      </c>
      <c r="Q105" s="27"/>
      <c r="R105" s="27">
        <v>82.1</v>
      </c>
      <c r="S105" s="54" t="s">
        <v>1778</v>
      </c>
      <c r="T105" s="27">
        <v>376.7</v>
      </c>
      <c r="U105" s="54" t="s">
        <v>1778</v>
      </c>
    </row>
    <row r="106" spans="1:21" x14ac:dyDescent="0.25">
      <c r="A106" s="27">
        <v>1980</v>
      </c>
      <c r="B106" s="27">
        <v>0.5</v>
      </c>
      <c r="C106" s="27">
        <v>96</v>
      </c>
      <c r="D106" s="27">
        <v>132.30000000000001</v>
      </c>
      <c r="E106" s="27"/>
      <c r="F106" s="27">
        <v>2.2000000000000002</v>
      </c>
      <c r="G106" s="27">
        <v>1.8</v>
      </c>
      <c r="H106" s="27">
        <v>136.30000000000001</v>
      </c>
      <c r="I106" s="27"/>
      <c r="J106" s="27">
        <v>42</v>
      </c>
      <c r="K106" s="27"/>
      <c r="L106" s="27" t="s">
        <v>1685</v>
      </c>
      <c r="M106" s="27" t="s">
        <v>1685</v>
      </c>
      <c r="N106" s="27"/>
      <c r="O106" s="27">
        <v>39.5</v>
      </c>
      <c r="P106" s="27">
        <v>306.10000000000002</v>
      </c>
      <c r="Q106" s="27"/>
      <c r="R106" s="27">
        <v>84</v>
      </c>
      <c r="S106" s="54" t="s">
        <v>1778</v>
      </c>
      <c r="T106" s="27">
        <v>390.1</v>
      </c>
      <c r="U106" s="54" t="s">
        <v>1778</v>
      </c>
    </row>
    <row r="107" spans="1:21" x14ac:dyDescent="0.25">
      <c r="A107" s="27">
        <v>1981</v>
      </c>
      <c r="B107" s="27">
        <v>0.6</v>
      </c>
      <c r="C107" s="27">
        <v>98.3</v>
      </c>
      <c r="D107" s="27">
        <v>108.9</v>
      </c>
      <c r="E107" s="27"/>
      <c r="F107" s="27">
        <v>2.2999999999999998</v>
      </c>
      <c r="G107" s="27">
        <v>1</v>
      </c>
      <c r="H107" s="27">
        <v>112.3</v>
      </c>
      <c r="I107" s="27"/>
      <c r="J107" s="27">
        <v>38.4</v>
      </c>
      <c r="K107" s="27"/>
      <c r="L107" s="27" t="s">
        <v>1685</v>
      </c>
      <c r="M107" s="27" t="s">
        <v>1685</v>
      </c>
      <c r="N107" s="27"/>
      <c r="O107" s="27">
        <v>39.9</v>
      </c>
      <c r="P107" s="27">
        <v>277.7</v>
      </c>
      <c r="Q107" s="27"/>
      <c r="R107" s="27">
        <v>83.1</v>
      </c>
      <c r="S107" s="54" t="s">
        <v>1778</v>
      </c>
      <c r="T107" s="27">
        <v>360.8</v>
      </c>
      <c r="U107" s="54" t="s">
        <v>1778</v>
      </c>
    </row>
    <row r="108" spans="1:21" x14ac:dyDescent="0.25">
      <c r="A108" s="27">
        <v>1982</v>
      </c>
      <c r="B108" s="27">
        <v>0.6</v>
      </c>
      <c r="C108" s="27">
        <v>99.8</v>
      </c>
      <c r="D108" s="27">
        <v>105.4</v>
      </c>
      <c r="E108" s="27"/>
      <c r="F108" s="27">
        <v>2.2999999999999998</v>
      </c>
      <c r="G108" s="27">
        <v>2.9</v>
      </c>
      <c r="H108" s="27">
        <v>110.5</v>
      </c>
      <c r="I108" s="27"/>
      <c r="J108" s="27">
        <v>34.799999999999997</v>
      </c>
      <c r="K108" s="27"/>
      <c r="L108" s="27" t="s">
        <v>1685</v>
      </c>
      <c r="M108" s="27" t="s">
        <v>1685</v>
      </c>
      <c r="N108" s="27"/>
      <c r="O108" s="27">
        <v>40.9</v>
      </c>
      <c r="P108" s="27">
        <v>277.60000000000002</v>
      </c>
      <c r="Q108" s="27"/>
      <c r="R108" s="27">
        <v>84</v>
      </c>
      <c r="S108" s="54" t="s">
        <v>1778</v>
      </c>
      <c r="T108" s="27">
        <v>361.5</v>
      </c>
      <c r="U108" s="54" t="s">
        <v>1778</v>
      </c>
    </row>
    <row r="109" spans="1:21" x14ac:dyDescent="0.25">
      <c r="A109" s="27">
        <v>1983</v>
      </c>
      <c r="B109" s="27">
        <v>0.5</v>
      </c>
      <c r="C109" s="27">
        <v>93.7</v>
      </c>
      <c r="D109" s="27">
        <v>102.3</v>
      </c>
      <c r="E109" s="27"/>
      <c r="F109" s="27">
        <v>2.7</v>
      </c>
      <c r="G109" s="27">
        <v>0.9</v>
      </c>
      <c r="H109" s="27">
        <v>106</v>
      </c>
      <c r="I109" s="27"/>
      <c r="J109" s="27">
        <v>42.6</v>
      </c>
      <c r="K109" s="27"/>
      <c r="L109" s="27" t="s">
        <v>1685</v>
      </c>
      <c r="M109" s="27" t="s">
        <v>1685</v>
      </c>
      <c r="N109" s="27"/>
      <c r="O109" s="27">
        <v>42.4</v>
      </c>
      <c r="P109" s="27">
        <v>280</v>
      </c>
      <c r="Q109" s="27"/>
      <c r="R109" s="27">
        <v>85.9</v>
      </c>
      <c r="S109" s="54" t="s">
        <v>1778</v>
      </c>
      <c r="T109" s="27">
        <v>365.8</v>
      </c>
      <c r="U109" s="54" t="s">
        <v>1778</v>
      </c>
    </row>
    <row r="110" spans="1:21" x14ac:dyDescent="0.25">
      <c r="A110" s="27">
        <v>1984</v>
      </c>
      <c r="B110" s="27">
        <v>1</v>
      </c>
      <c r="C110" s="27">
        <v>99.2</v>
      </c>
      <c r="D110" s="27">
        <v>120.3</v>
      </c>
      <c r="E110" s="27"/>
      <c r="F110" s="27">
        <v>2.8</v>
      </c>
      <c r="G110" s="27">
        <v>3.9</v>
      </c>
      <c r="H110" s="27">
        <v>127</v>
      </c>
      <c r="I110" s="27"/>
      <c r="J110" s="27">
        <v>28.5</v>
      </c>
      <c r="K110" s="27"/>
      <c r="L110" s="27" t="s">
        <v>1685</v>
      </c>
      <c r="M110" s="27" t="s">
        <v>1685</v>
      </c>
      <c r="N110" s="27"/>
      <c r="O110" s="27">
        <v>43.3</v>
      </c>
      <c r="P110" s="27">
        <v>296</v>
      </c>
      <c r="Q110" s="27"/>
      <c r="R110" s="27">
        <v>86</v>
      </c>
      <c r="S110" s="54" t="s">
        <v>1778</v>
      </c>
      <c r="T110" s="27">
        <v>381.9</v>
      </c>
      <c r="U110" s="54" t="s">
        <v>1778</v>
      </c>
    </row>
    <row r="111" spans="1:21" x14ac:dyDescent="0.25">
      <c r="A111" s="27">
        <v>1985</v>
      </c>
      <c r="B111" s="27">
        <v>0.7</v>
      </c>
      <c r="C111" s="27">
        <v>100.1</v>
      </c>
      <c r="D111" s="27">
        <v>116.9</v>
      </c>
      <c r="E111" s="27"/>
      <c r="F111" s="27">
        <v>3.3</v>
      </c>
      <c r="G111" s="27">
        <v>3.3</v>
      </c>
      <c r="H111" s="27">
        <v>123.4</v>
      </c>
      <c r="I111" s="27"/>
      <c r="J111" s="27">
        <v>29.4</v>
      </c>
      <c r="K111" s="27"/>
      <c r="L111" s="27" t="s">
        <v>1685</v>
      </c>
      <c r="M111" s="27" t="s">
        <v>1685</v>
      </c>
      <c r="N111" s="27"/>
      <c r="O111" s="27">
        <v>44</v>
      </c>
      <c r="P111" s="27">
        <v>296</v>
      </c>
      <c r="Q111" s="27"/>
      <c r="R111" s="27">
        <v>89.5</v>
      </c>
      <c r="S111" s="54" t="s">
        <v>1778</v>
      </c>
      <c r="T111" s="27">
        <v>385.5</v>
      </c>
      <c r="U111" s="54" t="s">
        <v>1778</v>
      </c>
    </row>
    <row r="112" spans="1:21" x14ac:dyDescent="0.25">
      <c r="A112" s="27">
        <v>1986</v>
      </c>
      <c r="B112" s="27">
        <v>0.4</v>
      </c>
      <c r="C112" s="27">
        <v>104.9</v>
      </c>
      <c r="D112" s="27">
        <v>120.1</v>
      </c>
      <c r="E112" s="27"/>
      <c r="F112" s="27">
        <v>3.7</v>
      </c>
      <c r="G112" s="27">
        <v>2.8</v>
      </c>
      <c r="H112" s="27">
        <v>126.6</v>
      </c>
      <c r="I112" s="27"/>
      <c r="J112" s="27">
        <v>26.8</v>
      </c>
      <c r="K112" s="27"/>
      <c r="L112" s="27" t="s">
        <v>1685</v>
      </c>
      <c r="M112" s="27" t="s">
        <v>1685</v>
      </c>
      <c r="N112" s="27"/>
      <c r="O112" s="27">
        <v>46.4</v>
      </c>
      <c r="P112" s="27">
        <v>303.8</v>
      </c>
      <c r="Q112" s="27"/>
      <c r="R112" s="27">
        <v>92</v>
      </c>
      <c r="S112" s="54" t="s">
        <v>1778</v>
      </c>
      <c r="T112" s="27">
        <v>395.8</v>
      </c>
      <c r="U112" s="54" t="s">
        <v>1778</v>
      </c>
    </row>
    <row r="113" spans="1:21" x14ac:dyDescent="0.25">
      <c r="A113" s="27">
        <v>1987</v>
      </c>
      <c r="B113" s="27">
        <v>0.3</v>
      </c>
      <c r="C113" s="27">
        <v>108</v>
      </c>
      <c r="D113" s="27">
        <v>123.6</v>
      </c>
      <c r="E113" s="27"/>
      <c r="F113" s="27">
        <v>4.4000000000000004</v>
      </c>
      <c r="G113" s="27">
        <v>3</v>
      </c>
      <c r="H113" s="27">
        <v>131</v>
      </c>
      <c r="I113" s="27"/>
      <c r="J113" s="27">
        <v>19.100000000000001</v>
      </c>
      <c r="K113" s="27"/>
      <c r="L113" s="27" t="s">
        <v>1685</v>
      </c>
      <c r="M113" s="27" t="s">
        <v>1685</v>
      </c>
      <c r="N113" s="27"/>
      <c r="O113" s="27">
        <v>49.4</v>
      </c>
      <c r="P113" s="27">
        <v>307.10000000000002</v>
      </c>
      <c r="Q113" s="27"/>
      <c r="R113" s="27">
        <v>98.6</v>
      </c>
      <c r="S113" s="54" t="s">
        <v>1778</v>
      </c>
      <c r="T113" s="27">
        <v>405.6</v>
      </c>
      <c r="U113" s="54" t="s">
        <v>1778</v>
      </c>
    </row>
    <row r="114" spans="1:21" x14ac:dyDescent="0.25">
      <c r="A114" s="27">
        <v>1988</v>
      </c>
      <c r="B114" s="27">
        <v>0.4</v>
      </c>
      <c r="C114" s="27">
        <v>111.9</v>
      </c>
      <c r="D114" s="27">
        <v>123.6</v>
      </c>
      <c r="E114" s="27"/>
      <c r="F114" s="27">
        <v>4.3</v>
      </c>
      <c r="G114" s="27">
        <v>1.7</v>
      </c>
      <c r="H114" s="27">
        <v>129.6</v>
      </c>
      <c r="I114" s="27"/>
      <c r="J114" s="27">
        <v>20.3</v>
      </c>
      <c r="K114" s="27"/>
      <c r="L114" s="27" t="s">
        <v>1685</v>
      </c>
      <c r="M114" s="27" t="s">
        <v>1685</v>
      </c>
      <c r="N114" s="27"/>
      <c r="O114" s="27">
        <v>52.9</v>
      </c>
      <c r="P114" s="27">
        <v>314.7</v>
      </c>
      <c r="Q114" s="27"/>
      <c r="R114" s="27">
        <v>107.5</v>
      </c>
      <c r="S114" s="54" t="s">
        <v>1778</v>
      </c>
      <c r="T114" s="27">
        <v>422.2</v>
      </c>
      <c r="U114" s="54" t="s">
        <v>1778</v>
      </c>
    </row>
    <row r="115" spans="1:21" x14ac:dyDescent="0.25">
      <c r="A115" s="27">
        <v>1989</v>
      </c>
      <c r="B115" s="27">
        <v>0.3</v>
      </c>
      <c r="C115" s="27">
        <v>115.7</v>
      </c>
      <c r="D115" s="27">
        <v>132.9</v>
      </c>
      <c r="E115" s="27"/>
      <c r="F115" s="27">
        <v>5.0999999999999996</v>
      </c>
      <c r="G115" s="27">
        <v>1.5</v>
      </c>
      <c r="H115" s="27">
        <v>139.6</v>
      </c>
      <c r="I115" s="27"/>
      <c r="J115" s="27">
        <v>20.6</v>
      </c>
      <c r="K115" s="27"/>
      <c r="L115" s="27">
        <v>0</v>
      </c>
      <c r="M115" s="27">
        <v>0.2</v>
      </c>
      <c r="N115" s="27"/>
      <c r="O115" s="27">
        <v>53.8</v>
      </c>
      <c r="P115" s="27">
        <v>329.9</v>
      </c>
      <c r="Q115" s="27"/>
      <c r="R115" s="27">
        <v>112.3</v>
      </c>
      <c r="S115" s="54" t="s">
        <v>1778</v>
      </c>
      <c r="T115" s="27">
        <v>442.1</v>
      </c>
      <c r="U115" s="54" t="s">
        <v>1778</v>
      </c>
    </row>
    <row r="116" spans="1:21" x14ac:dyDescent="0.25">
      <c r="A116" s="27">
        <v>1990</v>
      </c>
      <c r="B116" s="27">
        <v>0.3</v>
      </c>
      <c r="C116" s="27">
        <v>110.6</v>
      </c>
      <c r="D116" s="27">
        <v>119.6</v>
      </c>
      <c r="E116" s="27"/>
      <c r="F116" s="27">
        <v>4.4000000000000004</v>
      </c>
      <c r="G116" s="27">
        <v>0.9</v>
      </c>
      <c r="H116" s="27">
        <v>124.9</v>
      </c>
      <c r="I116" s="27"/>
      <c r="J116" s="27">
        <v>18.100000000000001</v>
      </c>
      <c r="K116" s="27"/>
      <c r="L116" s="27">
        <v>0</v>
      </c>
      <c r="M116" s="27">
        <v>0.2</v>
      </c>
      <c r="N116" s="27"/>
      <c r="O116" s="27">
        <v>53.2</v>
      </c>
      <c r="P116" s="27">
        <v>307.10000000000002</v>
      </c>
      <c r="Q116" s="27"/>
      <c r="R116" s="27">
        <v>121.5</v>
      </c>
      <c r="S116" s="54" t="s">
        <v>1778</v>
      </c>
      <c r="T116" s="27">
        <v>428.7</v>
      </c>
      <c r="U116" s="54" t="s">
        <v>1778</v>
      </c>
    </row>
    <row r="117" spans="1:21" x14ac:dyDescent="0.25">
      <c r="A117" s="27">
        <v>1991</v>
      </c>
      <c r="B117" s="27">
        <v>0.1</v>
      </c>
      <c r="C117" s="27">
        <v>107</v>
      </c>
      <c r="D117" s="27">
        <v>112.2</v>
      </c>
      <c r="E117" s="27"/>
      <c r="F117" s="27">
        <v>4</v>
      </c>
      <c r="G117" s="27">
        <v>0.9</v>
      </c>
      <c r="H117" s="27">
        <v>117</v>
      </c>
      <c r="I117" s="27"/>
      <c r="J117" s="27">
        <v>19</v>
      </c>
      <c r="K117" s="27"/>
      <c r="L117" s="27">
        <v>0</v>
      </c>
      <c r="M117" s="27">
        <v>0.2</v>
      </c>
      <c r="N117" s="27"/>
      <c r="O117" s="27">
        <v>52.5</v>
      </c>
      <c r="P117" s="27">
        <v>295.7</v>
      </c>
      <c r="Q117" s="27"/>
      <c r="R117" s="27">
        <v>114.9</v>
      </c>
      <c r="S117" s="54" t="s">
        <v>1778</v>
      </c>
      <c r="T117" s="27">
        <v>410.7</v>
      </c>
      <c r="U117" s="54" t="s">
        <v>1778</v>
      </c>
    </row>
    <row r="118" spans="1:21" x14ac:dyDescent="0.25">
      <c r="A118" s="27">
        <v>1992</v>
      </c>
      <c r="B118" s="27">
        <v>0.3</v>
      </c>
      <c r="C118" s="27">
        <v>124.4</v>
      </c>
      <c r="D118" s="27">
        <v>127.4</v>
      </c>
      <c r="E118" s="27"/>
      <c r="F118" s="27">
        <v>3.9</v>
      </c>
      <c r="G118" s="27">
        <v>1.5</v>
      </c>
      <c r="H118" s="27">
        <v>132.80000000000001</v>
      </c>
      <c r="I118" s="27"/>
      <c r="J118" s="27">
        <v>19.899999999999999</v>
      </c>
      <c r="K118" s="27"/>
      <c r="L118" s="27">
        <v>0</v>
      </c>
      <c r="M118" s="27">
        <v>0.2</v>
      </c>
      <c r="N118" s="27"/>
      <c r="O118" s="27">
        <v>53.1</v>
      </c>
      <c r="P118" s="27">
        <v>330.6</v>
      </c>
      <c r="Q118" s="27"/>
      <c r="R118" s="27">
        <v>119.3</v>
      </c>
      <c r="S118" s="54" t="s">
        <v>1778</v>
      </c>
      <c r="T118" s="27">
        <v>449.8</v>
      </c>
      <c r="U118" s="54" t="s">
        <v>1778</v>
      </c>
    </row>
    <row r="119" spans="1:21" x14ac:dyDescent="0.25">
      <c r="A119" s="27">
        <v>1993</v>
      </c>
      <c r="B119" s="27">
        <v>0.2</v>
      </c>
      <c r="C119" s="27">
        <v>126.1</v>
      </c>
      <c r="D119" s="27">
        <v>127.5</v>
      </c>
      <c r="E119" s="27"/>
      <c r="F119" s="27">
        <v>4.3</v>
      </c>
      <c r="G119" s="27">
        <v>1.4</v>
      </c>
      <c r="H119" s="27">
        <v>133.30000000000001</v>
      </c>
      <c r="I119" s="27"/>
      <c r="J119" s="27">
        <v>20.6</v>
      </c>
      <c r="K119" s="27"/>
      <c r="L119" s="27">
        <v>0</v>
      </c>
      <c r="M119" s="27">
        <v>0.2</v>
      </c>
      <c r="N119" s="27"/>
      <c r="O119" s="27">
        <v>53.9</v>
      </c>
      <c r="P119" s="27">
        <v>334.2</v>
      </c>
      <c r="Q119" s="27"/>
      <c r="R119" s="27">
        <v>121.3</v>
      </c>
      <c r="S119" s="54" t="s">
        <v>1778</v>
      </c>
      <c r="T119" s="27">
        <v>455.5</v>
      </c>
      <c r="U119" s="54" t="s">
        <v>1778</v>
      </c>
    </row>
    <row r="120" spans="1:21" x14ac:dyDescent="0.25">
      <c r="A120" s="27">
        <v>1994</v>
      </c>
      <c r="B120" s="27">
        <v>0.1</v>
      </c>
      <c r="C120" s="27">
        <v>122.5</v>
      </c>
      <c r="D120" s="27">
        <v>128</v>
      </c>
      <c r="E120" s="27"/>
      <c r="F120" s="27">
        <v>4.5</v>
      </c>
      <c r="G120" s="27">
        <v>1.2</v>
      </c>
      <c r="H120" s="27">
        <v>133.69999999999999</v>
      </c>
      <c r="I120" s="27"/>
      <c r="J120" s="27">
        <v>19.5</v>
      </c>
      <c r="K120" s="27"/>
      <c r="L120" s="27">
        <v>0</v>
      </c>
      <c r="M120" s="27">
        <v>0.2</v>
      </c>
      <c r="N120" s="27"/>
      <c r="O120" s="27">
        <v>54.8</v>
      </c>
      <c r="P120" s="27">
        <v>330.7</v>
      </c>
      <c r="Q120" s="27"/>
      <c r="R120" s="27">
        <v>122.7</v>
      </c>
      <c r="S120" s="54" t="s">
        <v>1778</v>
      </c>
      <c r="T120" s="27">
        <v>453.4</v>
      </c>
      <c r="U120" s="54" t="s">
        <v>1778</v>
      </c>
    </row>
    <row r="121" spans="1:21" x14ac:dyDescent="0.25">
      <c r="A121" s="27">
        <v>1995</v>
      </c>
      <c r="B121" s="27">
        <v>0.1</v>
      </c>
      <c r="C121" s="27">
        <v>108.5</v>
      </c>
      <c r="D121" s="27">
        <v>116.8</v>
      </c>
      <c r="E121" s="27"/>
      <c r="F121" s="27">
        <v>4.7</v>
      </c>
      <c r="G121" s="27">
        <v>0.7</v>
      </c>
      <c r="H121" s="27">
        <v>122.2</v>
      </c>
      <c r="I121" s="27"/>
      <c r="J121" s="27">
        <v>19.5</v>
      </c>
      <c r="K121" s="27"/>
      <c r="L121" s="27">
        <v>0</v>
      </c>
      <c r="M121" s="27">
        <v>0.2</v>
      </c>
      <c r="N121" s="27"/>
      <c r="O121" s="27">
        <v>54.6</v>
      </c>
      <c r="P121" s="27">
        <v>305</v>
      </c>
      <c r="Q121" s="27"/>
      <c r="R121" s="27">
        <v>123.9</v>
      </c>
      <c r="S121" s="54" t="s">
        <v>1778</v>
      </c>
      <c r="T121" s="27">
        <v>428.9</v>
      </c>
      <c r="U121" s="54" t="s">
        <v>1778</v>
      </c>
    </row>
    <row r="122" spans="1:21" x14ac:dyDescent="0.25">
      <c r="A122" s="27">
        <v>1996</v>
      </c>
      <c r="B122" s="27">
        <v>0.1</v>
      </c>
      <c r="C122" s="27">
        <v>117.3</v>
      </c>
      <c r="D122" s="27">
        <v>106.9</v>
      </c>
      <c r="E122" s="27"/>
      <c r="F122" s="27">
        <v>5.5</v>
      </c>
      <c r="G122" s="27">
        <v>0.8</v>
      </c>
      <c r="H122" s="27">
        <v>113.3</v>
      </c>
      <c r="I122" s="27"/>
      <c r="J122" s="27">
        <v>20.3</v>
      </c>
      <c r="K122" s="27"/>
      <c r="L122" s="27">
        <v>0</v>
      </c>
      <c r="M122" s="27">
        <v>0.2</v>
      </c>
      <c r="N122" s="27"/>
      <c r="O122" s="27">
        <v>55.5</v>
      </c>
      <c r="P122" s="27">
        <v>306.5</v>
      </c>
      <c r="Q122" s="27"/>
      <c r="R122" s="27">
        <v>120.8</v>
      </c>
      <c r="S122" s="54" t="s">
        <v>1778</v>
      </c>
      <c r="T122" s="27">
        <v>427.3</v>
      </c>
      <c r="U122" s="54" t="s">
        <v>1778</v>
      </c>
    </row>
    <row r="123" spans="1:21" x14ac:dyDescent="0.25">
      <c r="A123" s="27">
        <v>1997</v>
      </c>
      <c r="B123" s="27">
        <v>0.1</v>
      </c>
      <c r="C123" s="27">
        <v>114.5</v>
      </c>
      <c r="D123" s="27">
        <v>106.7</v>
      </c>
      <c r="E123" s="27"/>
      <c r="F123" s="27">
        <v>5.2</v>
      </c>
      <c r="G123" s="27">
        <v>1.1000000000000001</v>
      </c>
      <c r="H123" s="27">
        <v>113</v>
      </c>
      <c r="I123" s="27"/>
      <c r="J123" s="27">
        <v>14.5</v>
      </c>
      <c r="K123" s="27"/>
      <c r="L123" s="27">
        <v>0</v>
      </c>
      <c r="M123" s="27">
        <v>0.2</v>
      </c>
      <c r="N123" s="27"/>
      <c r="O123" s="27">
        <v>55.5</v>
      </c>
      <c r="P123" s="27">
        <v>297.8</v>
      </c>
      <c r="Q123" s="27"/>
      <c r="R123" s="27">
        <v>117.3</v>
      </c>
      <c r="S123" s="54" t="s">
        <v>1778</v>
      </c>
      <c r="T123" s="27">
        <v>415.1</v>
      </c>
      <c r="U123" s="54" t="s">
        <v>1778</v>
      </c>
    </row>
    <row r="124" spans="1:21" x14ac:dyDescent="0.25">
      <c r="A124" s="27">
        <v>1998</v>
      </c>
      <c r="B124" s="27">
        <v>0.1</v>
      </c>
      <c r="C124" s="27">
        <v>103.6</v>
      </c>
      <c r="D124" s="27">
        <v>98.8</v>
      </c>
      <c r="E124" s="27"/>
      <c r="F124" s="27">
        <v>4.8</v>
      </c>
      <c r="G124" s="27">
        <v>1.1000000000000001</v>
      </c>
      <c r="H124" s="27">
        <v>104.7</v>
      </c>
      <c r="I124" s="27"/>
      <c r="J124" s="27">
        <v>12.9</v>
      </c>
      <c r="K124" s="27"/>
      <c r="L124" s="27">
        <v>0</v>
      </c>
      <c r="M124" s="27">
        <v>0.2</v>
      </c>
      <c r="N124" s="27"/>
      <c r="O124" s="27">
        <v>55.9</v>
      </c>
      <c r="P124" s="27">
        <v>277.39999999999998</v>
      </c>
      <c r="Q124" s="27"/>
      <c r="R124" s="27">
        <v>123.6</v>
      </c>
      <c r="S124" s="54" t="s">
        <v>1778</v>
      </c>
      <c r="T124" s="27">
        <v>401</v>
      </c>
      <c r="U124" s="54" t="s">
        <v>1778</v>
      </c>
    </row>
    <row r="125" spans="1:21" x14ac:dyDescent="0.25">
      <c r="A125" s="27">
        <v>1999</v>
      </c>
      <c r="B125" s="27">
        <v>0.1</v>
      </c>
      <c r="C125" s="27">
        <v>112.1</v>
      </c>
      <c r="D125" s="27">
        <v>103.7</v>
      </c>
      <c r="E125" s="27"/>
      <c r="F125" s="27">
        <v>4.9000000000000004</v>
      </c>
      <c r="G125" s="27">
        <v>1</v>
      </c>
      <c r="H125" s="27">
        <v>109.6</v>
      </c>
      <c r="I125" s="27"/>
      <c r="J125" s="27">
        <v>13.3</v>
      </c>
      <c r="K125" s="27"/>
      <c r="L125" s="27" t="s">
        <v>1780</v>
      </c>
      <c r="M125" s="27">
        <v>0.2</v>
      </c>
      <c r="N125" s="27"/>
      <c r="O125" s="27">
        <v>59.3</v>
      </c>
      <c r="P125" s="27">
        <v>294.60000000000002</v>
      </c>
      <c r="Q125" s="27"/>
      <c r="R125" s="27">
        <v>130.6</v>
      </c>
      <c r="S125" s="54" t="s">
        <v>1778</v>
      </c>
      <c r="T125" s="27">
        <v>425.2</v>
      </c>
      <c r="U125" s="54" t="s">
        <v>1778</v>
      </c>
    </row>
    <row r="126" spans="1:21" x14ac:dyDescent="0.25">
      <c r="A126" s="27">
        <v>2000</v>
      </c>
      <c r="B126" s="27" t="s">
        <v>1780</v>
      </c>
      <c r="C126" s="27">
        <v>119.1</v>
      </c>
      <c r="D126" s="27">
        <v>119</v>
      </c>
      <c r="E126" s="27"/>
      <c r="F126" s="27">
        <v>6.1</v>
      </c>
      <c r="G126" s="27">
        <v>1.1000000000000001</v>
      </c>
      <c r="H126" s="27">
        <v>126.1</v>
      </c>
      <c r="I126" s="27"/>
      <c r="J126" s="27">
        <v>14.3</v>
      </c>
      <c r="K126" s="27"/>
      <c r="L126" s="27" t="s">
        <v>1780</v>
      </c>
      <c r="M126" s="27">
        <v>0.2</v>
      </c>
      <c r="N126" s="27"/>
      <c r="O126" s="27">
        <v>59.9</v>
      </c>
      <c r="P126" s="27">
        <v>319.7</v>
      </c>
      <c r="Q126" s="27"/>
      <c r="R126" s="27">
        <v>136.5</v>
      </c>
      <c r="S126" s="54" t="s">
        <v>1778</v>
      </c>
      <c r="T126" s="27">
        <v>456.2</v>
      </c>
      <c r="U126" s="54" t="s">
        <v>1778</v>
      </c>
    </row>
    <row r="127" spans="1:21" x14ac:dyDescent="0.25">
      <c r="A127" s="27">
        <v>2001</v>
      </c>
      <c r="B127" s="27" t="s">
        <v>1780</v>
      </c>
      <c r="C127" s="27">
        <v>111.5</v>
      </c>
      <c r="D127" s="27">
        <v>129.69999999999999</v>
      </c>
      <c r="E127" s="27"/>
      <c r="F127" s="27">
        <v>5.5</v>
      </c>
      <c r="G127" s="27">
        <v>1.1000000000000001</v>
      </c>
      <c r="H127" s="27">
        <v>136.4</v>
      </c>
      <c r="I127" s="27"/>
      <c r="J127" s="27">
        <v>11.5</v>
      </c>
      <c r="K127" s="27"/>
      <c r="L127" s="27" t="s">
        <v>1780</v>
      </c>
      <c r="M127" s="27">
        <v>0.2</v>
      </c>
      <c r="N127" s="27"/>
      <c r="O127" s="27">
        <v>61.4</v>
      </c>
      <c r="P127" s="27">
        <v>320.89999999999998</v>
      </c>
      <c r="Q127" s="27"/>
      <c r="R127" s="27">
        <v>133.1</v>
      </c>
      <c r="S127" s="54" t="s">
        <v>1778</v>
      </c>
      <c r="T127" s="27">
        <v>454</v>
      </c>
      <c r="U127" s="54" t="s">
        <v>1778</v>
      </c>
    </row>
    <row r="128" spans="1:21" x14ac:dyDescent="0.25">
      <c r="A128" s="27">
        <v>2002</v>
      </c>
      <c r="B128" s="27">
        <v>0.3</v>
      </c>
      <c r="C128" s="27">
        <v>113.1</v>
      </c>
      <c r="D128" s="27">
        <v>128.4</v>
      </c>
      <c r="E128" s="27"/>
      <c r="F128" s="27">
        <v>4.5</v>
      </c>
      <c r="G128" s="27">
        <v>0.7</v>
      </c>
      <c r="H128" s="27">
        <v>133.6</v>
      </c>
      <c r="I128" s="27"/>
      <c r="J128" s="27">
        <v>11.7</v>
      </c>
      <c r="K128" s="27"/>
      <c r="L128" s="27" t="s">
        <v>1780</v>
      </c>
      <c r="M128" s="27">
        <v>0.1</v>
      </c>
      <c r="N128" s="54" t="s">
        <v>1778</v>
      </c>
      <c r="O128" s="27">
        <v>63.8</v>
      </c>
      <c r="P128" s="27">
        <v>322.5</v>
      </c>
      <c r="Q128" s="27"/>
      <c r="R128" s="27">
        <v>137.5</v>
      </c>
      <c r="S128" s="54" t="s">
        <v>1778</v>
      </c>
      <c r="T128" s="27">
        <v>460.1</v>
      </c>
      <c r="U128" s="54" t="s">
        <v>1778</v>
      </c>
    </row>
    <row r="129" spans="1:21" x14ac:dyDescent="0.25">
      <c r="A129" s="27">
        <v>2003</v>
      </c>
      <c r="B129" s="27">
        <v>0.2</v>
      </c>
      <c r="C129" s="27">
        <v>129.4</v>
      </c>
      <c r="D129" s="27">
        <v>121.1</v>
      </c>
      <c r="E129" s="27"/>
      <c r="F129" s="27">
        <v>6.3</v>
      </c>
      <c r="G129" s="27">
        <v>1.4</v>
      </c>
      <c r="H129" s="27">
        <v>128.80000000000001</v>
      </c>
      <c r="I129" s="27"/>
      <c r="J129" s="27">
        <v>12.3</v>
      </c>
      <c r="K129" s="27"/>
      <c r="L129" s="27" t="s">
        <v>1780</v>
      </c>
      <c r="M129" s="27">
        <v>0.1</v>
      </c>
      <c r="N129" s="27"/>
      <c r="O129" s="27">
        <v>66.8</v>
      </c>
      <c r="P129" s="27">
        <v>337.6</v>
      </c>
      <c r="Q129" s="27"/>
      <c r="R129" s="27">
        <v>133.19999999999999</v>
      </c>
      <c r="S129" s="54" t="s">
        <v>1778</v>
      </c>
      <c r="T129" s="27">
        <v>470.7</v>
      </c>
      <c r="U129" s="54" t="s">
        <v>1778</v>
      </c>
    </row>
    <row r="130" spans="1:21" x14ac:dyDescent="0.25">
      <c r="A130" s="27">
        <v>2004</v>
      </c>
      <c r="B130" s="27">
        <v>0.1</v>
      </c>
      <c r="C130" s="27">
        <v>116</v>
      </c>
      <c r="D130" s="27">
        <v>112.5</v>
      </c>
      <c r="E130" s="27"/>
      <c r="F130" s="27">
        <v>5.3</v>
      </c>
      <c r="G130" s="27">
        <v>1.6</v>
      </c>
      <c r="H130" s="27">
        <v>119.4</v>
      </c>
      <c r="I130" s="27"/>
      <c r="J130" s="27">
        <v>12.6</v>
      </c>
      <c r="K130" s="27"/>
      <c r="L130" s="27" t="s">
        <v>1780</v>
      </c>
      <c r="M130" s="27">
        <v>0.2</v>
      </c>
      <c r="N130" s="27"/>
      <c r="O130" s="27">
        <v>67.5</v>
      </c>
      <c r="P130" s="27">
        <v>315.7</v>
      </c>
      <c r="Q130" s="27"/>
      <c r="R130" s="27">
        <v>134.9</v>
      </c>
      <c r="S130" s="54" t="s">
        <v>1778</v>
      </c>
      <c r="T130" s="27">
        <v>450.6</v>
      </c>
      <c r="U130" s="54" t="s">
        <v>1778</v>
      </c>
    </row>
    <row r="131" spans="1:21" x14ac:dyDescent="0.25">
      <c r="A131" s="27">
        <v>2005</v>
      </c>
      <c r="B131" s="27">
        <v>0.1</v>
      </c>
      <c r="C131" s="27">
        <v>120.4</v>
      </c>
      <c r="D131" s="27">
        <v>107.2</v>
      </c>
      <c r="E131" s="27"/>
      <c r="F131" s="27">
        <v>6.5</v>
      </c>
      <c r="G131" s="27">
        <v>1.7</v>
      </c>
      <c r="H131" s="27">
        <v>115.4</v>
      </c>
      <c r="I131" s="27"/>
      <c r="J131" s="27">
        <v>3.6</v>
      </c>
      <c r="K131" s="27"/>
      <c r="L131" s="27" t="s">
        <v>1780</v>
      </c>
      <c r="M131" s="27">
        <v>0.2</v>
      </c>
      <c r="N131" s="27"/>
      <c r="O131" s="27">
        <v>70.099999999999994</v>
      </c>
      <c r="P131" s="27">
        <v>309.7</v>
      </c>
      <c r="Q131" s="27"/>
      <c r="R131" s="27">
        <v>135.80000000000001</v>
      </c>
      <c r="S131" s="54" t="s">
        <v>1778</v>
      </c>
      <c r="T131" s="27">
        <v>445.5</v>
      </c>
      <c r="U131" s="54" t="s">
        <v>1778</v>
      </c>
    </row>
    <row r="132" spans="1:21" x14ac:dyDescent="0.25">
      <c r="A132" s="27">
        <v>2006</v>
      </c>
      <c r="B132" s="27" t="s">
        <v>1780</v>
      </c>
      <c r="C132" s="27">
        <v>104.9</v>
      </c>
      <c r="D132" s="27">
        <v>90.8</v>
      </c>
      <c r="E132" s="27"/>
      <c r="F132" s="27">
        <v>6.7</v>
      </c>
      <c r="G132" s="27">
        <v>1.4</v>
      </c>
      <c r="H132" s="27">
        <v>98.8</v>
      </c>
      <c r="I132" s="27"/>
      <c r="J132" s="27">
        <v>3.2</v>
      </c>
      <c r="K132" s="27"/>
      <c r="L132" s="27" t="s">
        <v>1780</v>
      </c>
      <c r="M132" s="27">
        <v>0.2</v>
      </c>
      <c r="N132" s="27"/>
      <c r="O132" s="27">
        <v>67</v>
      </c>
      <c r="P132" s="27">
        <v>274.10000000000002</v>
      </c>
      <c r="Q132" s="27"/>
      <c r="R132" s="27">
        <v>130.30000000000001</v>
      </c>
      <c r="S132" s="54" t="s">
        <v>1778</v>
      </c>
      <c r="T132" s="27">
        <v>404.3</v>
      </c>
      <c r="U132" s="54" t="s">
        <v>1778</v>
      </c>
    </row>
    <row r="133" spans="1:21" x14ac:dyDescent="0.25">
      <c r="A133" s="27">
        <v>2007</v>
      </c>
      <c r="B133" s="27">
        <v>0.1</v>
      </c>
      <c r="C133" s="27">
        <v>117</v>
      </c>
      <c r="D133" s="27">
        <v>91.9</v>
      </c>
      <c r="E133" s="27"/>
      <c r="F133" s="27">
        <v>6.9</v>
      </c>
      <c r="G133" s="27">
        <v>0.9</v>
      </c>
      <c r="H133" s="27">
        <v>99.7</v>
      </c>
      <c r="I133" s="27"/>
      <c r="J133" s="27">
        <v>3.5</v>
      </c>
      <c r="K133" s="27"/>
      <c r="L133" s="27" t="s">
        <v>1780</v>
      </c>
      <c r="M133" s="27">
        <v>0.2</v>
      </c>
      <c r="N133" s="27"/>
      <c r="O133" s="27">
        <v>68.7</v>
      </c>
      <c r="P133" s="27">
        <v>289.2</v>
      </c>
      <c r="Q133" s="27"/>
      <c r="R133" s="27">
        <v>131.19999999999999</v>
      </c>
      <c r="S133" s="54" t="s">
        <v>1778</v>
      </c>
      <c r="T133" s="27">
        <v>420.4</v>
      </c>
      <c r="U133" s="54" t="s">
        <v>1778</v>
      </c>
    </row>
    <row r="134" spans="1:21" x14ac:dyDescent="0.25">
      <c r="A134" s="27">
        <v>2008</v>
      </c>
      <c r="B134" s="27">
        <v>0</v>
      </c>
      <c r="C134" s="27">
        <v>134.5</v>
      </c>
      <c r="D134" s="27">
        <v>91.3</v>
      </c>
      <c r="E134" s="27"/>
      <c r="F134" s="27">
        <v>7.4</v>
      </c>
      <c r="G134" s="27">
        <v>0.4</v>
      </c>
      <c r="H134" s="27">
        <v>99</v>
      </c>
      <c r="I134" s="27"/>
      <c r="J134" s="27">
        <v>3.9</v>
      </c>
      <c r="K134" s="27"/>
      <c r="L134" s="27" t="s">
        <v>1780</v>
      </c>
      <c r="M134" s="27">
        <v>0.2</v>
      </c>
      <c r="N134" s="54" t="s">
        <v>1778</v>
      </c>
      <c r="O134" s="27">
        <v>67</v>
      </c>
      <c r="P134" s="27">
        <v>304.8</v>
      </c>
      <c r="Q134" s="27"/>
      <c r="R134" s="27">
        <v>121.6</v>
      </c>
      <c r="S134" s="54" t="s">
        <v>1778</v>
      </c>
      <c r="T134" s="27">
        <v>426.4</v>
      </c>
      <c r="U134" s="54" t="s">
        <v>1778</v>
      </c>
    </row>
    <row r="135" spans="1:21" x14ac:dyDescent="0.25">
      <c r="A135" s="27">
        <v>2009</v>
      </c>
      <c r="B135" s="27">
        <v>0</v>
      </c>
      <c r="C135" s="27">
        <v>137</v>
      </c>
      <c r="D135" s="27">
        <v>82.5</v>
      </c>
      <c r="E135" s="27"/>
      <c r="F135" s="27">
        <v>6.9</v>
      </c>
      <c r="G135" s="27">
        <v>0.6</v>
      </c>
      <c r="H135" s="27">
        <v>89.9</v>
      </c>
      <c r="I135" s="27"/>
      <c r="J135" s="27">
        <v>10.199999999999999</v>
      </c>
      <c r="K135" s="27"/>
      <c r="L135" s="27" t="s">
        <v>1780</v>
      </c>
      <c r="M135" s="27">
        <v>0.3</v>
      </c>
      <c r="N135" s="27"/>
      <c r="O135" s="27">
        <v>66.400000000000006</v>
      </c>
      <c r="P135" s="27">
        <v>303.8</v>
      </c>
      <c r="Q135" s="54" t="s">
        <v>1778</v>
      </c>
      <c r="R135" s="27">
        <v>115.2</v>
      </c>
      <c r="S135" s="54" t="s">
        <v>1778</v>
      </c>
      <c r="T135" s="27">
        <v>419.1</v>
      </c>
      <c r="U135" s="54" t="s">
        <v>1778</v>
      </c>
    </row>
    <row r="136" spans="1:21" x14ac:dyDescent="0.25">
      <c r="A136" s="27">
        <v>2010</v>
      </c>
      <c r="B136" s="27">
        <v>0</v>
      </c>
      <c r="C136" s="27">
        <v>129.80000000000001</v>
      </c>
      <c r="D136" s="27">
        <v>84.3</v>
      </c>
      <c r="E136" s="27"/>
      <c r="F136" s="27">
        <v>6.5</v>
      </c>
      <c r="G136" s="27">
        <v>0.6</v>
      </c>
      <c r="H136" s="27">
        <v>91.3</v>
      </c>
      <c r="I136" s="27"/>
      <c r="J136" s="27">
        <v>10.9</v>
      </c>
      <c r="K136" s="27"/>
      <c r="L136" s="27">
        <v>0.1</v>
      </c>
      <c r="M136" s="27">
        <v>0.3</v>
      </c>
      <c r="N136" s="27"/>
      <c r="O136" s="27">
        <v>73</v>
      </c>
      <c r="P136" s="27">
        <v>305.5</v>
      </c>
      <c r="Q136" s="27"/>
      <c r="R136" s="27">
        <v>126</v>
      </c>
      <c r="S136" s="54" t="s">
        <v>1778</v>
      </c>
      <c r="T136" s="27">
        <v>431.5</v>
      </c>
      <c r="U136" s="54" t="s">
        <v>1778</v>
      </c>
    </row>
    <row r="137" spans="1:21" x14ac:dyDescent="0.25">
      <c r="A137" s="27">
        <v>2011</v>
      </c>
      <c r="B137" s="27">
        <v>0</v>
      </c>
      <c r="C137" s="27">
        <v>132.9</v>
      </c>
      <c r="D137" s="27">
        <v>82</v>
      </c>
      <c r="E137" s="27"/>
      <c r="F137" s="27">
        <v>7.6</v>
      </c>
      <c r="G137" s="27">
        <v>0.3</v>
      </c>
      <c r="H137" s="27">
        <v>90</v>
      </c>
      <c r="I137" s="27"/>
      <c r="J137" s="27">
        <v>10.6</v>
      </c>
      <c r="K137" s="27"/>
      <c r="L137" s="27" t="s">
        <v>1780</v>
      </c>
      <c r="M137" s="27">
        <v>0.3</v>
      </c>
      <c r="N137" s="54" t="s">
        <v>1778</v>
      </c>
      <c r="O137" s="27">
        <v>69.900000000000006</v>
      </c>
      <c r="P137" s="27">
        <v>303.7</v>
      </c>
      <c r="Q137" s="54" t="s">
        <v>1778</v>
      </c>
      <c r="R137" s="27">
        <v>113.6</v>
      </c>
      <c r="S137" s="54" t="s">
        <v>1778</v>
      </c>
      <c r="T137" s="27">
        <v>417.3</v>
      </c>
      <c r="U137" s="54" t="s">
        <v>1778</v>
      </c>
    </row>
    <row r="138" spans="1:21" x14ac:dyDescent="0.25">
      <c r="A138" s="27">
        <v>2012</v>
      </c>
      <c r="B138" s="27">
        <v>0</v>
      </c>
      <c r="C138" s="27">
        <v>119.2</v>
      </c>
      <c r="D138" s="27">
        <v>68.8</v>
      </c>
      <c r="E138" s="27"/>
      <c r="F138" s="27">
        <v>6</v>
      </c>
      <c r="G138" s="27">
        <v>0.2</v>
      </c>
      <c r="H138" s="27">
        <v>74.900000000000006</v>
      </c>
      <c r="I138" s="27"/>
      <c r="J138" s="27">
        <v>8.9</v>
      </c>
      <c r="K138" s="27"/>
      <c r="L138" s="27">
        <v>0.1</v>
      </c>
      <c r="M138" s="27">
        <v>0.4</v>
      </c>
      <c r="N138" s="54" t="s">
        <v>1778</v>
      </c>
      <c r="O138" s="27">
        <v>69.3</v>
      </c>
      <c r="P138" s="27">
        <v>272.7</v>
      </c>
      <c r="Q138" s="54" t="s">
        <v>1778</v>
      </c>
      <c r="R138" s="27">
        <v>123.1</v>
      </c>
      <c r="S138" s="54" t="s">
        <v>1778</v>
      </c>
      <c r="T138" s="27">
        <v>395.8</v>
      </c>
      <c r="U138" s="54" t="s">
        <v>1778</v>
      </c>
    </row>
    <row r="139" spans="1:21" x14ac:dyDescent="0.25">
      <c r="A139" s="27">
        <v>2013</v>
      </c>
      <c r="B139" s="27">
        <v>0</v>
      </c>
      <c r="C139" s="27">
        <v>120.7</v>
      </c>
      <c r="D139" s="27">
        <v>74.099999999999994</v>
      </c>
      <c r="E139" s="27"/>
      <c r="F139" s="27">
        <v>7.2</v>
      </c>
      <c r="G139" s="27">
        <v>0.2</v>
      </c>
      <c r="H139" s="27">
        <v>81.400000000000006</v>
      </c>
      <c r="I139" s="27"/>
      <c r="J139" s="27">
        <v>11.6</v>
      </c>
      <c r="K139" s="27"/>
      <c r="L139" s="27">
        <v>0.1</v>
      </c>
      <c r="M139" s="27">
        <v>0.5</v>
      </c>
      <c r="N139" s="54" t="s">
        <v>1778</v>
      </c>
      <c r="O139" s="27">
        <v>70.7</v>
      </c>
      <c r="P139" s="27">
        <v>284.89999999999998</v>
      </c>
      <c r="Q139" s="54" t="s">
        <v>1778</v>
      </c>
      <c r="R139" s="27">
        <v>127</v>
      </c>
      <c r="S139" s="54" t="s">
        <v>1778</v>
      </c>
      <c r="T139" s="27">
        <v>411.9</v>
      </c>
      <c r="U139" s="54" t="s">
        <v>1778</v>
      </c>
    </row>
    <row r="140" spans="1:21" x14ac:dyDescent="0.25">
      <c r="A140" s="27">
        <v>2014</v>
      </c>
      <c r="B140" s="27">
        <v>0</v>
      </c>
      <c r="C140" s="27">
        <v>129.9</v>
      </c>
      <c r="D140" s="27">
        <v>84.1</v>
      </c>
      <c r="E140" s="27"/>
      <c r="F140" s="27">
        <v>8.1</v>
      </c>
      <c r="G140" s="27">
        <v>0.3</v>
      </c>
      <c r="H140" s="27">
        <v>92.5</v>
      </c>
      <c r="I140" s="27"/>
      <c r="J140" s="27">
        <v>11.7</v>
      </c>
      <c r="K140" s="27"/>
      <c r="L140" s="27">
        <v>0.1</v>
      </c>
      <c r="M140" s="27">
        <v>0.7</v>
      </c>
      <c r="N140" s="54" t="s">
        <v>1778</v>
      </c>
      <c r="O140" s="27">
        <v>68.5</v>
      </c>
      <c r="P140" s="27">
        <v>303.39999999999998</v>
      </c>
      <c r="Q140" s="54" t="s">
        <v>1778</v>
      </c>
      <c r="R140" s="27">
        <v>123.5</v>
      </c>
      <c r="S140" s="54" t="s">
        <v>1778</v>
      </c>
      <c r="T140" s="27">
        <v>426.9</v>
      </c>
      <c r="U140" s="54" t="s">
        <v>1778</v>
      </c>
    </row>
    <row r="141" spans="1:21" x14ac:dyDescent="0.25">
      <c r="A141" s="27">
        <v>2015</v>
      </c>
      <c r="B141" s="27">
        <v>0</v>
      </c>
      <c r="C141" s="27">
        <v>130.4</v>
      </c>
      <c r="D141" s="27">
        <v>83.3</v>
      </c>
      <c r="E141" s="27"/>
      <c r="F141" s="27">
        <v>7.6</v>
      </c>
      <c r="G141" s="27">
        <v>0.3</v>
      </c>
      <c r="H141" s="27">
        <v>91.2</v>
      </c>
      <c r="I141" s="27"/>
      <c r="J141" s="27">
        <v>10.5</v>
      </c>
      <c r="K141" s="27"/>
      <c r="L141" s="27">
        <v>0.1</v>
      </c>
      <c r="M141" s="27">
        <v>1</v>
      </c>
      <c r="N141" s="54" t="s">
        <v>1778</v>
      </c>
      <c r="O141" s="27">
        <v>68.8</v>
      </c>
      <c r="P141" s="27">
        <v>302</v>
      </c>
      <c r="Q141" s="54" t="s">
        <v>1778</v>
      </c>
      <c r="R141" s="27">
        <v>122.8</v>
      </c>
      <c r="S141" s="54" t="s">
        <v>1778</v>
      </c>
      <c r="T141" s="27">
        <v>424.7</v>
      </c>
      <c r="U141" s="54" t="s">
        <v>1778</v>
      </c>
    </row>
    <row r="142" spans="1:21" x14ac:dyDescent="0.25">
      <c r="A142" s="27">
        <v>2016</v>
      </c>
      <c r="B142" s="27">
        <v>0</v>
      </c>
      <c r="C142" s="27">
        <v>115.5</v>
      </c>
      <c r="D142" s="27">
        <v>64.7</v>
      </c>
      <c r="E142" s="27"/>
      <c r="F142" s="27">
        <v>7.6</v>
      </c>
      <c r="G142" s="27">
        <v>0.3</v>
      </c>
      <c r="H142" s="27">
        <v>72.5</v>
      </c>
      <c r="I142" s="27"/>
      <c r="J142" s="27">
        <v>8.4</v>
      </c>
      <c r="K142" s="27"/>
      <c r="L142" s="27">
        <v>0.1</v>
      </c>
      <c r="M142" s="27">
        <v>1.7</v>
      </c>
      <c r="N142" s="54" t="s">
        <v>1778</v>
      </c>
      <c r="O142" s="27">
        <v>67.2</v>
      </c>
      <c r="P142" s="27">
        <v>265.3</v>
      </c>
      <c r="Q142" s="54" t="s">
        <v>1778</v>
      </c>
      <c r="R142" s="27">
        <v>117.5</v>
      </c>
      <c r="S142" s="54" t="s">
        <v>1778</v>
      </c>
      <c r="T142" s="27">
        <v>382.8</v>
      </c>
      <c r="U142" s="54" t="s">
        <v>1778</v>
      </c>
    </row>
    <row r="143" spans="1:21" x14ac:dyDescent="0.25">
      <c r="A143" s="27">
        <v>2017</v>
      </c>
      <c r="B143" s="27">
        <v>0</v>
      </c>
      <c r="C143" s="27">
        <v>124.8</v>
      </c>
      <c r="D143" s="27">
        <v>70.7</v>
      </c>
      <c r="E143" s="27"/>
      <c r="F143" s="27">
        <v>8.1</v>
      </c>
      <c r="G143" s="27">
        <v>0.2</v>
      </c>
      <c r="H143" s="27">
        <v>79</v>
      </c>
      <c r="I143" s="27"/>
      <c r="J143" s="27">
        <v>8.3000000000000007</v>
      </c>
      <c r="K143" s="27"/>
      <c r="L143" s="27">
        <v>0.1</v>
      </c>
      <c r="M143" s="27">
        <v>2.2000000000000002</v>
      </c>
      <c r="N143" s="54" t="s">
        <v>1778</v>
      </c>
      <c r="O143" s="27">
        <v>66</v>
      </c>
      <c r="P143" s="27">
        <v>280.3</v>
      </c>
      <c r="Q143" s="54" t="s">
        <v>1778</v>
      </c>
      <c r="R143" s="27">
        <v>112.8</v>
      </c>
      <c r="S143" s="54" t="s">
        <v>1778</v>
      </c>
      <c r="T143" s="27">
        <v>393.2</v>
      </c>
      <c r="U143" s="54" t="s">
        <v>1778</v>
      </c>
    </row>
    <row r="144" spans="1:21" x14ac:dyDescent="0.25">
      <c r="A144" s="27">
        <v>2018</v>
      </c>
      <c r="B144" s="27">
        <v>0</v>
      </c>
      <c r="C144" s="27">
        <v>134.30000000000001</v>
      </c>
      <c r="D144" s="27">
        <v>76.7</v>
      </c>
      <c r="E144" s="27"/>
      <c r="F144" s="27">
        <v>8.6</v>
      </c>
      <c r="G144" s="27">
        <v>0.2</v>
      </c>
      <c r="H144" s="27">
        <v>85.5</v>
      </c>
      <c r="I144" s="27"/>
      <c r="J144" s="27">
        <v>8.3000000000000007</v>
      </c>
      <c r="K144" s="27"/>
      <c r="L144" s="27">
        <v>0.1</v>
      </c>
      <c r="M144" s="27">
        <v>2.8</v>
      </c>
      <c r="N144" s="54" t="s">
        <v>1778</v>
      </c>
      <c r="O144" s="27">
        <v>69.2</v>
      </c>
      <c r="P144" s="27">
        <v>300.10000000000002</v>
      </c>
      <c r="Q144" s="54" t="s">
        <v>1778</v>
      </c>
      <c r="R144" s="27">
        <v>113.7</v>
      </c>
      <c r="S144" s="54" t="s">
        <v>1778</v>
      </c>
      <c r="T144" s="27">
        <v>413.8</v>
      </c>
      <c r="U144" s="54" t="s">
        <v>1778</v>
      </c>
    </row>
    <row r="145" spans="1:21" x14ac:dyDescent="0.25">
      <c r="A145" s="27">
        <v>2019</v>
      </c>
      <c r="B145" s="27">
        <v>0</v>
      </c>
      <c r="C145" s="27">
        <v>139.30000000000001</v>
      </c>
      <c r="D145" s="27">
        <v>75.8</v>
      </c>
      <c r="E145" s="27"/>
      <c r="F145" s="27">
        <v>10.3</v>
      </c>
      <c r="G145" s="27">
        <v>0.2</v>
      </c>
      <c r="H145" s="27">
        <v>86.4</v>
      </c>
      <c r="I145" s="27"/>
      <c r="J145" s="27">
        <v>10.199999999999999</v>
      </c>
      <c r="K145" s="27"/>
      <c r="L145" s="27">
        <v>0.1</v>
      </c>
      <c r="M145" s="27">
        <v>2.9</v>
      </c>
      <c r="N145" s="54" t="s">
        <v>1778</v>
      </c>
      <c r="O145" s="27">
        <v>65.900000000000006</v>
      </c>
      <c r="P145" s="27">
        <v>304.7</v>
      </c>
      <c r="Q145" s="54" t="s">
        <v>1778</v>
      </c>
      <c r="R145" s="27">
        <v>109.1</v>
      </c>
      <c r="S145" s="54" t="s">
        <v>1778</v>
      </c>
      <c r="T145" s="27">
        <v>413.8</v>
      </c>
      <c r="U145" s="54" t="s">
        <v>1778</v>
      </c>
    </row>
    <row r="146" spans="1:21" x14ac:dyDescent="0.25">
      <c r="A146" s="27">
        <v>2020</v>
      </c>
      <c r="B146" s="27">
        <v>0</v>
      </c>
      <c r="C146" s="27">
        <v>123.9</v>
      </c>
      <c r="D146" s="27">
        <v>68</v>
      </c>
      <c r="E146" s="27"/>
      <c r="F146" s="27">
        <v>8.6</v>
      </c>
      <c r="G146" s="27">
        <v>0.3</v>
      </c>
      <c r="H146" s="27">
        <v>76.900000000000006</v>
      </c>
      <c r="I146" s="27"/>
      <c r="J146" s="27">
        <v>6</v>
      </c>
      <c r="K146" s="54" t="s">
        <v>1778</v>
      </c>
      <c r="L146" s="27">
        <v>0.1</v>
      </c>
      <c r="M146" s="27">
        <v>3.2</v>
      </c>
      <c r="N146" s="54" t="s">
        <v>1778</v>
      </c>
      <c r="O146" s="27">
        <v>69.400000000000006</v>
      </c>
      <c r="P146" s="27">
        <v>279.5</v>
      </c>
      <c r="Q146" s="54" t="s">
        <v>1778</v>
      </c>
      <c r="R146" s="27">
        <v>105.5</v>
      </c>
      <c r="S146" s="54" t="s">
        <v>1778</v>
      </c>
      <c r="T146" s="27">
        <v>385</v>
      </c>
      <c r="U146" s="54" t="s">
        <v>1778</v>
      </c>
    </row>
    <row r="147" spans="1:21" x14ac:dyDescent="0.25">
      <c r="A147" s="27">
        <v>2021</v>
      </c>
      <c r="B147" s="27">
        <v>0</v>
      </c>
      <c r="C147" s="27">
        <v>126.5</v>
      </c>
      <c r="D147" s="27">
        <v>71.7</v>
      </c>
      <c r="E147" s="27"/>
      <c r="F147" s="27">
        <v>8.1</v>
      </c>
      <c r="G147" s="27">
        <v>0.2</v>
      </c>
      <c r="H147" s="27">
        <v>80</v>
      </c>
      <c r="I147" s="27"/>
      <c r="J147" s="27">
        <v>6.6</v>
      </c>
      <c r="K147" s="54" t="s">
        <v>1778</v>
      </c>
      <c r="L147" s="27">
        <v>0.1</v>
      </c>
      <c r="M147" s="27">
        <v>3.3</v>
      </c>
      <c r="N147" s="54" t="s">
        <v>1778</v>
      </c>
      <c r="O147" s="27">
        <v>69.3</v>
      </c>
      <c r="P147" s="27">
        <v>285.7</v>
      </c>
      <c r="Q147" s="54" t="s">
        <v>1778</v>
      </c>
      <c r="R147" s="27">
        <v>106.8</v>
      </c>
      <c r="S147" s="54" t="s">
        <v>1778</v>
      </c>
      <c r="T147" s="27">
        <v>392.5</v>
      </c>
      <c r="U147" s="54" t="s">
        <v>1778</v>
      </c>
    </row>
    <row r="148" spans="1:21" x14ac:dyDescent="0.25">
      <c r="A148" s="27">
        <v>2022</v>
      </c>
      <c r="B148" s="27">
        <v>0</v>
      </c>
      <c r="C148" s="27">
        <v>135.5</v>
      </c>
      <c r="D148" s="27">
        <v>70.7</v>
      </c>
      <c r="E148" s="27"/>
      <c r="F148" s="27">
        <v>7.9</v>
      </c>
      <c r="G148" s="27">
        <v>0.2</v>
      </c>
      <c r="H148" s="27">
        <v>78.8</v>
      </c>
      <c r="I148" s="27"/>
      <c r="J148" s="27">
        <v>7.8</v>
      </c>
      <c r="K148" s="27"/>
      <c r="L148" s="27">
        <v>0.1</v>
      </c>
      <c r="M148" s="27">
        <v>4.9000000000000004</v>
      </c>
      <c r="N148" s="27"/>
      <c r="O148" s="27">
        <v>68.3</v>
      </c>
      <c r="P148" s="27">
        <v>295.3</v>
      </c>
      <c r="Q148" s="27"/>
      <c r="R148" s="27">
        <v>98.6</v>
      </c>
      <c r="S148" s="27"/>
      <c r="T148" s="27">
        <v>393.8</v>
      </c>
    </row>
    <row r="149" spans="1:21" x14ac:dyDescent="0.25">
      <c r="L149" s="27"/>
      <c r="M149" s="27"/>
      <c r="N149" s="27"/>
      <c r="O149" s="27"/>
      <c r="P149" s="27"/>
      <c r="Q149" s="27"/>
      <c r="R149" s="27"/>
      <c r="S149" s="27"/>
      <c r="T149" s="27"/>
      <c r="U149" s="27"/>
    </row>
  </sheetData>
  <mergeCells count="62">
    <mergeCell ref="D83:E83"/>
    <mergeCell ref="F83:F84"/>
    <mergeCell ref="G83:G84"/>
    <mergeCell ref="H83:I84"/>
    <mergeCell ref="J83:K84"/>
    <mergeCell ref="D84:E84"/>
    <mergeCell ref="R81:S81"/>
    <mergeCell ref="P82:Q82"/>
    <mergeCell ref="R82:S82"/>
    <mergeCell ref="R83:S83"/>
    <mergeCell ref="R84:S84"/>
    <mergeCell ref="P83:Q83"/>
    <mergeCell ref="P84:Q84"/>
    <mergeCell ref="A85:U85"/>
    <mergeCell ref="A78:A84"/>
    <mergeCell ref="B78:B84"/>
    <mergeCell ref="D78:I82"/>
    <mergeCell ref="J78:K82"/>
    <mergeCell ref="L78:L84"/>
    <mergeCell ref="M78:N84"/>
    <mergeCell ref="O78:O84"/>
    <mergeCell ref="P78:Q78"/>
    <mergeCell ref="R78:S78"/>
    <mergeCell ref="T78:U84"/>
    <mergeCell ref="P79:Q79"/>
    <mergeCell ref="R79:S79"/>
    <mergeCell ref="P80:Q80"/>
    <mergeCell ref="R80:S80"/>
    <mergeCell ref="P81:Q81"/>
    <mergeCell ref="R14:S14"/>
    <mergeCell ref="T6:U14"/>
    <mergeCell ref="D11:E11"/>
    <mergeCell ref="D12:E12"/>
    <mergeCell ref="F11:F12"/>
    <mergeCell ref="G11:G12"/>
    <mergeCell ref="H11:I12"/>
    <mergeCell ref="J11:K14"/>
    <mergeCell ref="D13:I14"/>
    <mergeCell ref="P13:Q13"/>
    <mergeCell ref="P14:Q14"/>
    <mergeCell ref="R6:S6"/>
    <mergeCell ref="R7:S7"/>
    <mergeCell ref="R8:S8"/>
    <mergeCell ref="R9:S9"/>
    <mergeCell ref="R10:S10"/>
    <mergeCell ref="R11:S11"/>
    <mergeCell ref="R12:S12"/>
    <mergeCell ref="R13:S13"/>
    <mergeCell ref="O6:O12"/>
    <mergeCell ref="P6:Q6"/>
    <mergeCell ref="P7:Q7"/>
    <mergeCell ref="P8:Q8"/>
    <mergeCell ref="P9:Q9"/>
    <mergeCell ref="P10:Q10"/>
    <mergeCell ref="P11:Q11"/>
    <mergeCell ref="P12:Q12"/>
    <mergeCell ref="M6:N14"/>
    <mergeCell ref="A6:A14"/>
    <mergeCell ref="B6:B12"/>
    <mergeCell ref="D6:I10"/>
    <mergeCell ref="J6:K10"/>
    <mergeCell ref="L6:L14"/>
  </mergeCells>
  <hyperlinks>
    <hyperlink ref="AA64" r:id="rId1" display="https://willbrownsberger.com/wp-content/uploads/2023/09/Efficiency-of-Existing-Housing-Stock.xlsx" xr:uid="{69C5D2CC-38BD-4504-95CC-54D087EC869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1C85E-DB2D-4E36-ABC7-268C1C755F04}">
  <dimension ref="A1:AE73"/>
  <sheetViews>
    <sheetView topLeftCell="A16" workbookViewId="0">
      <selection activeCell="A68" sqref="A68:A73"/>
    </sheetView>
    <sheetView workbookViewId="1"/>
  </sheetViews>
  <sheetFormatPr defaultRowHeight="15" x14ac:dyDescent="0.25"/>
  <cols>
    <col min="4" max="4" width="9.140625" style="63"/>
    <col min="5" max="5" width="9.140625" style="66"/>
    <col min="6" max="6" width="9.140625" style="63"/>
    <col min="14" max="14" width="13.42578125" customWidth="1"/>
    <col min="15" max="15" width="16.85546875" customWidth="1"/>
    <col min="16" max="16" width="23.42578125" customWidth="1"/>
    <col min="17" max="17" width="14.28515625" customWidth="1"/>
    <col min="18" max="18" width="16.7109375" customWidth="1"/>
    <col min="19" max="19" width="23.140625" customWidth="1"/>
    <col min="20" max="20" width="20.28515625" customWidth="1"/>
    <col min="21" max="21" width="18.42578125" customWidth="1"/>
    <col min="27" max="27" width="99.140625" bestFit="1" customWidth="1"/>
    <col min="30" max="30" width="20.28515625" bestFit="1" customWidth="1"/>
  </cols>
  <sheetData>
    <row r="1" spans="1:31" x14ac:dyDescent="0.25">
      <c r="A1" t="s">
        <v>1864</v>
      </c>
    </row>
    <row r="2" spans="1:31" x14ac:dyDescent="0.25">
      <c r="A2" s="55" t="s">
        <v>1790</v>
      </c>
      <c r="B2" s="55" t="s">
        <v>168</v>
      </c>
      <c r="C2" s="55" t="s">
        <v>340</v>
      </c>
      <c r="D2" s="61" t="s">
        <v>380</v>
      </c>
      <c r="E2" s="64" t="s">
        <v>420</v>
      </c>
      <c r="F2" s="61" t="s">
        <v>464</v>
      </c>
      <c r="G2" s="55" t="s">
        <v>560</v>
      </c>
      <c r="H2" s="55" t="s">
        <v>701</v>
      </c>
      <c r="I2" s="55" t="s">
        <v>801</v>
      </c>
      <c r="J2" s="55" t="s">
        <v>974</v>
      </c>
      <c r="K2" s="55" t="s">
        <v>1060</v>
      </c>
      <c r="L2" s="55" t="s">
        <v>1157</v>
      </c>
      <c r="M2" s="55" t="s">
        <v>1313</v>
      </c>
      <c r="N2" s="67" t="s">
        <v>1856</v>
      </c>
      <c r="O2" s="67" t="s">
        <v>1857</v>
      </c>
      <c r="P2" s="67" t="s">
        <v>1858</v>
      </c>
      <c r="Q2" s="67" t="s">
        <v>1859</v>
      </c>
      <c r="R2" s="67" t="s">
        <v>1860</v>
      </c>
      <c r="S2" s="67" t="s">
        <v>1862</v>
      </c>
      <c r="T2" s="67" t="s">
        <v>1861</v>
      </c>
      <c r="U2" s="67"/>
      <c r="Y2" t="s">
        <v>1789</v>
      </c>
    </row>
    <row r="3" spans="1:31" x14ac:dyDescent="0.25">
      <c r="A3" s="56" t="s">
        <v>1791</v>
      </c>
      <c r="B3" s="58">
        <v>0</v>
      </c>
      <c r="C3" s="58">
        <v>487</v>
      </c>
      <c r="D3" s="62">
        <v>34305</v>
      </c>
      <c r="E3" s="65">
        <v>34305</v>
      </c>
      <c r="F3" s="62">
        <v>34305</v>
      </c>
      <c r="G3" s="58">
        <v>4190</v>
      </c>
      <c r="H3" s="58">
        <v>631</v>
      </c>
      <c r="I3" s="58">
        <v>4858</v>
      </c>
      <c r="J3" s="58">
        <v>45015</v>
      </c>
      <c r="K3" s="59"/>
      <c r="L3" s="58">
        <v>39794</v>
      </c>
      <c r="M3" s="59"/>
      <c r="N3" s="59" t="b">
        <f>C3='CT-4'!B15</f>
        <v>1</v>
      </c>
      <c r="O3" s="59" t="b">
        <f>ROUND(J3/1000,0)='CT-4'!C15</f>
        <v>1</v>
      </c>
      <c r="P3" s="59" t="b">
        <f>E3='CT-4'!D15</f>
        <v>1</v>
      </c>
      <c r="Q3" s="59" t="b">
        <f>H3='CT-4'!F15</f>
        <v>1</v>
      </c>
      <c r="R3" s="59" t="b">
        <f>I3='CT-4'!G15</f>
        <v>1</v>
      </c>
      <c r="S3" s="59" t="b">
        <f>L3='CT-4'!H15</f>
        <v>1</v>
      </c>
      <c r="T3" s="59" t="b">
        <f>G3='CT-4'!O15</f>
        <v>1</v>
      </c>
      <c r="U3" s="59"/>
      <c r="Y3" s="55" t="s">
        <v>19</v>
      </c>
      <c r="Z3" s="55" t="s">
        <v>1784</v>
      </c>
      <c r="AA3" s="55" t="s">
        <v>20</v>
      </c>
      <c r="AB3" s="55" t="s">
        <v>1785</v>
      </c>
      <c r="AC3" s="55" t="s">
        <v>1786</v>
      </c>
      <c r="AD3" s="55" t="s">
        <v>21</v>
      </c>
    </row>
    <row r="4" spans="1:31" x14ac:dyDescent="0.25">
      <c r="A4" s="56" t="s">
        <v>1792</v>
      </c>
      <c r="B4" s="58">
        <v>0</v>
      </c>
      <c r="C4" s="58">
        <v>384</v>
      </c>
      <c r="D4" s="62">
        <v>35292</v>
      </c>
      <c r="E4" s="65">
        <v>35292</v>
      </c>
      <c r="F4" s="62">
        <v>35292</v>
      </c>
      <c r="G4" s="58">
        <v>4466</v>
      </c>
      <c r="H4" s="58">
        <v>560</v>
      </c>
      <c r="I4" s="58">
        <v>4719</v>
      </c>
      <c r="J4" s="58">
        <v>49627</v>
      </c>
      <c r="K4" s="59"/>
      <c r="L4" s="58">
        <v>40571</v>
      </c>
      <c r="M4" s="59"/>
      <c r="N4" s="59" t="b">
        <f>C4='CT-4'!B16</f>
        <v>1</v>
      </c>
      <c r="O4" s="59" t="b">
        <f>ROUND(J4/1000,0)='CT-4'!C16</f>
        <v>1</v>
      </c>
      <c r="P4" s="59" t="b">
        <f>E4='CT-4'!D16</f>
        <v>1</v>
      </c>
      <c r="Q4" s="59" t="b">
        <f>H4='CT-4'!F16</f>
        <v>1</v>
      </c>
      <c r="R4" s="59" t="b">
        <f>I4='CT-4'!G16</f>
        <v>1</v>
      </c>
      <c r="S4" s="59" t="b">
        <f>L4='CT-4'!H16</f>
        <v>1</v>
      </c>
      <c r="T4" s="59" t="b">
        <f>G4='CT-4'!O16</f>
        <v>1</v>
      </c>
      <c r="U4" s="59"/>
      <c r="Y4" s="71" t="s">
        <v>168</v>
      </c>
      <c r="Z4" s="71" t="s">
        <v>25</v>
      </c>
      <c r="AA4" s="71" t="s">
        <v>23</v>
      </c>
      <c r="AB4" s="57" t="s">
        <v>1787</v>
      </c>
      <c r="AC4" s="57" t="s">
        <v>1788</v>
      </c>
      <c r="AD4" s="57" t="s">
        <v>69</v>
      </c>
      <c r="AE4" s="60" t="s">
        <v>1855</v>
      </c>
    </row>
    <row r="5" spans="1:31" x14ac:dyDescent="0.25">
      <c r="A5" s="56" t="s">
        <v>1793</v>
      </c>
      <c r="B5" s="58">
        <v>0</v>
      </c>
      <c r="C5" s="58">
        <v>368</v>
      </c>
      <c r="D5" s="62">
        <v>36192</v>
      </c>
      <c r="E5" s="65">
        <v>36192</v>
      </c>
      <c r="F5" s="62">
        <v>36192</v>
      </c>
      <c r="G5" s="58">
        <v>4718</v>
      </c>
      <c r="H5" s="58">
        <v>676</v>
      </c>
      <c r="I5" s="58">
        <v>4587</v>
      </c>
      <c r="J5" s="58">
        <v>54081</v>
      </c>
      <c r="K5" s="59"/>
      <c r="L5" s="58">
        <v>41455</v>
      </c>
      <c r="M5" s="59"/>
      <c r="N5" s="59" t="b">
        <f>C5='CT-4'!B17</f>
        <v>1</v>
      </c>
      <c r="O5" s="59" t="b">
        <f>ROUND(J5/1000,0)='CT-4'!C17</f>
        <v>1</v>
      </c>
      <c r="P5" s="59" t="b">
        <f>E5='CT-4'!D17</f>
        <v>1</v>
      </c>
      <c r="Q5" s="59" t="b">
        <f>H5='CT-4'!F17</f>
        <v>1</v>
      </c>
      <c r="R5" s="59" t="b">
        <f>I5='CT-4'!G17</f>
        <v>1</v>
      </c>
      <c r="S5" s="59" t="b">
        <f>L5='CT-4'!H17</f>
        <v>1</v>
      </c>
      <c r="T5" s="59" t="b">
        <f>G5='CT-4'!O17</f>
        <v>1</v>
      </c>
      <c r="U5" s="59"/>
      <c r="Y5" s="57" t="s">
        <v>340</v>
      </c>
      <c r="Z5" s="57" t="s">
        <v>25</v>
      </c>
      <c r="AA5" s="57" t="s">
        <v>27</v>
      </c>
      <c r="AB5" s="57" t="s">
        <v>1787</v>
      </c>
      <c r="AC5" s="57" t="s">
        <v>1788</v>
      </c>
      <c r="AD5" s="57" t="s">
        <v>256</v>
      </c>
    </row>
    <row r="6" spans="1:31" x14ac:dyDescent="0.25">
      <c r="A6" s="56" t="s">
        <v>1794</v>
      </c>
      <c r="B6" s="58">
        <v>0</v>
      </c>
      <c r="C6" s="58">
        <v>271</v>
      </c>
      <c r="D6" s="62">
        <v>34276</v>
      </c>
      <c r="E6" s="65">
        <v>34276</v>
      </c>
      <c r="F6" s="62">
        <v>34276</v>
      </c>
      <c r="G6" s="58">
        <v>5030</v>
      </c>
      <c r="H6" s="58">
        <v>696</v>
      </c>
      <c r="I6" s="58">
        <v>4087</v>
      </c>
      <c r="J6" s="58">
        <v>58235</v>
      </c>
      <c r="K6" s="59"/>
      <c r="L6" s="58">
        <v>39059</v>
      </c>
      <c r="M6" s="59"/>
      <c r="N6" s="59" t="b">
        <f>C6='CT-4'!B18</f>
        <v>1</v>
      </c>
      <c r="O6" s="59" t="b">
        <f>ROUND(J6/1000,0)='CT-4'!C18</f>
        <v>1</v>
      </c>
      <c r="P6" s="59" t="b">
        <f>E6='CT-4'!D18</f>
        <v>1</v>
      </c>
      <c r="Q6" s="59" t="b">
        <f>H6='CT-4'!F18</f>
        <v>1</v>
      </c>
      <c r="R6" s="59" t="b">
        <f>I6='CT-4'!G18</f>
        <v>1</v>
      </c>
      <c r="S6" s="59" t="b">
        <f>L6='CT-4'!H18</f>
        <v>1</v>
      </c>
      <c r="T6" s="59" t="b">
        <f>G6='CT-4'!O18</f>
        <v>1</v>
      </c>
      <c r="U6" s="59"/>
      <c r="Y6" s="71" t="s">
        <v>380</v>
      </c>
      <c r="Z6" s="71" t="s">
        <v>25</v>
      </c>
      <c r="AA6" s="71" t="s">
        <v>29</v>
      </c>
      <c r="AB6" s="57" t="s">
        <v>1787</v>
      </c>
      <c r="AC6" s="57" t="s">
        <v>1788</v>
      </c>
      <c r="AD6" s="57" t="s">
        <v>69</v>
      </c>
    </row>
    <row r="7" spans="1:31" x14ac:dyDescent="0.25">
      <c r="A7" s="56" t="s">
        <v>1795</v>
      </c>
      <c r="B7" s="58">
        <v>0</v>
      </c>
      <c r="C7" s="58">
        <v>256</v>
      </c>
      <c r="D7" s="62">
        <v>33151</v>
      </c>
      <c r="E7" s="65">
        <v>33151</v>
      </c>
      <c r="F7" s="62">
        <v>33151</v>
      </c>
      <c r="G7" s="58">
        <v>5361</v>
      </c>
      <c r="H7" s="58">
        <v>696</v>
      </c>
      <c r="I7" s="58">
        <v>3270</v>
      </c>
      <c r="J7" s="58">
        <v>61671</v>
      </c>
      <c r="K7" s="59"/>
      <c r="L7" s="58">
        <v>37118</v>
      </c>
      <c r="M7" s="59"/>
      <c r="N7" s="59" t="b">
        <f>C7='CT-4'!B19</f>
        <v>1</v>
      </c>
      <c r="O7" s="59" t="b">
        <f>ROUND(J7/1000,0)='CT-4'!C19</f>
        <v>1</v>
      </c>
      <c r="P7" s="59" t="b">
        <f>E7='CT-4'!D19</f>
        <v>1</v>
      </c>
      <c r="Q7" s="59" t="b">
        <f>H7='CT-4'!F19</f>
        <v>1</v>
      </c>
      <c r="R7" s="59" t="b">
        <f>I7='CT-4'!G19</f>
        <v>1</v>
      </c>
      <c r="S7" s="59" t="b">
        <f>L7='CT-4'!H19</f>
        <v>1</v>
      </c>
      <c r="T7" s="59" t="b">
        <f>G7='CT-4'!O19</f>
        <v>1</v>
      </c>
      <c r="U7" s="59"/>
      <c r="Y7" s="57" t="s">
        <v>420</v>
      </c>
      <c r="Z7" s="57" t="s">
        <v>25</v>
      </c>
      <c r="AA7" s="57" t="s">
        <v>31</v>
      </c>
      <c r="AB7" s="57" t="s">
        <v>1787</v>
      </c>
      <c r="AC7" s="57" t="s">
        <v>1788</v>
      </c>
      <c r="AD7" s="57" t="s">
        <v>69</v>
      </c>
    </row>
    <row r="8" spans="1:31" x14ac:dyDescent="0.25">
      <c r="A8" s="56" t="s">
        <v>1796</v>
      </c>
      <c r="B8" s="58">
        <v>0</v>
      </c>
      <c r="C8" s="58">
        <v>210</v>
      </c>
      <c r="D8" s="62">
        <v>37082</v>
      </c>
      <c r="E8" s="65">
        <v>37082</v>
      </c>
      <c r="F8" s="62">
        <v>37082</v>
      </c>
      <c r="G8" s="58">
        <v>5766</v>
      </c>
      <c r="H8" s="58">
        <v>777</v>
      </c>
      <c r="I8" s="58">
        <v>2682</v>
      </c>
      <c r="J8" s="58">
        <v>64852</v>
      </c>
      <c r="K8" s="59"/>
      <c r="L8" s="58">
        <v>40541</v>
      </c>
      <c r="M8" s="59"/>
      <c r="N8" s="59" t="b">
        <f>C8='CT-4'!B20</f>
        <v>1</v>
      </c>
      <c r="O8" s="59" t="b">
        <f>ROUND(J8/1000,0)='CT-4'!C20</f>
        <v>1</v>
      </c>
      <c r="P8" s="59" t="b">
        <f>E8='CT-4'!D20</f>
        <v>1</v>
      </c>
      <c r="Q8" s="59" t="b">
        <f>H8='CT-4'!F20</f>
        <v>1</v>
      </c>
      <c r="R8" s="59" t="b">
        <f>I8='CT-4'!G20</f>
        <v>1</v>
      </c>
      <c r="S8" s="59" t="b">
        <f>L8='CT-4'!H20</f>
        <v>1</v>
      </c>
      <c r="T8" s="59" t="b">
        <f>G8='CT-4'!O20</f>
        <v>1</v>
      </c>
      <c r="U8" s="59"/>
      <c r="Y8" s="71" t="s">
        <v>464</v>
      </c>
      <c r="Z8" s="71" t="s">
        <v>25</v>
      </c>
      <c r="AA8" s="71" t="s">
        <v>33</v>
      </c>
      <c r="AB8" s="57" t="s">
        <v>1787</v>
      </c>
      <c r="AC8" s="57" t="s">
        <v>1788</v>
      </c>
      <c r="AD8" s="57" t="s">
        <v>69</v>
      </c>
    </row>
    <row r="9" spans="1:31" x14ac:dyDescent="0.25">
      <c r="A9" s="56" t="s">
        <v>1797</v>
      </c>
      <c r="B9" s="58">
        <v>0</v>
      </c>
      <c r="C9" s="58">
        <v>190</v>
      </c>
      <c r="D9" s="62">
        <v>33128</v>
      </c>
      <c r="E9" s="65">
        <v>33128</v>
      </c>
      <c r="F9" s="62">
        <v>33128</v>
      </c>
      <c r="G9" s="58">
        <v>6222</v>
      </c>
      <c r="H9" s="58">
        <v>681</v>
      </c>
      <c r="I9" s="58">
        <v>1905</v>
      </c>
      <c r="J9" s="58">
        <v>66322</v>
      </c>
      <c r="K9" s="59"/>
      <c r="L9" s="58">
        <v>35713</v>
      </c>
      <c r="M9" s="59"/>
      <c r="N9" s="59" t="b">
        <f>C9='CT-4'!B21</f>
        <v>1</v>
      </c>
      <c r="O9" s="59" t="b">
        <f>ROUND(J9/1000,0)='CT-4'!C21</f>
        <v>1</v>
      </c>
      <c r="P9" s="59" t="b">
        <f>E9='CT-4'!D21</f>
        <v>1</v>
      </c>
      <c r="Q9" s="59" t="b">
        <f>H9='CT-4'!F21</f>
        <v>1</v>
      </c>
      <c r="R9" s="59" t="b">
        <f>I9='CT-4'!G21</f>
        <v>1</v>
      </c>
      <c r="S9" s="59" t="b">
        <f>L9='CT-4'!H21</f>
        <v>1</v>
      </c>
      <c r="T9" s="59" t="b">
        <f>G9='CT-4'!O21</f>
        <v>1</v>
      </c>
      <c r="U9" s="59"/>
      <c r="Y9" s="57" t="s">
        <v>560</v>
      </c>
      <c r="Z9" s="57" t="s">
        <v>25</v>
      </c>
      <c r="AA9" s="57" t="s">
        <v>35</v>
      </c>
      <c r="AB9" s="57" t="s">
        <v>1787</v>
      </c>
      <c r="AC9" s="57" t="s">
        <v>1788</v>
      </c>
      <c r="AD9" s="57" t="s">
        <v>241</v>
      </c>
    </row>
    <row r="10" spans="1:31" x14ac:dyDescent="0.25">
      <c r="A10" s="56" t="s">
        <v>1798</v>
      </c>
      <c r="B10" s="58">
        <v>0</v>
      </c>
      <c r="C10" s="58">
        <v>173</v>
      </c>
      <c r="D10" s="62">
        <v>35775</v>
      </c>
      <c r="E10" s="65">
        <v>35775</v>
      </c>
      <c r="F10" s="62">
        <v>35775</v>
      </c>
      <c r="G10" s="58">
        <v>6929</v>
      </c>
      <c r="H10" s="58">
        <v>683</v>
      </c>
      <c r="I10" s="58">
        <v>1635</v>
      </c>
      <c r="J10" s="58">
        <v>73471</v>
      </c>
      <c r="K10" s="59"/>
      <c r="L10" s="58">
        <v>38093</v>
      </c>
      <c r="M10" s="59"/>
      <c r="N10" s="59" t="b">
        <f>C10='CT-4'!B22</f>
        <v>1</v>
      </c>
      <c r="O10" s="59" t="b">
        <f>ROUND(J10/1000,0)='CT-4'!C22</f>
        <v>1</v>
      </c>
      <c r="P10" s="59" t="b">
        <f>E10='CT-4'!D22</f>
        <v>1</v>
      </c>
      <c r="Q10" s="59" t="b">
        <f>H10='CT-4'!F22</f>
        <v>1</v>
      </c>
      <c r="R10" s="59" t="b">
        <f>I10='CT-4'!G22</f>
        <v>1</v>
      </c>
      <c r="S10" s="59" t="b">
        <f>L10='CT-4'!H22</f>
        <v>1</v>
      </c>
      <c r="T10" s="59" t="b">
        <f>G10='CT-4'!O22</f>
        <v>1</v>
      </c>
      <c r="U10" s="59"/>
      <c r="Y10" s="57" t="s">
        <v>701</v>
      </c>
      <c r="Z10" s="57" t="s">
        <v>25</v>
      </c>
      <c r="AA10" s="57" t="s">
        <v>39</v>
      </c>
      <c r="AB10" s="57" t="s">
        <v>1787</v>
      </c>
      <c r="AC10" s="57" t="s">
        <v>1788</v>
      </c>
      <c r="AD10" s="57" t="s">
        <v>69</v>
      </c>
    </row>
    <row r="11" spans="1:31" x14ac:dyDescent="0.25">
      <c r="A11" s="56" t="s">
        <v>1799</v>
      </c>
      <c r="B11" s="58">
        <v>0</v>
      </c>
      <c r="C11" s="58">
        <v>163</v>
      </c>
      <c r="D11" s="62">
        <v>36820</v>
      </c>
      <c r="E11" s="65">
        <v>36820</v>
      </c>
      <c r="F11" s="62">
        <v>36820</v>
      </c>
      <c r="G11" s="58">
        <v>7578</v>
      </c>
      <c r="H11" s="58">
        <v>733</v>
      </c>
      <c r="I11" s="58">
        <v>1415</v>
      </c>
      <c r="J11" s="58">
        <v>74919</v>
      </c>
      <c r="K11" s="59"/>
      <c r="L11" s="58">
        <v>38969</v>
      </c>
      <c r="M11" s="59"/>
      <c r="N11" s="59" t="b">
        <f>C11='CT-4'!B23</f>
        <v>1</v>
      </c>
      <c r="O11" s="59" t="b">
        <f>ROUND(J11/1000,0)='CT-4'!C23</f>
        <v>1</v>
      </c>
      <c r="P11" s="59" t="b">
        <f>E11='CT-4'!D23</f>
        <v>1</v>
      </c>
      <c r="Q11" s="59" t="b">
        <f>H11='CT-4'!F23</f>
        <v>1</v>
      </c>
      <c r="R11" s="59" t="b">
        <f>I11='CT-4'!G23</f>
        <v>1</v>
      </c>
      <c r="S11" s="59" t="b">
        <f>L11='CT-4'!H23</f>
        <v>1</v>
      </c>
      <c r="T11" s="59" t="b">
        <f>G11='CT-4'!O23</f>
        <v>1</v>
      </c>
      <c r="U11" s="59"/>
      <c r="Y11" s="57" t="s">
        <v>801</v>
      </c>
      <c r="Z11" s="57" t="s">
        <v>25</v>
      </c>
      <c r="AA11" s="57" t="s">
        <v>41</v>
      </c>
      <c r="AB11" s="57" t="s">
        <v>1787</v>
      </c>
      <c r="AC11" s="57" t="s">
        <v>1788</v>
      </c>
      <c r="AD11" s="57" t="s">
        <v>69</v>
      </c>
    </row>
    <row r="12" spans="1:31" x14ac:dyDescent="0.25">
      <c r="A12" s="56" t="s">
        <v>1800</v>
      </c>
      <c r="B12" s="58">
        <v>0</v>
      </c>
      <c r="C12" s="58">
        <v>126</v>
      </c>
      <c r="D12" s="62">
        <v>37934</v>
      </c>
      <c r="E12" s="65">
        <v>37934</v>
      </c>
      <c r="F12" s="62">
        <v>37934</v>
      </c>
      <c r="G12" s="58">
        <v>8406</v>
      </c>
      <c r="H12" s="58">
        <v>821</v>
      </c>
      <c r="I12" s="58">
        <v>1420</v>
      </c>
      <c r="J12" s="58">
        <v>78451</v>
      </c>
      <c r="K12" s="59"/>
      <c r="L12" s="58">
        <v>40175</v>
      </c>
      <c r="M12" s="59"/>
      <c r="N12" s="59" t="b">
        <f>C12='CT-4'!B24</f>
        <v>1</v>
      </c>
      <c r="O12" s="59" t="b">
        <f>ROUND(J12/1000,0)='CT-4'!C24</f>
        <v>1</v>
      </c>
      <c r="P12" s="59" t="b">
        <f>E12='CT-4'!D24</f>
        <v>1</v>
      </c>
      <c r="Q12" s="59" t="b">
        <f>H12='CT-4'!F24</f>
        <v>1</v>
      </c>
      <c r="R12" s="59" t="b">
        <f>I12='CT-4'!G24</f>
        <v>1</v>
      </c>
      <c r="S12" s="59" t="b">
        <f>L12='CT-4'!H24</f>
        <v>1</v>
      </c>
      <c r="T12" s="59" t="b">
        <f>G12='CT-4'!O24</f>
        <v>1</v>
      </c>
      <c r="U12" s="59"/>
      <c r="Y12" s="57" t="s">
        <v>974</v>
      </c>
      <c r="Z12" s="57" t="s">
        <v>25</v>
      </c>
      <c r="AA12" s="57" t="s">
        <v>45</v>
      </c>
      <c r="AB12" s="57" t="s">
        <v>1787</v>
      </c>
      <c r="AC12" s="57" t="s">
        <v>1788</v>
      </c>
      <c r="AD12" s="57" t="s">
        <v>929</v>
      </c>
    </row>
    <row r="13" spans="1:31" x14ac:dyDescent="0.25">
      <c r="A13" s="56" t="s">
        <v>1801</v>
      </c>
      <c r="B13" s="58">
        <v>0</v>
      </c>
      <c r="C13" s="58">
        <v>104</v>
      </c>
      <c r="D13" s="62">
        <v>38530</v>
      </c>
      <c r="E13" s="65">
        <v>38530</v>
      </c>
      <c r="F13" s="62">
        <v>38530</v>
      </c>
      <c r="G13" s="58">
        <v>9335</v>
      </c>
      <c r="H13" s="58">
        <v>784</v>
      </c>
      <c r="I13" s="58">
        <v>1434</v>
      </c>
      <c r="J13" s="58">
        <v>82646</v>
      </c>
      <c r="K13" s="59"/>
      <c r="L13" s="58">
        <v>40748</v>
      </c>
      <c r="M13" s="59"/>
      <c r="N13" s="59" t="b">
        <f>C13='CT-4'!B25</f>
        <v>1</v>
      </c>
      <c r="O13" s="59" t="b">
        <f>ROUND(J13/1000,0)='CT-4'!C25</f>
        <v>1</v>
      </c>
      <c r="P13" s="59" t="b">
        <f>E13='CT-4'!D25</f>
        <v>1</v>
      </c>
      <c r="Q13" s="59" t="b">
        <f>H13='CT-4'!F25</f>
        <v>1</v>
      </c>
      <c r="R13" s="59" t="b">
        <f>I13='CT-4'!G25</f>
        <v>1</v>
      </c>
      <c r="S13" s="59" t="b">
        <f>L13='CT-4'!H25</f>
        <v>1</v>
      </c>
      <c r="T13" s="59" t="b">
        <f>G13='CT-4'!O25</f>
        <v>1</v>
      </c>
      <c r="U13" s="59"/>
      <c r="Y13" s="71" t="s">
        <v>1060</v>
      </c>
      <c r="Z13" s="71" t="s">
        <v>25</v>
      </c>
      <c r="AA13" s="71" t="s">
        <v>47</v>
      </c>
      <c r="AB13" s="57" t="s">
        <v>1787</v>
      </c>
      <c r="AC13" s="57" t="s">
        <v>1788</v>
      </c>
      <c r="AD13" s="57" t="s">
        <v>69</v>
      </c>
    </row>
    <row r="14" spans="1:31" x14ac:dyDescent="0.25">
      <c r="A14" s="56" t="s">
        <v>1802</v>
      </c>
      <c r="B14" s="58">
        <v>0</v>
      </c>
      <c r="C14" s="58">
        <v>83</v>
      </c>
      <c r="D14" s="62">
        <v>40113</v>
      </c>
      <c r="E14" s="65">
        <v>40113</v>
      </c>
      <c r="F14" s="62">
        <v>40113</v>
      </c>
      <c r="G14" s="58">
        <v>10200</v>
      </c>
      <c r="H14" s="58">
        <v>792</v>
      </c>
      <c r="I14" s="58">
        <v>1427</v>
      </c>
      <c r="J14" s="58">
        <v>83434</v>
      </c>
      <c r="K14" s="59"/>
      <c r="L14" s="58">
        <v>42332</v>
      </c>
      <c r="M14" s="59"/>
      <c r="N14" s="59" t="b">
        <f>C14='CT-4'!B26</f>
        <v>1</v>
      </c>
      <c r="O14" s="59" t="b">
        <f>ROUND(J14/1000,0)='CT-4'!C26</f>
        <v>1</v>
      </c>
      <c r="P14" s="59" t="b">
        <f>E14='CT-4'!D26</f>
        <v>1</v>
      </c>
      <c r="Q14" s="59" t="b">
        <f>H14='CT-4'!F26</f>
        <v>1</v>
      </c>
      <c r="R14" s="59" t="b">
        <f>I14='CT-4'!G26</f>
        <v>1</v>
      </c>
      <c r="S14" s="59" t="b">
        <f>L14='CT-4'!H26</f>
        <v>1</v>
      </c>
      <c r="T14" s="59" t="b">
        <f>G14='CT-4'!O26</f>
        <v>1</v>
      </c>
      <c r="U14" s="59"/>
      <c r="Y14" s="57" t="s">
        <v>1157</v>
      </c>
      <c r="Z14" s="57" t="s">
        <v>25</v>
      </c>
      <c r="AA14" s="57" t="s">
        <v>49</v>
      </c>
      <c r="AB14" s="57" t="s">
        <v>1787</v>
      </c>
      <c r="AC14" s="57" t="s">
        <v>1788</v>
      </c>
      <c r="AD14" s="57" t="s">
        <v>69</v>
      </c>
    </row>
    <row r="15" spans="1:31" x14ac:dyDescent="0.25">
      <c r="A15" s="56" t="s">
        <v>1803</v>
      </c>
      <c r="B15" s="58">
        <v>0</v>
      </c>
      <c r="C15" s="58">
        <v>56</v>
      </c>
      <c r="D15" s="62">
        <v>41406</v>
      </c>
      <c r="E15" s="65">
        <v>41406</v>
      </c>
      <c r="F15" s="62">
        <v>41406</v>
      </c>
      <c r="G15" s="58">
        <v>10965</v>
      </c>
      <c r="H15" s="58">
        <v>880</v>
      </c>
      <c r="I15" s="58">
        <v>1512</v>
      </c>
      <c r="J15" s="58">
        <v>86171</v>
      </c>
      <c r="K15" s="59"/>
      <c r="L15" s="58">
        <v>43798</v>
      </c>
      <c r="M15" s="59"/>
      <c r="N15" s="59" t="b">
        <f>C15='CT-4'!B27</f>
        <v>1</v>
      </c>
      <c r="O15" s="59" t="b">
        <f>ROUND(J15/1000,0)='CT-4'!C27</f>
        <v>1</v>
      </c>
      <c r="P15" s="59" t="b">
        <f>E15='CT-4'!D27</f>
        <v>1</v>
      </c>
      <c r="Q15" s="59" t="b">
        <f>H15='CT-4'!F27</f>
        <v>1</v>
      </c>
      <c r="R15" s="59" t="b">
        <f>I15='CT-4'!G27</f>
        <v>1</v>
      </c>
      <c r="S15" s="59" t="b">
        <f>L15='CT-4'!H27</f>
        <v>1</v>
      </c>
      <c r="T15" s="59" t="b">
        <f>G15='CT-4'!O27</f>
        <v>1</v>
      </c>
      <c r="U15" s="59"/>
      <c r="Y15" s="71" t="s">
        <v>1313</v>
      </c>
      <c r="Z15" s="71" t="s">
        <v>25</v>
      </c>
      <c r="AA15" s="71" t="s">
        <v>53</v>
      </c>
      <c r="AB15" s="57" t="s">
        <v>1787</v>
      </c>
      <c r="AC15" s="57" t="s">
        <v>1788</v>
      </c>
      <c r="AD15" s="57" t="s">
        <v>69</v>
      </c>
    </row>
    <row r="16" spans="1:31" x14ac:dyDescent="0.25">
      <c r="A16" s="56" t="s">
        <v>1804</v>
      </c>
      <c r="B16" s="58">
        <v>0</v>
      </c>
      <c r="C16" s="58">
        <v>52</v>
      </c>
      <c r="D16" s="62">
        <v>41628</v>
      </c>
      <c r="E16" s="65">
        <v>41628</v>
      </c>
      <c r="F16" s="62">
        <v>41628</v>
      </c>
      <c r="G16" s="58">
        <v>11715</v>
      </c>
      <c r="H16" s="58">
        <v>810</v>
      </c>
      <c r="I16" s="58">
        <v>1041</v>
      </c>
      <c r="J16" s="58">
        <v>83988</v>
      </c>
      <c r="K16" s="59"/>
      <c r="L16" s="58">
        <v>43478</v>
      </c>
      <c r="M16" s="59"/>
      <c r="N16" s="59" t="b">
        <f>C16='CT-4'!B28</f>
        <v>1</v>
      </c>
      <c r="O16" s="59" t="b">
        <f>ROUND(J16/1000,0)='CT-4'!C28</f>
        <v>1</v>
      </c>
      <c r="P16" s="59" t="b">
        <f>E16='CT-4'!D28</f>
        <v>1</v>
      </c>
      <c r="Q16" s="59" t="b">
        <f>H16='CT-4'!F28</f>
        <v>1</v>
      </c>
      <c r="R16" s="59" t="b">
        <f>I16='CT-4'!G28</f>
        <v>1</v>
      </c>
      <c r="S16" s="59" t="b">
        <f>L16='CT-4'!H28</f>
        <v>1</v>
      </c>
      <c r="T16" s="59" t="b">
        <f>G16='CT-4'!O28</f>
        <v>1</v>
      </c>
      <c r="U16" s="59"/>
      <c r="Y16" s="72" t="s">
        <v>1863</v>
      </c>
    </row>
    <row r="17" spans="1:21" x14ac:dyDescent="0.25">
      <c r="A17" s="56" t="s">
        <v>1805</v>
      </c>
      <c r="B17" s="58">
        <v>0</v>
      </c>
      <c r="C17" s="58">
        <v>42</v>
      </c>
      <c r="D17" s="62">
        <v>39084</v>
      </c>
      <c r="E17" s="65">
        <v>39084</v>
      </c>
      <c r="F17" s="62">
        <v>39084</v>
      </c>
      <c r="G17" s="58">
        <v>11443</v>
      </c>
      <c r="H17" s="58">
        <v>795</v>
      </c>
      <c r="I17" s="58">
        <v>637</v>
      </c>
      <c r="J17" s="58">
        <v>85495</v>
      </c>
      <c r="K17" s="59"/>
      <c r="L17" s="58">
        <v>40516</v>
      </c>
      <c r="M17" s="59"/>
      <c r="N17" s="59" t="b">
        <f>C17='CT-4'!B29</f>
        <v>1</v>
      </c>
      <c r="O17" s="59" t="b">
        <f>ROUND(J17/1000,0)='CT-4'!C29</f>
        <v>1</v>
      </c>
      <c r="P17" s="59" t="b">
        <f>E17='CT-4'!D29</f>
        <v>1</v>
      </c>
      <c r="Q17" s="59" t="b">
        <f>H17='CT-4'!F29</f>
        <v>1</v>
      </c>
      <c r="R17" s="59" t="b">
        <f>I17='CT-4'!G29</f>
        <v>1</v>
      </c>
      <c r="S17" s="59" t="b">
        <f>L17='CT-4'!H29</f>
        <v>1</v>
      </c>
      <c r="T17" s="59" t="b">
        <f>G17='CT-4'!O29</f>
        <v>1</v>
      </c>
      <c r="U17" s="59"/>
    </row>
    <row r="18" spans="1:21" x14ac:dyDescent="0.25">
      <c r="A18" s="56" t="s">
        <v>1806</v>
      </c>
      <c r="B18" s="58">
        <v>0</v>
      </c>
      <c r="C18" s="58">
        <v>30</v>
      </c>
      <c r="D18" s="62">
        <v>37860</v>
      </c>
      <c r="E18" s="65">
        <v>37860</v>
      </c>
      <c r="F18" s="62">
        <v>37860</v>
      </c>
      <c r="G18" s="58">
        <v>10648</v>
      </c>
      <c r="H18" s="58">
        <v>845</v>
      </c>
      <c r="I18" s="58">
        <v>591</v>
      </c>
      <c r="J18" s="58">
        <v>90226</v>
      </c>
      <c r="K18" s="59"/>
      <c r="L18" s="58">
        <v>39295</v>
      </c>
      <c r="M18" s="59"/>
      <c r="N18" s="59" t="b">
        <f>C18='CT-4'!B30</f>
        <v>1</v>
      </c>
      <c r="O18" s="59" t="b">
        <f>ROUND(J18/1000,0)='CT-4'!C30</f>
        <v>1</v>
      </c>
      <c r="P18" s="59" t="b">
        <f>E18='CT-4'!D30</f>
        <v>1</v>
      </c>
      <c r="Q18" s="59" t="b">
        <f>H18='CT-4'!F30</f>
        <v>1</v>
      </c>
      <c r="R18" s="59" t="b">
        <f>I18='CT-4'!G30</f>
        <v>1</v>
      </c>
      <c r="S18" s="59" t="b">
        <f>L18='CT-4'!H30</f>
        <v>1</v>
      </c>
      <c r="T18" s="59" t="b">
        <f>G18='CT-4'!O30</f>
        <v>1</v>
      </c>
      <c r="U18" s="59"/>
    </row>
    <row r="19" spans="1:21" x14ac:dyDescent="0.25">
      <c r="A19" s="56" t="s">
        <v>1807</v>
      </c>
      <c r="B19" s="58">
        <v>0</v>
      </c>
      <c r="C19" s="58">
        <v>28</v>
      </c>
      <c r="D19" s="62">
        <v>41000</v>
      </c>
      <c r="E19" s="65">
        <v>41000</v>
      </c>
      <c r="F19" s="62">
        <v>41000</v>
      </c>
      <c r="G19" s="58">
        <v>11227</v>
      </c>
      <c r="H19" s="58">
        <v>893</v>
      </c>
      <c r="I19" s="58">
        <v>644</v>
      </c>
      <c r="J19" s="58">
        <v>95107</v>
      </c>
      <c r="K19" s="59"/>
      <c r="L19" s="58">
        <v>42537</v>
      </c>
      <c r="M19" s="59"/>
      <c r="N19" s="59" t="b">
        <f>C19='CT-4'!B31</f>
        <v>1</v>
      </c>
      <c r="O19" s="59" t="b">
        <f>ROUND(J19/1000,0)='CT-4'!C31</f>
        <v>1</v>
      </c>
      <c r="P19" s="59" t="b">
        <f>E19='CT-4'!D31</f>
        <v>1</v>
      </c>
      <c r="Q19" s="59" t="b">
        <f>H19='CT-4'!F31</f>
        <v>1</v>
      </c>
      <c r="R19" s="59" t="b">
        <f>I19='CT-4'!G31</f>
        <v>1</v>
      </c>
      <c r="S19" s="59" t="b">
        <f>L19='CT-4'!H31</f>
        <v>1</v>
      </c>
      <c r="T19" s="59" t="b">
        <f>G19='CT-4'!O31</f>
        <v>1</v>
      </c>
      <c r="U19" s="59"/>
    </row>
    <row r="20" spans="1:21" x14ac:dyDescent="0.25">
      <c r="A20" s="56" t="s">
        <v>1808</v>
      </c>
      <c r="B20" s="58">
        <v>0</v>
      </c>
      <c r="C20" s="58">
        <v>26</v>
      </c>
      <c r="D20" s="62">
        <v>39889</v>
      </c>
      <c r="E20" s="65">
        <v>39889</v>
      </c>
      <c r="F20" s="62">
        <v>39889</v>
      </c>
      <c r="G20" s="58">
        <v>11089</v>
      </c>
      <c r="H20" s="58">
        <v>988</v>
      </c>
      <c r="I20" s="58">
        <v>672</v>
      </c>
      <c r="J20" s="58">
        <v>93214</v>
      </c>
      <c r="K20" s="59"/>
      <c r="L20" s="58">
        <v>41549</v>
      </c>
      <c r="M20" s="59"/>
      <c r="N20" s="59" t="b">
        <f>C20='CT-4'!B32</f>
        <v>1</v>
      </c>
      <c r="O20" s="59" t="b">
        <f>ROUND(J20/1000,0)='CT-4'!C32</f>
        <v>1</v>
      </c>
      <c r="P20" s="59" t="b">
        <f>E20='CT-4'!D32</f>
        <v>1</v>
      </c>
      <c r="Q20" s="59" t="b">
        <f>H20='CT-4'!F32</f>
        <v>1</v>
      </c>
      <c r="R20" s="59" t="b">
        <f>I20='CT-4'!G32</f>
        <v>1</v>
      </c>
      <c r="S20" s="59" t="b">
        <f>L20='CT-4'!H32</f>
        <v>1</v>
      </c>
      <c r="T20" s="59" t="b">
        <f>G20='CT-4'!O32</f>
        <v>1</v>
      </c>
      <c r="U20" s="59"/>
    </row>
    <row r="21" spans="1:21" x14ac:dyDescent="0.25">
      <c r="A21" s="56" t="s">
        <v>1809</v>
      </c>
      <c r="B21" s="58">
        <v>0</v>
      </c>
      <c r="C21" s="58">
        <v>15</v>
      </c>
      <c r="D21" s="62">
        <v>38110</v>
      </c>
      <c r="E21" s="65">
        <v>38110</v>
      </c>
      <c r="F21" s="62">
        <v>38110</v>
      </c>
      <c r="G21" s="58">
        <v>11242</v>
      </c>
      <c r="H21" s="58">
        <v>949</v>
      </c>
      <c r="I21" s="58">
        <v>456</v>
      </c>
      <c r="J21" s="58">
        <v>86756</v>
      </c>
      <c r="K21" s="59"/>
      <c r="L21" s="58">
        <v>39515</v>
      </c>
      <c r="M21" s="59"/>
      <c r="N21" s="59" t="b">
        <f>C21='CT-4'!B33</f>
        <v>1</v>
      </c>
      <c r="O21" s="59" t="b">
        <f>ROUND(J21/1000,0)='CT-4'!C33</f>
        <v>1</v>
      </c>
      <c r="P21" s="59" t="b">
        <f>E21='CT-4'!D33</f>
        <v>1</v>
      </c>
      <c r="Q21" s="59" t="b">
        <f>H21='CT-4'!F33</f>
        <v>1</v>
      </c>
      <c r="R21" s="59" t="b">
        <f>I21='CT-4'!G33</f>
        <v>1</v>
      </c>
      <c r="S21" s="59" t="b">
        <f>L21='CT-4'!H33</f>
        <v>1</v>
      </c>
      <c r="T21" s="59" t="b">
        <f>G21='CT-4'!O33</f>
        <v>1</v>
      </c>
      <c r="U21" s="59"/>
    </row>
    <row r="22" spans="1:21" x14ac:dyDescent="0.25">
      <c r="A22" s="56" t="s">
        <v>1810</v>
      </c>
      <c r="B22" s="58">
        <v>0</v>
      </c>
      <c r="C22" s="58">
        <v>11</v>
      </c>
      <c r="D22" s="62">
        <v>26272</v>
      </c>
      <c r="E22" s="65">
        <v>26272</v>
      </c>
      <c r="F22" s="62">
        <v>26272</v>
      </c>
      <c r="G22" s="58">
        <v>11422</v>
      </c>
      <c r="H22" s="58">
        <v>542</v>
      </c>
      <c r="I22" s="58">
        <v>433</v>
      </c>
      <c r="J22" s="58">
        <v>80839</v>
      </c>
      <c r="K22" s="59"/>
      <c r="L22" s="58">
        <v>27247</v>
      </c>
      <c r="M22" s="59"/>
      <c r="N22" s="59" t="b">
        <f>C22='CT-4'!B34</f>
        <v>1</v>
      </c>
      <c r="O22" s="59" t="b">
        <f>ROUND(J22/1000,0)='CT-4'!C34</f>
        <v>1</v>
      </c>
      <c r="P22" s="59" t="b">
        <f>E22='CT-4'!D34</f>
        <v>1</v>
      </c>
      <c r="Q22" s="59" t="b">
        <f>H22='CT-4'!F34</f>
        <v>1</v>
      </c>
      <c r="R22" s="59" t="b">
        <f>I22='CT-4'!G34</f>
        <v>1</v>
      </c>
      <c r="S22" s="59" t="b">
        <f>L22='CT-4'!H34</f>
        <v>1</v>
      </c>
      <c r="T22" s="59" t="b">
        <f>G22='CT-4'!O34</f>
        <v>1</v>
      </c>
      <c r="U22" s="59"/>
    </row>
    <row r="23" spans="1:21" x14ac:dyDescent="0.25">
      <c r="A23" s="56" t="s">
        <v>1811</v>
      </c>
      <c r="B23" s="58">
        <v>0</v>
      </c>
      <c r="C23" s="58">
        <v>21</v>
      </c>
      <c r="D23" s="62">
        <v>22712</v>
      </c>
      <c r="E23" s="65">
        <v>22712</v>
      </c>
      <c r="F23" s="62">
        <v>22712</v>
      </c>
      <c r="G23" s="58">
        <v>11571</v>
      </c>
      <c r="H23" s="58">
        <v>567</v>
      </c>
      <c r="I23" s="58">
        <v>323</v>
      </c>
      <c r="J23" s="58">
        <v>94424</v>
      </c>
      <c r="K23" s="59"/>
      <c r="L23" s="58">
        <v>23602</v>
      </c>
      <c r="M23" s="59"/>
      <c r="N23" s="59" t="b">
        <f>C23='CT-4'!B35</f>
        <v>1</v>
      </c>
      <c r="O23" s="59" t="b">
        <f>ROUND(J23/1000,0)='CT-4'!C35</f>
        <v>1</v>
      </c>
      <c r="P23" s="59" t="b">
        <f>E23='CT-4'!D35</f>
        <v>1</v>
      </c>
      <c r="Q23" s="59" t="b">
        <f>H23='CT-4'!F35</f>
        <v>1</v>
      </c>
      <c r="R23" s="59" t="b">
        <f>I23='CT-4'!G35</f>
        <v>1</v>
      </c>
      <c r="S23" s="59" t="b">
        <f>L23='CT-4'!H35</f>
        <v>1</v>
      </c>
      <c r="T23" s="59" t="b">
        <f>G23='CT-4'!O35</f>
        <v>1</v>
      </c>
      <c r="U23" s="59"/>
    </row>
    <row r="24" spans="1:21" x14ac:dyDescent="0.25">
      <c r="A24" s="56" t="s">
        <v>1812</v>
      </c>
      <c r="B24" s="58">
        <v>0</v>
      </c>
      <c r="C24" s="58">
        <v>23</v>
      </c>
      <c r="D24" s="62">
        <v>18702</v>
      </c>
      <c r="E24" s="65">
        <v>18702</v>
      </c>
      <c r="F24" s="62">
        <v>18702</v>
      </c>
      <c r="G24" s="58">
        <v>11684</v>
      </c>
      <c r="H24" s="58">
        <v>599</v>
      </c>
      <c r="I24" s="58">
        <v>181</v>
      </c>
      <c r="J24" s="58">
        <v>96679</v>
      </c>
      <c r="K24" s="59"/>
      <c r="L24" s="58">
        <v>19482</v>
      </c>
      <c r="M24" s="59"/>
      <c r="N24" s="59" t="b">
        <f>C24='CT-4'!B36</f>
        <v>1</v>
      </c>
      <c r="O24" s="59" t="b">
        <f>ROUND(J24/1000,0)='CT-4'!C36</f>
        <v>1</v>
      </c>
      <c r="P24" s="59" t="b">
        <f>E24='CT-4'!D36</f>
        <v>1</v>
      </c>
      <c r="Q24" s="59" t="b">
        <f>H24='CT-4'!F36</f>
        <v>1</v>
      </c>
      <c r="R24" s="59" t="b">
        <f>I24='CT-4'!G36</f>
        <v>1</v>
      </c>
      <c r="S24" s="59" t="b">
        <f>L24='CT-4'!H36</f>
        <v>1</v>
      </c>
      <c r="T24" s="59" t="b">
        <f>G24='CT-4'!O36</f>
        <v>1</v>
      </c>
      <c r="U24" s="59"/>
    </row>
    <row r="25" spans="1:21" x14ac:dyDescent="0.25">
      <c r="A25" s="56" t="s">
        <v>1813</v>
      </c>
      <c r="B25" s="58">
        <v>0</v>
      </c>
      <c r="C25" s="58">
        <v>26</v>
      </c>
      <c r="D25" s="62">
        <v>18086</v>
      </c>
      <c r="E25" s="65">
        <v>18086</v>
      </c>
      <c r="F25" s="62">
        <v>18086</v>
      </c>
      <c r="G25" s="58">
        <v>11986</v>
      </c>
      <c r="H25" s="58">
        <v>599</v>
      </c>
      <c r="I25" s="58">
        <v>510</v>
      </c>
      <c r="J25" s="58">
        <v>97633</v>
      </c>
      <c r="K25" s="59"/>
      <c r="L25" s="58">
        <v>19195</v>
      </c>
      <c r="M25" s="59"/>
      <c r="N25" s="59" t="b">
        <f>C25='CT-4'!B37</f>
        <v>1</v>
      </c>
      <c r="O25" s="59" t="b">
        <f>ROUND(J25/1000,0)='CT-4'!C37</f>
        <v>1</v>
      </c>
      <c r="P25" s="59" t="b">
        <f>E25='CT-4'!D37</f>
        <v>1</v>
      </c>
      <c r="Q25" s="59" t="b">
        <f>H25='CT-4'!F37</f>
        <v>1</v>
      </c>
      <c r="R25" s="59" t="b">
        <f>I25='CT-4'!G37</f>
        <v>1</v>
      </c>
      <c r="S25" s="59" t="b">
        <f>L25='CT-4'!H37</f>
        <v>1</v>
      </c>
      <c r="T25" s="59" t="b">
        <f>G25='CT-4'!O37</f>
        <v>1</v>
      </c>
      <c r="U25" s="59"/>
    </row>
    <row r="26" spans="1:21" x14ac:dyDescent="0.25">
      <c r="A26" s="56" t="s">
        <v>1814</v>
      </c>
      <c r="B26" s="58">
        <v>0</v>
      </c>
      <c r="C26" s="58">
        <v>22</v>
      </c>
      <c r="D26" s="62">
        <v>17563</v>
      </c>
      <c r="E26" s="65">
        <v>17563</v>
      </c>
      <c r="F26" s="62">
        <v>17563</v>
      </c>
      <c r="G26" s="58">
        <v>12436</v>
      </c>
      <c r="H26" s="58">
        <v>712</v>
      </c>
      <c r="I26" s="58">
        <v>164</v>
      </c>
      <c r="J26" s="58">
        <v>91788</v>
      </c>
      <c r="K26" s="59"/>
      <c r="L26" s="58">
        <v>18439</v>
      </c>
      <c r="M26" s="59"/>
      <c r="N26" s="59" t="b">
        <f>C26='CT-4'!B38</f>
        <v>1</v>
      </c>
      <c r="O26" s="59" t="b">
        <f>ROUND(J26/1000,0)='CT-4'!C38</f>
        <v>1</v>
      </c>
      <c r="P26" s="59" t="b">
        <f>E26='CT-4'!D38</f>
        <v>1</v>
      </c>
      <c r="Q26" s="59" t="b">
        <f>H26='CT-4'!F38</f>
        <v>1</v>
      </c>
      <c r="R26" s="59" t="b">
        <f>I26='CT-4'!G38</f>
        <v>1</v>
      </c>
      <c r="S26" s="59" t="b">
        <f>L26='CT-4'!H38</f>
        <v>1</v>
      </c>
      <c r="T26" s="59" t="b">
        <f>G26='CT-4'!O38</f>
        <v>1</v>
      </c>
      <c r="U26" s="59"/>
    </row>
    <row r="27" spans="1:21" x14ac:dyDescent="0.25">
      <c r="A27" s="56" t="s">
        <v>1815</v>
      </c>
      <c r="B27" s="58">
        <v>0</v>
      </c>
      <c r="C27" s="58">
        <v>41</v>
      </c>
      <c r="D27" s="62">
        <v>20657</v>
      </c>
      <c r="E27" s="65">
        <v>20657</v>
      </c>
      <c r="F27" s="62">
        <v>20657</v>
      </c>
      <c r="G27" s="58">
        <v>12702</v>
      </c>
      <c r="H27" s="58">
        <v>722</v>
      </c>
      <c r="I27" s="58">
        <v>684</v>
      </c>
      <c r="J27" s="58">
        <v>96817</v>
      </c>
      <c r="K27" s="59"/>
      <c r="L27" s="58">
        <v>22063</v>
      </c>
      <c r="M27" s="59"/>
      <c r="N27" s="59" t="b">
        <f>C27='CT-4'!B39</f>
        <v>1</v>
      </c>
      <c r="O27" s="59" t="b">
        <f>ROUND(J27/1000,0)='CT-4'!C39</f>
        <v>1</v>
      </c>
      <c r="P27" s="59" t="b">
        <f>E27='CT-4'!D39</f>
        <v>1</v>
      </c>
      <c r="Q27" s="59" t="b">
        <f>H27='CT-4'!F39</f>
        <v>1</v>
      </c>
      <c r="R27" s="59" t="b">
        <f>I27='CT-4'!G39</f>
        <v>1</v>
      </c>
      <c r="S27" s="59" t="b">
        <f>L27='CT-4'!H39</f>
        <v>1</v>
      </c>
      <c r="T27" s="59" t="b">
        <f>G27='CT-4'!O39</f>
        <v>1</v>
      </c>
      <c r="U27" s="59"/>
    </row>
    <row r="28" spans="1:21" x14ac:dyDescent="0.25">
      <c r="A28" s="56" t="s">
        <v>1816</v>
      </c>
      <c r="B28" s="58">
        <v>0</v>
      </c>
      <c r="C28" s="58">
        <v>30</v>
      </c>
      <c r="D28" s="62">
        <v>20064</v>
      </c>
      <c r="E28" s="65">
        <v>20064</v>
      </c>
      <c r="F28" s="62">
        <v>20064</v>
      </c>
      <c r="G28" s="58">
        <v>12907</v>
      </c>
      <c r="H28" s="58">
        <v>858</v>
      </c>
      <c r="I28" s="58">
        <v>577</v>
      </c>
      <c r="J28" s="58">
        <v>97803</v>
      </c>
      <c r="K28" s="59"/>
      <c r="L28" s="58">
        <v>21499</v>
      </c>
      <c r="M28" s="59"/>
      <c r="N28" s="59" t="b">
        <f>C28='CT-4'!B40</f>
        <v>1</v>
      </c>
      <c r="O28" s="59" t="b">
        <f>ROUND(J28/1000,0)='CT-4'!C40</f>
        <v>1</v>
      </c>
      <c r="P28" s="59" t="b">
        <f>E28='CT-4'!D40</f>
        <v>1</v>
      </c>
      <c r="Q28" s="59" t="b">
        <f>H28='CT-4'!F40</f>
        <v>1</v>
      </c>
      <c r="R28" s="59" t="b">
        <f>I28='CT-4'!G40</f>
        <v>1</v>
      </c>
      <c r="S28" s="59" t="b">
        <f>L28='CT-4'!H40</f>
        <v>1</v>
      </c>
      <c r="T28" s="59" t="b">
        <f>G28='CT-4'!O40</f>
        <v>1</v>
      </c>
      <c r="U28" s="59"/>
    </row>
    <row r="29" spans="1:21" x14ac:dyDescent="0.25">
      <c r="A29" s="56" t="s">
        <v>1817</v>
      </c>
      <c r="B29" s="58">
        <v>0</v>
      </c>
      <c r="C29" s="58">
        <v>18</v>
      </c>
      <c r="D29" s="62">
        <v>20615</v>
      </c>
      <c r="E29" s="65">
        <v>20615</v>
      </c>
      <c r="F29" s="62">
        <v>20615</v>
      </c>
      <c r="G29" s="58">
        <v>13608</v>
      </c>
      <c r="H29" s="58">
        <v>955</v>
      </c>
      <c r="I29" s="58">
        <v>501</v>
      </c>
      <c r="J29" s="58">
        <v>102295</v>
      </c>
      <c r="K29" s="59"/>
      <c r="L29" s="58">
        <v>22070</v>
      </c>
      <c r="M29" s="59"/>
      <c r="N29" s="59" t="b">
        <f>C29='CT-4'!B41</f>
        <v>1</v>
      </c>
      <c r="O29" s="59" t="b">
        <f>ROUND(J29/1000,0)='CT-4'!C41</f>
        <v>1</v>
      </c>
      <c r="P29" s="59" t="b">
        <f>E29='CT-4'!D41</f>
        <v>1</v>
      </c>
      <c r="Q29" s="59" t="b">
        <f>H29='CT-4'!F41</f>
        <v>1</v>
      </c>
      <c r="R29" s="59" t="b">
        <f>I29='CT-4'!G41</f>
        <v>1</v>
      </c>
      <c r="S29" s="59" t="b">
        <f>L29='CT-4'!H41</f>
        <v>1</v>
      </c>
      <c r="T29" s="59" t="b">
        <f>G29='CT-4'!O41</f>
        <v>1</v>
      </c>
      <c r="U29" s="59"/>
    </row>
    <row r="30" spans="1:21" x14ac:dyDescent="0.25">
      <c r="A30" s="56" t="s">
        <v>1818</v>
      </c>
      <c r="B30" s="58">
        <v>0</v>
      </c>
      <c r="C30" s="58">
        <v>13</v>
      </c>
      <c r="D30" s="62">
        <v>21218</v>
      </c>
      <c r="E30" s="65">
        <v>21218</v>
      </c>
      <c r="F30" s="62">
        <v>21218</v>
      </c>
      <c r="G30" s="58">
        <v>14475</v>
      </c>
      <c r="H30" s="58">
        <v>1142</v>
      </c>
      <c r="I30" s="58">
        <v>530</v>
      </c>
      <c r="J30" s="58">
        <v>104847</v>
      </c>
      <c r="K30" s="59"/>
      <c r="L30" s="58">
        <v>22890</v>
      </c>
      <c r="M30" s="59"/>
      <c r="N30" s="59" t="b">
        <f>C30='CT-4'!B42</f>
        <v>1</v>
      </c>
      <c r="O30" s="59" t="b">
        <f>ROUND(J30/1000,0)='CT-4'!C42</f>
        <v>1</v>
      </c>
      <c r="P30" s="59" t="b">
        <f>E30='CT-4'!D42</f>
        <v>1</v>
      </c>
      <c r="Q30" s="59" t="b">
        <f>H30='CT-4'!F42</f>
        <v>1</v>
      </c>
      <c r="R30" s="59" t="b">
        <f>I30='CT-4'!G42</f>
        <v>1</v>
      </c>
      <c r="S30" s="59" t="b">
        <f>L30='CT-4'!H42</f>
        <v>1</v>
      </c>
      <c r="T30" s="59" t="b">
        <f>G30='CT-4'!O42</f>
        <v>1</v>
      </c>
      <c r="U30" s="59"/>
    </row>
    <row r="31" spans="1:21" x14ac:dyDescent="0.25">
      <c r="A31" s="56" t="s">
        <v>1819</v>
      </c>
      <c r="B31" s="58">
        <v>0</v>
      </c>
      <c r="C31" s="58">
        <v>14</v>
      </c>
      <c r="D31" s="62">
        <v>21221</v>
      </c>
      <c r="E31" s="65">
        <v>21221</v>
      </c>
      <c r="F31" s="62">
        <v>21221</v>
      </c>
      <c r="G31" s="58">
        <v>15511</v>
      </c>
      <c r="H31" s="58">
        <v>1122</v>
      </c>
      <c r="I31" s="58">
        <v>300</v>
      </c>
      <c r="J31" s="58">
        <v>108631</v>
      </c>
      <c r="K31" s="59"/>
      <c r="L31" s="58">
        <v>22642</v>
      </c>
      <c r="M31" s="59"/>
      <c r="N31" s="59" t="b">
        <f>C31='CT-4'!B43</f>
        <v>1</v>
      </c>
      <c r="O31" s="59" t="b">
        <f>ROUND(J31/1000,0)='CT-4'!C43</f>
        <v>1</v>
      </c>
      <c r="P31" s="59" t="b">
        <f>E31='CT-4'!D43</f>
        <v>1</v>
      </c>
      <c r="Q31" s="59" t="b">
        <f>H31='CT-4'!F43</f>
        <v>1</v>
      </c>
      <c r="R31" s="59" t="b">
        <f>I31='CT-4'!G43</f>
        <v>1</v>
      </c>
      <c r="S31" s="59" t="b">
        <f>L31='CT-4'!H43</f>
        <v>1</v>
      </c>
      <c r="T31" s="59" t="b">
        <f>G31='CT-4'!O43</f>
        <v>1</v>
      </c>
      <c r="U31" s="59"/>
    </row>
    <row r="32" spans="1:21" x14ac:dyDescent="0.25">
      <c r="A32" s="56" t="s">
        <v>1820</v>
      </c>
      <c r="B32" s="58">
        <v>0</v>
      </c>
      <c r="C32" s="58">
        <v>11</v>
      </c>
      <c r="D32" s="62">
        <v>22823</v>
      </c>
      <c r="E32" s="65">
        <v>22823</v>
      </c>
      <c r="F32" s="62">
        <v>22823</v>
      </c>
      <c r="G32" s="58">
        <v>15772</v>
      </c>
      <c r="H32" s="58">
        <v>1333</v>
      </c>
      <c r="I32" s="58">
        <v>270</v>
      </c>
      <c r="J32" s="58">
        <v>111661</v>
      </c>
      <c r="K32" s="59"/>
      <c r="L32" s="58">
        <v>24425</v>
      </c>
      <c r="M32" s="59"/>
      <c r="N32" s="59" t="b">
        <f>C32='CT-4'!B44</f>
        <v>1</v>
      </c>
      <c r="O32" s="59" t="b">
        <f>ROUND(J32/1000,0)='CT-4'!C44</f>
        <v>1</v>
      </c>
      <c r="P32" s="59" t="b">
        <f>E32='CT-4'!D44</f>
        <v>1</v>
      </c>
      <c r="Q32" s="59" t="b">
        <f>H32='CT-4'!F44</f>
        <v>1</v>
      </c>
      <c r="R32" s="59" t="b">
        <f>I32='CT-4'!G44</f>
        <v>1</v>
      </c>
      <c r="S32" s="59" t="b">
        <f>L32='CT-4'!H44</f>
        <v>1</v>
      </c>
      <c r="T32" s="59" t="b">
        <f>G32='CT-4'!O44</f>
        <v>1</v>
      </c>
      <c r="U32" s="59"/>
    </row>
    <row r="33" spans="1:21" x14ac:dyDescent="0.25">
      <c r="A33" s="56" t="s">
        <v>1821</v>
      </c>
      <c r="B33" s="58">
        <v>0</v>
      </c>
      <c r="C33" s="58">
        <v>13</v>
      </c>
      <c r="D33" s="62">
        <v>20540</v>
      </c>
      <c r="E33" s="65">
        <v>20540</v>
      </c>
      <c r="F33" s="62">
        <v>20540</v>
      </c>
      <c r="G33" s="58">
        <v>15581</v>
      </c>
      <c r="H33" s="58">
        <v>1141</v>
      </c>
      <c r="I33" s="58">
        <v>163</v>
      </c>
      <c r="J33" s="58">
        <v>106809</v>
      </c>
      <c r="K33" s="59"/>
      <c r="L33" s="58">
        <v>21843</v>
      </c>
      <c r="M33" s="59"/>
      <c r="N33" s="59" t="b">
        <f>C33='CT-4'!B45</f>
        <v>1</v>
      </c>
      <c r="O33" s="59" t="b">
        <f>ROUND(J33/1000,0)='CT-4'!C45</f>
        <v>1</v>
      </c>
      <c r="P33" s="59" t="b">
        <f>E33='CT-4'!D45</f>
        <v>1</v>
      </c>
      <c r="Q33" s="59" t="b">
        <f>H33='CT-4'!F45</f>
        <v>1</v>
      </c>
      <c r="R33" s="59" t="b">
        <f>I33='CT-4'!G45</f>
        <v>1</v>
      </c>
      <c r="S33" s="59" t="b">
        <f>L33='CT-4'!H45</f>
        <v>1</v>
      </c>
      <c r="T33" s="59" t="b">
        <f>G33='CT-4'!O45</f>
        <v>1</v>
      </c>
      <c r="U33" s="59"/>
    </row>
    <row r="34" spans="1:21" x14ac:dyDescent="0.25">
      <c r="A34" s="56" t="s">
        <v>1822</v>
      </c>
      <c r="B34" s="58">
        <v>0</v>
      </c>
      <c r="C34" s="58">
        <v>5</v>
      </c>
      <c r="D34" s="62">
        <v>19261</v>
      </c>
      <c r="E34" s="65">
        <v>19261</v>
      </c>
      <c r="F34" s="62">
        <v>19261</v>
      </c>
      <c r="G34" s="58">
        <v>15379</v>
      </c>
      <c r="H34" s="58">
        <v>1032</v>
      </c>
      <c r="I34" s="58">
        <v>151</v>
      </c>
      <c r="J34" s="58">
        <v>102955</v>
      </c>
      <c r="K34" s="59"/>
      <c r="L34" s="58">
        <v>20444</v>
      </c>
      <c r="M34" s="59"/>
      <c r="N34" s="59" t="b">
        <f>C34='CT-4'!B46</f>
        <v>1</v>
      </c>
      <c r="O34" s="59" t="b">
        <f>ROUND(J34/1000,0)='CT-4'!C46</f>
        <v>1</v>
      </c>
      <c r="P34" s="59" t="b">
        <f>E34='CT-4'!D46</f>
        <v>1</v>
      </c>
      <c r="Q34" s="59" t="b">
        <f>H34='CT-4'!F46</f>
        <v>1</v>
      </c>
      <c r="R34" s="59" t="b">
        <f>I34='CT-4'!G46</f>
        <v>1</v>
      </c>
      <c r="S34" s="59" t="b">
        <f>L34='CT-4'!H46</f>
        <v>1</v>
      </c>
      <c r="T34" s="59" t="b">
        <f>G34='CT-4'!O46</f>
        <v>1</v>
      </c>
      <c r="U34" s="59"/>
    </row>
    <row r="35" spans="1:21" x14ac:dyDescent="0.25">
      <c r="A35" s="56" t="s">
        <v>1823</v>
      </c>
      <c r="B35" s="58">
        <v>0</v>
      </c>
      <c r="C35" s="58">
        <v>10</v>
      </c>
      <c r="D35" s="62">
        <v>21874</v>
      </c>
      <c r="E35" s="65">
        <v>21874</v>
      </c>
      <c r="F35" s="62">
        <v>21874</v>
      </c>
      <c r="G35" s="58">
        <v>15560</v>
      </c>
      <c r="H35" s="58">
        <v>1024</v>
      </c>
      <c r="I35" s="58">
        <v>259</v>
      </c>
      <c r="J35" s="58">
        <v>119670</v>
      </c>
      <c r="K35" s="59"/>
      <c r="L35" s="58">
        <v>23157</v>
      </c>
      <c r="M35" s="59"/>
      <c r="N35" s="59" t="b">
        <f>C35='CT-4'!B47</f>
        <v>1</v>
      </c>
      <c r="O35" s="59" t="b">
        <f>ROUND(J35/1000,0)='CT-4'!C47</f>
        <v>1</v>
      </c>
      <c r="P35" s="59" t="b">
        <f>E35='CT-4'!D47</f>
        <v>1</v>
      </c>
      <c r="Q35" s="59" t="b">
        <f>H35='CT-4'!F47</f>
        <v>1</v>
      </c>
      <c r="R35" s="59" t="b">
        <f>I35='CT-4'!G47</f>
        <v>1</v>
      </c>
      <c r="S35" s="59" t="b">
        <f>L35='CT-4'!H47</f>
        <v>1</v>
      </c>
      <c r="T35" s="59" t="b">
        <f>G35='CT-4'!O47</f>
        <v>1</v>
      </c>
      <c r="U35" s="59"/>
    </row>
    <row r="36" spans="1:21" x14ac:dyDescent="0.25">
      <c r="A36" s="56" t="s">
        <v>1824</v>
      </c>
      <c r="B36" s="58">
        <v>0</v>
      </c>
      <c r="C36" s="58">
        <v>8</v>
      </c>
      <c r="D36" s="62">
        <v>21893</v>
      </c>
      <c r="E36" s="65">
        <v>21893</v>
      </c>
      <c r="F36" s="62">
        <v>21893</v>
      </c>
      <c r="G36" s="58">
        <v>15785</v>
      </c>
      <c r="H36" s="58">
        <v>1129</v>
      </c>
      <c r="I36" s="58">
        <v>250</v>
      </c>
      <c r="J36" s="58">
        <v>121228</v>
      </c>
      <c r="K36" s="59"/>
      <c r="L36" s="58">
        <v>23271</v>
      </c>
      <c r="M36" s="59"/>
      <c r="N36" s="59" t="b">
        <f>C36='CT-4'!B48</f>
        <v>1</v>
      </c>
      <c r="O36" s="59" t="b">
        <f>ROUND(J36/1000,0)='CT-4'!C48</f>
        <v>1</v>
      </c>
      <c r="P36" s="59" t="b">
        <f>E36='CT-4'!D48</f>
        <v>1</v>
      </c>
      <c r="Q36" s="59" t="b">
        <f>H36='CT-4'!F48</f>
        <v>1</v>
      </c>
      <c r="R36" s="59" t="b">
        <f>I36='CT-4'!G48</f>
        <v>1</v>
      </c>
      <c r="S36" s="59" t="b">
        <f>L36='CT-4'!H48</f>
        <v>1</v>
      </c>
      <c r="T36" s="59" t="b">
        <f>G36='CT-4'!O48</f>
        <v>1</v>
      </c>
      <c r="U36" s="59"/>
    </row>
    <row r="37" spans="1:21" x14ac:dyDescent="0.25">
      <c r="A37" s="56" t="s">
        <v>1825</v>
      </c>
      <c r="B37" s="58">
        <v>0</v>
      </c>
      <c r="C37" s="58">
        <v>3</v>
      </c>
      <c r="D37" s="62">
        <v>21986</v>
      </c>
      <c r="E37" s="65">
        <v>21986</v>
      </c>
      <c r="F37" s="62">
        <v>21986</v>
      </c>
      <c r="G37" s="58">
        <v>16049</v>
      </c>
      <c r="H37" s="58">
        <v>1167</v>
      </c>
      <c r="I37" s="58">
        <v>218</v>
      </c>
      <c r="J37" s="58">
        <v>119642</v>
      </c>
      <c r="K37" s="59"/>
      <c r="L37" s="58">
        <v>23371</v>
      </c>
      <c r="M37" s="59"/>
      <c r="N37" s="59" t="b">
        <f>C37='CT-4'!B49</f>
        <v>1</v>
      </c>
      <c r="O37" s="59" t="b">
        <f>ROUND(J37/1000,0)='CT-4'!C49</f>
        <v>1</v>
      </c>
      <c r="P37" s="59" t="b">
        <f>E37='CT-4'!D49</f>
        <v>1</v>
      </c>
      <c r="Q37" s="59" t="b">
        <f>H37='CT-4'!F49</f>
        <v>1</v>
      </c>
      <c r="R37" s="59" t="b">
        <f>I37='CT-4'!G49</f>
        <v>1</v>
      </c>
      <c r="S37" s="59" t="b">
        <f>L37='CT-4'!H49</f>
        <v>1</v>
      </c>
      <c r="T37" s="59" t="b">
        <f>G37='CT-4'!O49</f>
        <v>1</v>
      </c>
      <c r="U37" s="59"/>
    </row>
    <row r="38" spans="1:21" x14ac:dyDescent="0.25">
      <c r="A38" s="56" t="s">
        <v>1826</v>
      </c>
      <c r="B38" s="58">
        <v>0</v>
      </c>
      <c r="C38" s="58">
        <v>4</v>
      </c>
      <c r="D38" s="62">
        <v>20064</v>
      </c>
      <c r="E38" s="65">
        <v>20064</v>
      </c>
      <c r="F38" s="62">
        <v>20064</v>
      </c>
      <c r="G38" s="58">
        <v>15993</v>
      </c>
      <c r="H38" s="58">
        <v>1218</v>
      </c>
      <c r="I38" s="58">
        <v>130</v>
      </c>
      <c r="J38" s="58">
        <v>105795</v>
      </c>
      <c r="K38" s="59"/>
      <c r="L38" s="58">
        <v>21412</v>
      </c>
      <c r="M38" s="59"/>
      <c r="N38" s="59" t="b">
        <f>C38='CT-4'!B50</f>
        <v>1</v>
      </c>
      <c r="O38" s="59" t="b">
        <f>ROUND(J38/1000,0)='CT-4'!C50</f>
        <v>1</v>
      </c>
      <c r="P38" s="59" t="b">
        <f>E38='CT-4'!D50</f>
        <v>1</v>
      </c>
      <c r="Q38" s="59" t="b">
        <f>H38='CT-4'!F50</f>
        <v>1</v>
      </c>
      <c r="R38" s="59" t="b">
        <f>I38='CT-4'!G50</f>
        <v>1</v>
      </c>
      <c r="S38" s="59" t="b">
        <f>L38='CT-4'!H50</f>
        <v>1</v>
      </c>
      <c r="T38" s="59" t="b">
        <f>G38='CT-4'!O50</f>
        <v>1</v>
      </c>
      <c r="U38" s="59"/>
    </row>
    <row r="39" spans="1:21" x14ac:dyDescent="0.25">
      <c r="A39" s="56" t="s">
        <v>1827</v>
      </c>
      <c r="B39" s="58">
        <v>0</v>
      </c>
      <c r="C39" s="58">
        <v>4</v>
      </c>
      <c r="D39" s="62">
        <v>18362</v>
      </c>
      <c r="E39" s="65">
        <v>18362</v>
      </c>
      <c r="F39" s="62">
        <v>18362</v>
      </c>
      <c r="G39" s="58">
        <v>16256</v>
      </c>
      <c r="H39" s="58">
        <v>1445</v>
      </c>
      <c r="I39" s="58">
        <v>148</v>
      </c>
      <c r="J39" s="58">
        <v>114365</v>
      </c>
      <c r="K39" s="59"/>
      <c r="L39" s="58">
        <v>19954</v>
      </c>
      <c r="M39" s="59"/>
      <c r="N39" s="59" t="b">
        <f>C39='CT-4'!B51</f>
        <v>1</v>
      </c>
      <c r="O39" s="59" t="b">
        <f>ROUND(J39/1000,0)='CT-4'!C51</f>
        <v>1</v>
      </c>
      <c r="P39" s="59" t="b">
        <f>E39='CT-4'!D51</f>
        <v>1</v>
      </c>
      <c r="Q39" s="59" t="b">
        <f>H39='CT-4'!F51</f>
        <v>1</v>
      </c>
      <c r="R39" s="59" t="b">
        <f>I39='CT-4'!G51</f>
        <v>1</v>
      </c>
      <c r="S39" s="59" t="b">
        <f>L39='CT-4'!H51</f>
        <v>1</v>
      </c>
      <c r="T39" s="59" t="b">
        <f>G39='CT-4'!O51</f>
        <v>1</v>
      </c>
      <c r="U39" s="59"/>
    </row>
    <row r="40" spans="1:21" x14ac:dyDescent="0.25">
      <c r="A40" s="56" t="s">
        <v>1828</v>
      </c>
      <c r="B40" s="58">
        <v>0</v>
      </c>
      <c r="C40" s="58">
        <v>3</v>
      </c>
      <c r="D40" s="62">
        <v>18332</v>
      </c>
      <c r="E40" s="65">
        <v>18332</v>
      </c>
      <c r="F40" s="62">
        <v>18332</v>
      </c>
      <c r="G40" s="58">
        <v>16278</v>
      </c>
      <c r="H40" s="58">
        <v>1356</v>
      </c>
      <c r="I40" s="58">
        <v>190</v>
      </c>
      <c r="J40" s="58">
        <v>112308</v>
      </c>
      <c r="K40" s="59"/>
      <c r="L40" s="58">
        <v>19878</v>
      </c>
      <c r="M40" s="59"/>
      <c r="N40" s="59" t="b">
        <f>C40='CT-4'!B52</f>
        <v>1</v>
      </c>
      <c r="O40" s="59" t="b">
        <f>ROUND(J40/1000,0)='CT-4'!C52</f>
        <v>1</v>
      </c>
      <c r="P40" s="59" t="b">
        <f>E40='CT-4'!D52</f>
        <v>1</v>
      </c>
      <c r="Q40" s="59" t="b">
        <f>H40='CT-4'!F52</f>
        <v>1</v>
      </c>
      <c r="R40" s="59" t="b">
        <f>I40='CT-4'!G52</f>
        <v>1</v>
      </c>
      <c r="S40" s="59" t="b">
        <f>L40='CT-4'!H52</f>
        <v>1</v>
      </c>
      <c r="T40" s="59" t="b">
        <f>G40='CT-4'!O52</f>
        <v>1</v>
      </c>
      <c r="U40" s="59"/>
    </row>
    <row r="41" spans="1:21" x14ac:dyDescent="0.25">
      <c r="A41" s="56" t="s">
        <v>1829</v>
      </c>
      <c r="B41" s="58">
        <v>0</v>
      </c>
      <c r="C41" s="58">
        <v>3</v>
      </c>
      <c r="D41" s="62">
        <v>16979</v>
      </c>
      <c r="E41" s="65">
        <v>16979</v>
      </c>
      <c r="F41" s="62">
        <v>16979</v>
      </c>
      <c r="G41" s="58">
        <v>16388</v>
      </c>
      <c r="H41" s="58">
        <v>1242</v>
      </c>
      <c r="I41" s="58">
        <v>197</v>
      </c>
      <c r="J41" s="58">
        <v>102062</v>
      </c>
      <c r="K41" s="59"/>
      <c r="L41" s="58">
        <v>18417</v>
      </c>
      <c r="M41" s="59"/>
      <c r="N41" s="59" t="b">
        <f>C41='CT-4'!B53</f>
        <v>1</v>
      </c>
      <c r="O41" s="59" t="b">
        <f>ROUND(J41/1000,0)='CT-4'!C53</f>
        <v>1</v>
      </c>
      <c r="P41" s="59" t="b">
        <f>E41='CT-4'!D53</f>
        <v>1</v>
      </c>
      <c r="Q41" s="59" t="b">
        <f>H41='CT-4'!F53</f>
        <v>1</v>
      </c>
      <c r="R41" s="59" t="b">
        <f>I41='CT-4'!G53</f>
        <v>1</v>
      </c>
      <c r="S41" s="59" t="b">
        <f>L41='CT-4'!H53</f>
        <v>1</v>
      </c>
      <c r="T41" s="59" t="b">
        <f>G41='CT-4'!O53</f>
        <v>1</v>
      </c>
      <c r="U41" s="59"/>
    </row>
    <row r="42" spans="1:21" x14ac:dyDescent="0.25">
      <c r="A42" s="56" t="s">
        <v>1830</v>
      </c>
      <c r="B42" s="58">
        <v>0</v>
      </c>
      <c r="C42" s="58">
        <v>4</v>
      </c>
      <c r="D42" s="62">
        <v>17825</v>
      </c>
      <c r="E42" s="65">
        <v>17825</v>
      </c>
      <c r="F42" s="62">
        <v>17825</v>
      </c>
      <c r="G42" s="58">
        <v>17392</v>
      </c>
      <c r="H42" s="58">
        <v>1279</v>
      </c>
      <c r="I42" s="58">
        <v>179</v>
      </c>
      <c r="J42" s="58">
        <v>105709</v>
      </c>
      <c r="K42" s="59"/>
      <c r="L42" s="58">
        <v>19282</v>
      </c>
      <c r="M42" s="59"/>
      <c r="N42" s="59" t="b">
        <f>C42='CT-4'!B54</f>
        <v>1</v>
      </c>
      <c r="O42" s="59" t="b">
        <f>ROUND(J42/1000,0)='CT-4'!C54</f>
        <v>1</v>
      </c>
      <c r="P42" s="59" t="b">
        <f>E42='CT-4'!D54</f>
        <v>1</v>
      </c>
      <c r="Q42" s="59" t="b">
        <f>H42='CT-4'!F54</f>
        <v>1</v>
      </c>
      <c r="R42" s="59" t="b">
        <f>I42='CT-4'!G54</f>
        <v>1</v>
      </c>
      <c r="S42" s="59" t="b">
        <f>L42='CT-4'!H54</f>
        <v>1</v>
      </c>
      <c r="T42" s="59" t="b">
        <f>G42='CT-4'!O54</f>
        <v>1</v>
      </c>
      <c r="U42" s="59"/>
    </row>
    <row r="43" spans="1:21" x14ac:dyDescent="0.25">
      <c r="A43" s="56" t="s">
        <v>1831</v>
      </c>
      <c r="B43" s="58">
        <v>0</v>
      </c>
      <c r="C43" s="58">
        <v>2</v>
      </c>
      <c r="D43" s="62">
        <v>20445</v>
      </c>
      <c r="E43" s="65">
        <v>20445</v>
      </c>
      <c r="F43" s="62">
        <v>20445</v>
      </c>
      <c r="G43" s="58">
        <v>17562</v>
      </c>
      <c r="H43" s="58">
        <v>1582</v>
      </c>
      <c r="I43" s="58">
        <v>191</v>
      </c>
      <c r="J43" s="58">
        <v>114077</v>
      </c>
      <c r="K43" s="59"/>
      <c r="L43" s="58">
        <v>22217</v>
      </c>
      <c r="M43" s="59"/>
      <c r="N43" s="59" t="b">
        <f>C43='CT-4'!B55</f>
        <v>1</v>
      </c>
      <c r="O43" s="59" t="b">
        <f>ROUND(J43/1000,0)='CT-4'!C55</f>
        <v>1</v>
      </c>
      <c r="P43" s="59" t="b">
        <f>E43='CT-4'!D55</f>
        <v>1</v>
      </c>
      <c r="Q43" s="59" t="b">
        <f>H43='CT-4'!F55</f>
        <v>1</v>
      </c>
      <c r="R43" s="59" t="b">
        <f>I43='CT-4'!G55</f>
        <v>1</v>
      </c>
      <c r="S43" s="59" t="b">
        <f>L43='CT-4'!H55</f>
        <v>1</v>
      </c>
      <c r="T43" s="59" t="b">
        <f>G43='CT-4'!O55</f>
        <v>1</v>
      </c>
      <c r="U43" s="59"/>
    </row>
    <row r="44" spans="1:21" x14ac:dyDescent="0.25">
      <c r="A44" s="56" t="s">
        <v>1832</v>
      </c>
      <c r="B44" s="58">
        <v>0</v>
      </c>
      <c r="C44" s="58">
        <v>2</v>
      </c>
      <c r="D44" s="62">
        <v>22293</v>
      </c>
      <c r="E44" s="65">
        <v>22293</v>
      </c>
      <c r="F44" s="62">
        <v>22293</v>
      </c>
      <c r="G44" s="58">
        <v>17984</v>
      </c>
      <c r="H44" s="58">
        <v>1435</v>
      </c>
      <c r="I44" s="58">
        <v>197</v>
      </c>
      <c r="J44" s="58">
        <v>106636</v>
      </c>
      <c r="K44" s="59"/>
      <c r="L44" s="58">
        <v>23925</v>
      </c>
      <c r="M44" s="59"/>
      <c r="N44" s="59" t="b">
        <f>C44='CT-4'!B56</f>
        <v>1</v>
      </c>
      <c r="O44" s="59" t="b">
        <f>ROUND(J44/1000,0)='CT-4'!C56</f>
        <v>1</v>
      </c>
      <c r="P44" s="59" t="b">
        <f>E44='CT-4'!D56</f>
        <v>1</v>
      </c>
      <c r="Q44" s="59" t="b">
        <f>H44='CT-4'!F56</f>
        <v>1</v>
      </c>
      <c r="R44" s="59" t="b">
        <f>I44='CT-4'!G56</f>
        <v>1</v>
      </c>
      <c r="S44" s="59" t="b">
        <f>L44='CT-4'!H56</f>
        <v>1</v>
      </c>
      <c r="T44" s="59" t="b">
        <f>G44='CT-4'!O56</f>
        <v>1</v>
      </c>
      <c r="U44" s="59"/>
    </row>
    <row r="45" spans="1:21" x14ac:dyDescent="0.25">
      <c r="A45" s="56" t="s">
        <v>1833</v>
      </c>
      <c r="B45" s="58">
        <v>0</v>
      </c>
      <c r="C45" s="58">
        <v>11</v>
      </c>
      <c r="D45" s="62">
        <v>22066</v>
      </c>
      <c r="E45" s="65">
        <v>22066</v>
      </c>
      <c r="F45" s="62">
        <v>22066</v>
      </c>
      <c r="G45" s="58">
        <v>18695</v>
      </c>
      <c r="H45" s="58">
        <v>1162</v>
      </c>
      <c r="I45" s="58">
        <v>127</v>
      </c>
      <c r="J45" s="58">
        <v>109279</v>
      </c>
      <c r="K45" s="59"/>
      <c r="L45" s="58">
        <v>23355</v>
      </c>
      <c r="M45" s="59"/>
      <c r="N45" s="59" t="b">
        <f>C45='CT-4'!B57</f>
        <v>1</v>
      </c>
      <c r="O45" s="59" t="b">
        <f>ROUND(J45/1000,0)='CT-4'!C57</f>
        <v>1</v>
      </c>
      <c r="P45" s="59" t="b">
        <f>E45='CT-4'!D57</f>
        <v>1</v>
      </c>
      <c r="Q45" s="59" t="b">
        <f>H45='CT-4'!F57</f>
        <v>1</v>
      </c>
      <c r="R45" s="59" t="b">
        <f>I45='CT-4'!G57</f>
        <v>1</v>
      </c>
      <c r="S45" s="59" t="b">
        <f>L45='CT-4'!H57</f>
        <v>1</v>
      </c>
      <c r="T45" s="59" t="b">
        <f>G45='CT-4'!O57</f>
        <v>1</v>
      </c>
      <c r="U45" s="59"/>
    </row>
    <row r="46" spans="1:21" x14ac:dyDescent="0.25">
      <c r="A46" s="56" t="s">
        <v>1834</v>
      </c>
      <c r="B46" s="58">
        <v>0</v>
      </c>
      <c r="C46" s="58">
        <v>7</v>
      </c>
      <c r="D46" s="62">
        <v>20816</v>
      </c>
      <c r="E46" s="65">
        <v>20816</v>
      </c>
      <c r="F46" s="62">
        <v>20816</v>
      </c>
      <c r="G46" s="58">
        <v>19591</v>
      </c>
      <c r="H46" s="58">
        <v>1644</v>
      </c>
      <c r="I46" s="58">
        <v>244</v>
      </c>
      <c r="J46" s="58">
        <v>125879</v>
      </c>
      <c r="K46" s="59"/>
      <c r="L46" s="58">
        <v>22703</v>
      </c>
      <c r="M46" s="59"/>
      <c r="N46" s="59" t="b">
        <f>C46='CT-4'!B58</f>
        <v>1</v>
      </c>
      <c r="O46" s="59" t="b">
        <f>ROUND(J46/1000,0)='CT-4'!C58</f>
        <v>1</v>
      </c>
      <c r="P46" s="59" t="b">
        <f>E46='CT-4'!D58</f>
        <v>1</v>
      </c>
      <c r="Q46" s="59" t="b">
        <f>H46='CT-4'!F58</f>
        <v>1</v>
      </c>
      <c r="R46" s="59" t="b">
        <f>I46='CT-4'!G58</f>
        <v>1</v>
      </c>
      <c r="S46" s="59" t="b">
        <f>L46='CT-4'!H58</f>
        <v>1</v>
      </c>
      <c r="T46" s="59" t="b">
        <f>G46='CT-4'!O58</f>
        <v>1</v>
      </c>
      <c r="U46" s="59"/>
    </row>
    <row r="47" spans="1:21" x14ac:dyDescent="0.25">
      <c r="A47" s="56" t="s">
        <v>1835</v>
      </c>
      <c r="B47" s="58">
        <v>0</v>
      </c>
      <c r="C47" s="58">
        <v>4</v>
      </c>
      <c r="D47" s="62">
        <v>19337</v>
      </c>
      <c r="E47" s="65">
        <v>19337</v>
      </c>
      <c r="F47" s="62">
        <v>19337</v>
      </c>
      <c r="G47" s="58">
        <v>19769</v>
      </c>
      <c r="H47" s="58">
        <v>1391</v>
      </c>
      <c r="I47" s="58">
        <v>279</v>
      </c>
      <c r="J47" s="58">
        <v>112780</v>
      </c>
      <c r="K47" s="59"/>
      <c r="L47" s="58">
        <v>21007</v>
      </c>
      <c r="M47" s="59"/>
      <c r="N47" s="59" t="b">
        <f>C47='CT-4'!B59</f>
        <v>1</v>
      </c>
      <c r="O47" s="59" t="b">
        <f>ROUND(J47/1000,0)='CT-4'!C59</f>
        <v>1</v>
      </c>
      <c r="P47" s="59" t="b">
        <f>E47='CT-4'!D59</f>
        <v>1</v>
      </c>
      <c r="Q47" s="59" t="b">
        <f>H47='CT-4'!F59</f>
        <v>1</v>
      </c>
      <c r="R47" s="59" t="b">
        <f>I47='CT-4'!G59</f>
        <v>1</v>
      </c>
      <c r="S47" s="59" t="b">
        <f>L47='CT-4'!H59</f>
        <v>1</v>
      </c>
      <c r="T47" s="59" t="b">
        <f>G47='CT-4'!O59</f>
        <v>1</v>
      </c>
      <c r="U47" s="59"/>
    </row>
    <row r="48" spans="1:21" x14ac:dyDescent="0.25">
      <c r="A48" s="56" t="s">
        <v>1836</v>
      </c>
      <c r="B48" s="58">
        <v>0</v>
      </c>
      <c r="C48" s="58">
        <v>3</v>
      </c>
      <c r="D48" s="62">
        <v>18425</v>
      </c>
      <c r="E48" s="65">
        <v>18425</v>
      </c>
      <c r="F48" s="62">
        <v>18425</v>
      </c>
      <c r="G48" s="58">
        <v>20539</v>
      </c>
      <c r="H48" s="58">
        <v>1698</v>
      </c>
      <c r="I48" s="58">
        <v>299</v>
      </c>
      <c r="J48" s="58">
        <v>118617</v>
      </c>
      <c r="K48" s="59"/>
      <c r="L48" s="58">
        <v>20422</v>
      </c>
      <c r="M48" s="59"/>
      <c r="N48" s="59" t="b">
        <f>C48='CT-4'!B60</f>
        <v>1</v>
      </c>
      <c r="O48" s="59" t="b">
        <f>ROUND(J48/1000,0)='CT-4'!C60</f>
        <v>1</v>
      </c>
      <c r="P48" s="59" t="b">
        <f>E48='CT-4'!D60</f>
        <v>1</v>
      </c>
      <c r="Q48" s="59" t="b">
        <f>H48='CT-4'!F60</f>
        <v>1</v>
      </c>
      <c r="R48" s="59" t="b">
        <f>I48='CT-4'!G60</f>
        <v>1</v>
      </c>
      <c r="S48" s="59" t="b">
        <f>L48='CT-4'!H60</f>
        <v>1</v>
      </c>
      <c r="T48" s="59" t="b">
        <f>G48='CT-4'!O60</f>
        <v>1</v>
      </c>
      <c r="U48" s="59"/>
    </row>
    <row r="49" spans="1:21" x14ac:dyDescent="0.25">
      <c r="A49" s="56" t="s">
        <v>1837</v>
      </c>
      <c r="B49" s="58">
        <v>0</v>
      </c>
      <c r="C49" s="58">
        <v>1</v>
      </c>
      <c r="D49" s="62">
        <v>15645</v>
      </c>
      <c r="E49" s="65">
        <v>15645</v>
      </c>
      <c r="F49" s="62">
        <v>15645</v>
      </c>
      <c r="G49" s="58">
        <v>19624</v>
      </c>
      <c r="H49" s="58">
        <v>1735</v>
      </c>
      <c r="I49" s="58">
        <v>238</v>
      </c>
      <c r="J49" s="58">
        <v>103882</v>
      </c>
      <c r="K49" s="59"/>
      <c r="L49" s="58">
        <v>17619</v>
      </c>
      <c r="M49" s="59"/>
      <c r="N49" s="59" t="b">
        <f>C49='CT-4'!B61</f>
        <v>1</v>
      </c>
      <c r="O49" s="59" t="b">
        <f>ROUND(J49/1000,0)='CT-4'!C61</f>
        <v>1</v>
      </c>
      <c r="P49" s="59" t="b">
        <f>E49='CT-4'!D61</f>
        <v>1</v>
      </c>
      <c r="Q49" s="59" t="b">
        <f>H49='CT-4'!F61</f>
        <v>1</v>
      </c>
      <c r="R49" s="59" t="b">
        <f>I49='CT-4'!G61</f>
        <v>1</v>
      </c>
      <c r="S49" s="59" t="b">
        <f>L49='CT-4'!H61</f>
        <v>1</v>
      </c>
      <c r="T49" s="59" t="b">
        <f>G49='CT-4'!O61</f>
        <v>1</v>
      </c>
      <c r="U49" s="59"/>
    </row>
    <row r="50" spans="1:21" x14ac:dyDescent="0.25">
      <c r="A50" s="56" t="s">
        <v>1838</v>
      </c>
      <c r="B50" s="58">
        <v>0</v>
      </c>
      <c r="C50" s="58">
        <v>2</v>
      </c>
      <c r="D50" s="62">
        <v>15882</v>
      </c>
      <c r="E50" s="65">
        <v>15882</v>
      </c>
      <c r="F50" s="62">
        <v>15882</v>
      </c>
      <c r="G50" s="58">
        <v>20138</v>
      </c>
      <c r="H50" s="58">
        <v>1794</v>
      </c>
      <c r="I50" s="58">
        <v>161</v>
      </c>
      <c r="J50" s="58">
        <v>115199</v>
      </c>
      <c r="K50" s="59"/>
      <c r="L50" s="58">
        <v>17837</v>
      </c>
      <c r="M50" s="59"/>
      <c r="N50" s="59" t="b">
        <f>C50='CT-4'!B62</f>
        <v>1</v>
      </c>
      <c r="O50" s="59" t="b">
        <f>ROUND(J50/1000,0)='CT-4'!C62</f>
        <v>1</v>
      </c>
      <c r="P50" s="59" t="b">
        <f>E50='CT-4'!D62</f>
        <v>1</v>
      </c>
      <c r="Q50" s="59" t="b">
        <f>H50='CT-4'!F62</f>
        <v>1</v>
      </c>
      <c r="R50" s="59" t="b">
        <f>I50='CT-4'!G62</f>
        <v>1</v>
      </c>
      <c r="S50" s="59" t="b">
        <f>L50='CT-4'!H62</f>
        <v>1</v>
      </c>
      <c r="T50" s="59" t="b">
        <f>G50='CT-4'!O62</f>
        <v>1</v>
      </c>
      <c r="U50" s="59"/>
    </row>
    <row r="51" spans="1:21" x14ac:dyDescent="0.25">
      <c r="A51" s="56" t="s">
        <v>1839</v>
      </c>
      <c r="B51" s="58">
        <v>0</v>
      </c>
      <c r="C51" s="58">
        <v>0</v>
      </c>
      <c r="D51" s="62">
        <v>15793</v>
      </c>
      <c r="E51" s="65">
        <v>15793</v>
      </c>
      <c r="F51" s="62">
        <v>15793</v>
      </c>
      <c r="G51" s="58">
        <v>19638</v>
      </c>
      <c r="H51" s="58">
        <v>1920</v>
      </c>
      <c r="I51" s="58">
        <v>63</v>
      </c>
      <c r="J51" s="58">
        <v>132817</v>
      </c>
      <c r="K51" s="59"/>
      <c r="L51" s="58">
        <v>17775</v>
      </c>
      <c r="M51" s="59"/>
      <c r="N51" s="59" t="b">
        <f>C51='CT-4'!B63</f>
        <v>1</v>
      </c>
      <c r="O51" s="59" t="b">
        <f>ROUND(J51/1000,0)='CT-4'!C63</f>
        <v>1</v>
      </c>
      <c r="P51" s="59" t="b">
        <f>E51='CT-4'!D63</f>
        <v>1</v>
      </c>
      <c r="Q51" s="59" t="b">
        <f>H51='CT-4'!F63</f>
        <v>1</v>
      </c>
      <c r="R51" s="59" t="b">
        <f>I51='CT-4'!G63</f>
        <v>1</v>
      </c>
      <c r="S51" s="59" t="b">
        <f>L51='CT-4'!H63</f>
        <v>1</v>
      </c>
      <c r="T51" s="59" t="b">
        <f>G51='CT-4'!O63</f>
        <v>1</v>
      </c>
      <c r="U51" s="59"/>
    </row>
    <row r="52" spans="1:21" x14ac:dyDescent="0.25">
      <c r="A52" s="56" t="s">
        <v>1840</v>
      </c>
      <c r="B52" s="58">
        <v>0</v>
      </c>
      <c r="C52" s="58">
        <v>0</v>
      </c>
      <c r="D52" s="62">
        <v>14276</v>
      </c>
      <c r="E52" s="65">
        <v>14276</v>
      </c>
      <c r="F52" s="62">
        <v>14276</v>
      </c>
      <c r="G52" s="58">
        <v>19475</v>
      </c>
      <c r="H52" s="58">
        <v>1795</v>
      </c>
      <c r="I52" s="58">
        <v>99</v>
      </c>
      <c r="J52" s="58">
        <v>132883</v>
      </c>
      <c r="K52" s="59"/>
      <c r="L52" s="58">
        <v>16170</v>
      </c>
      <c r="M52" s="59"/>
      <c r="N52" s="59" t="b">
        <f>C52='CT-4'!B64</f>
        <v>1</v>
      </c>
      <c r="O52" s="59" t="b">
        <f>ROUND(J52/1000,0)='CT-4'!C64</f>
        <v>1</v>
      </c>
      <c r="P52" s="59" t="b">
        <f>E52='CT-4'!D64</f>
        <v>1</v>
      </c>
      <c r="Q52" s="59" t="b">
        <f>H52='CT-4'!F64</f>
        <v>1</v>
      </c>
      <c r="R52" s="59" t="b">
        <f>I52='CT-4'!G64</f>
        <v>1</v>
      </c>
      <c r="S52" s="59" t="b">
        <f>L52='CT-4'!H64</f>
        <v>1</v>
      </c>
      <c r="T52" s="59" t="b">
        <f>G52='CT-4'!O64</f>
        <v>1</v>
      </c>
      <c r="U52" s="59"/>
    </row>
    <row r="53" spans="1:21" x14ac:dyDescent="0.25">
      <c r="A53" s="56" t="s">
        <v>1841</v>
      </c>
      <c r="B53" s="58">
        <v>0</v>
      </c>
      <c r="C53" s="58">
        <v>0</v>
      </c>
      <c r="D53" s="62">
        <v>14593</v>
      </c>
      <c r="E53" s="65">
        <v>14593</v>
      </c>
      <c r="F53" s="62">
        <v>14593</v>
      </c>
      <c r="G53" s="58">
        <v>21409</v>
      </c>
      <c r="H53" s="58">
        <v>1685</v>
      </c>
      <c r="I53" s="58">
        <v>100</v>
      </c>
      <c r="J53" s="58">
        <v>125602</v>
      </c>
      <c r="K53" s="59"/>
      <c r="L53" s="58">
        <v>16378</v>
      </c>
      <c r="M53" s="58">
        <v>1685</v>
      </c>
      <c r="N53" s="59" t="b">
        <f>C53='CT-4'!B65</f>
        <v>1</v>
      </c>
      <c r="O53" s="59" t="b">
        <f>ROUND(J53/1000,0)='CT-4'!C65</f>
        <v>1</v>
      </c>
      <c r="P53" s="59" t="b">
        <f>E53='CT-4'!D65</f>
        <v>1</v>
      </c>
      <c r="Q53" s="59" t="b">
        <f>H53='CT-4'!F65</f>
        <v>1</v>
      </c>
      <c r="R53" s="59" t="b">
        <f>I53='CT-4'!G65</f>
        <v>1</v>
      </c>
      <c r="S53" s="59" t="b">
        <f>L53='CT-4'!H65</f>
        <v>1</v>
      </c>
      <c r="T53" s="59" t="b">
        <f>G53='CT-4'!O65</f>
        <v>1</v>
      </c>
      <c r="U53" s="68"/>
    </row>
    <row r="54" spans="1:21" x14ac:dyDescent="0.25">
      <c r="A54" s="56" t="s">
        <v>1842</v>
      </c>
      <c r="B54" s="58">
        <v>0</v>
      </c>
      <c r="C54" s="58">
        <v>0</v>
      </c>
      <c r="D54" s="62">
        <v>14210</v>
      </c>
      <c r="E54" s="65">
        <v>14210</v>
      </c>
      <c r="F54" s="62">
        <v>14210</v>
      </c>
      <c r="G54" s="58">
        <v>20473</v>
      </c>
      <c r="H54" s="58">
        <v>1989</v>
      </c>
      <c r="I54" s="58">
        <v>62</v>
      </c>
      <c r="J54" s="58">
        <v>129217</v>
      </c>
      <c r="K54" s="59"/>
      <c r="L54" s="58">
        <v>16261</v>
      </c>
      <c r="M54" s="58">
        <v>1989</v>
      </c>
      <c r="N54" s="59" t="b">
        <f>C54='CT-4'!B66</f>
        <v>1</v>
      </c>
      <c r="O54" s="59" t="b">
        <f>ROUND(J54/1000,0)='CT-4'!C66</f>
        <v>1</v>
      </c>
      <c r="P54" s="59" t="b">
        <f>E54='CT-4'!D66</f>
        <v>1</v>
      </c>
      <c r="Q54" s="59" t="b">
        <f>H54='CT-4'!F66</f>
        <v>1</v>
      </c>
      <c r="R54" s="59" t="b">
        <f>I54='CT-4'!G66</f>
        <v>1</v>
      </c>
      <c r="S54" s="59" t="b">
        <f>L54='CT-4'!H66</f>
        <v>1</v>
      </c>
      <c r="T54" s="59" t="b">
        <f>G54='CT-4'!O66</f>
        <v>1</v>
      </c>
      <c r="U54" s="68"/>
    </row>
    <row r="55" spans="1:21" x14ac:dyDescent="0.25">
      <c r="A55" s="56" t="s">
        <v>1843</v>
      </c>
      <c r="B55" s="58">
        <v>0</v>
      </c>
      <c r="C55" s="58">
        <v>0</v>
      </c>
      <c r="D55" s="62">
        <v>11922</v>
      </c>
      <c r="E55" s="65">
        <v>11922</v>
      </c>
      <c r="F55" s="62">
        <v>11922</v>
      </c>
      <c r="G55" s="58">
        <v>20313</v>
      </c>
      <c r="H55" s="58">
        <v>1556</v>
      </c>
      <c r="I55" s="58">
        <v>29</v>
      </c>
      <c r="J55" s="58">
        <v>115310</v>
      </c>
      <c r="K55" s="59"/>
      <c r="L55" s="58">
        <v>13507</v>
      </c>
      <c r="M55" s="58">
        <v>1556</v>
      </c>
      <c r="N55" s="59" t="b">
        <f>C55='CT-4'!B67</f>
        <v>1</v>
      </c>
      <c r="O55" s="59" t="b">
        <f>ROUND(J55/1000,0)='CT-4'!C67</f>
        <v>1</v>
      </c>
      <c r="P55" s="59" t="b">
        <f>E55='CT-4'!D67</f>
        <v>1</v>
      </c>
      <c r="Q55" s="59" t="b">
        <f>H55='CT-4'!F67</f>
        <v>1</v>
      </c>
      <c r="R55" s="59" t="b">
        <f>I55='CT-4'!G67</f>
        <v>1</v>
      </c>
      <c r="S55" s="59" t="b">
        <f>L55='CT-4'!H67</f>
        <v>1</v>
      </c>
      <c r="T55" s="59" t="b">
        <f>G55='CT-4'!O67</f>
        <v>1</v>
      </c>
      <c r="U55" s="68"/>
    </row>
    <row r="56" spans="1:21" x14ac:dyDescent="0.25">
      <c r="A56" s="56" t="s">
        <v>1844</v>
      </c>
      <c r="B56" s="58">
        <v>0</v>
      </c>
      <c r="C56" s="58">
        <v>0</v>
      </c>
      <c r="D56" s="62">
        <v>12856</v>
      </c>
      <c r="E56" s="65">
        <v>12856</v>
      </c>
      <c r="F56" s="62">
        <v>12856</v>
      </c>
      <c r="G56" s="58">
        <v>20728</v>
      </c>
      <c r="H56" s="58">
        <v>1864</v>
      </c>
      <c r="I56" s="58">
        <v>30</v>
      </c>
      <c r="J56" s="58">
        <v>116867</v>
      </c>
      <c r="K56" s="59"/>
      <c r="L56" s="58">
        <v>14750</v>
      </c>
      <c r="M56" s="58">
        <v>1864</v>
      </c>
      <c r="N56" s="59" t="b">
        <f>C56='CT-4'!B68</f>
        <v>1</v>
      </c>
      <c r="O56" s="59" t="b">
        <f>ROUND(J56/1000,0)='CT-4'!C68</f>
        <v>1</v>
      </c>
      <c r="P56" s="59" t="b">
        <f>E56='CT-4'!D68</f>
        <v>1</v>
      </c>
      <c r="Q56" s="59" t="b">
        <f>H56='CT-4'!F68</f>
        <v>1</v>
      </c>
      <c r="R56" s="59" t="b">
        <f>I56='CT-4'!G68</f>
        <v>1</v>
      </c>
      <c r="S56" s="59" t="b">
        <f>L56='CT-4'!H68</f>
        <v>1</v>
      </c>
      <c r="T56" s="59" t="b">
        <f>G56='CT-4'!O68</f>
        <v>1</v>
      </c>
      <c r="U56" s="68"/>
    </row>
    <row r="57" spans="1:21" x14ac:dyDescent="0.25">
      <c r="A57" s="56" t="s">
        <v>1845</v>
      </c>
      <c r="B57" s="58">
        <v>0</v>
      </c>
      <c r="C57" s="58">
        <v>0</v>
      </c>
      <c r="D57" s="62">
        <v>14584</v>
      </c>
      <c r="E57" s="65">
        <v>14584</v>
      </c>
      <c r="F57" s="62">
        <v>14584</v>
      </c>
      <c r="G57" s="58">
        <v>20071</v>
      </c>
      <c r="H57" s="58">
        <v>2117</v>
      </c>
      <c r="I57" s="58">
        <v>52</v>
      </c>
      <c r="J57" s="58">
        <v>126902</v>
      </c>
      <c r="K57" s="59"/>
      <c r="L57" s="58">
        <v>16753</v>
      </c>
      <c r="M57" s="58">
        <v>2117</v>
      </c>
      <c r="N57" s="59" t="b">
        <f>C57='CT-4'!B69</f>
        <v>1</v>
      </c>
      <c r="O57" s="59" t="b">
        <f>ROUND(J57/1000,0)='CT-4'!C69</f>
        <v>1</v>
      </c>
      <c r="P57" s="59" t="b">
        <f>E57='CT-4'!D69</f>
        <v>1</v>
      </c>
      <c r="Q57" s="59" t="b">
        <f>H57='CT-4'!F69</f>
        <v>1</v>
      </c>
      <c r="R57" s="59" t="b">
        <f>I57='CT-4'!G69</f>
        <v>1</v>
      </c>
      <c r="S57" s="59" t="b">
        <f>L57='CT-4'!H69</f>
        <v>1</v>
      </c>
      <c r="T57" s="59" t="b">
        <f>G57='CT-4'!O69</f>
        <v>1</v>
      </c>
      <c r="U57" s="68"/>
    </row>
    <row r="58" spans="1:21" x14ac:dyDescent="0.25">
      <c r="A58" s="56" t="s">
        <v>1846</v>
      </c>
      <c r="B58" s="58">
        <v>0</v>
      </c>
      <c r="C58" s="58">
        <v>0</v>
      </c>
      <c r="D58" s="62">
        <v>14465</v>
      </c>
      <c r="E58" s="65">
        <v>14465</v>
      </c>
      <c r="F58" s="62">
        <v>14465</v>
      </c>
      <c r="G58" s="58">
        <v>20175</v>
      </c>
      <c r="H58" s="58">
        <v>1979</v>
      </c>
      <c r="I58" s="58">
        <v>44</v>
      </c>
      <c r="J58" s="58">
        <v>126662</v>
      </c>
      <c r="K58" s="59"/>
      <c r="L58" s="58">
        <v>16488</v>
      </c>
      <c r="M58" s="58">
        <v>1979</v>
      </c>
      <c r="N58" s="59" t="b">
        <f>C58='CT-4'!B70</f>
        <v>1</v>
      </c>
      <c r="O58" s="59" t="b">
        <f>ROUND(J58/1000,0)='CT-4'!C70</f>
        <v>1</v>
      </c>
      <c r="P58" s="59" t="b">
        <f>E58='CT-4'!D70</f>
        <v>1</v>
      </c>
      <c r="Q58" s="59" t="b">
        <f>H58='CT-4'!F70</f>
        <v>1</v>
      </c>
      <c r="R58" s="59" t="b">
        <f>I58='CT-4'!G70</f>
        <v>1</v>
      </c>
      <c r="S58" s="59" t="b">
        <f>L58='CT-4'!H70</f>
        <v>1</v>
      </c>
      <c r="T58" s="59" t="b">
        <f>G58='CT-4'!O70</f>
        <v>1</v>
      </c>
      <c r="U58" s="68"/>
    </row>
    <row r="59" spans="1:21" x14ac:dyDescent="0.25">
      <c r="A59" s="56" t="s">
        <v>1847</v>
      </c>
      <c r="B59" s="58">
        <v>0</v>
      </c>
      <c r="C59" s="58">
        <v>0</v>
      </c>
      <c r="D59" s="62">
        <v>11231</v>
      </c>
      <c r="E59" s="65">
        <v>11231</v>
      </c>
      <c r="F59" s="62">
        <v>11231</v>
      </c>
      <c r="G59" s="58">
        <v>19693</v>
      </c>
      <c r="H59" s="58">
        <v>1966</v>
      </c>
      <c r="I59" s="58">
        <v>52</v>
      </c>
      <c r="J59" s="58">
        <v>112082</v>
      </c>
      <c r="K59" s="59"/>
      <c r="L59" s="58">
        <v>13249</v>
      </c>
      <c r="M59" s="58">
        <v>1966</v>
      </c>
      <c r="N59" s="59" t="b">
        <f>C59='CT-4'!B71</f>
        <v>1</v>
      </c>
      <c r="O59" s="59" t="b">
        <f>ROUND(J59/1000,0)='CT-4'!C71</f>
        <v>1</v>
      </c>
      <c r="P59" s="59" t="b">
        <f>E59='CT-4'!D71</f>
        <v>1</v>
      </c>
      <c r="Q59" s="59" t="b">
        <f>H59='CT-4'!F71</f>
        <v>1</v>
      </c>
      <c r="R59" s="59" t="b">
        <f>I59='CT-4'!G71</f>
        <v>1</v>
      </c>
      <c r="S59" s="59" t="b">
        <f>L59='CT-4'!H71</f>
        <v>1</v>
      </c>
      <c r="T59" s="59" t="b">
        <f>G59='CT-4'!O71</f>
        <v>1</v>
      </c>
      <c r="U59" s="68"/>
    </row>
    <row r="60" spans="1:21" x14ac:dyDescent="0.25">
      <c r="A60" s="56" t="s">
        <v>1848</v>
      </c>
      <c r="B60" s="58">
        <v>0</v>
      </c>
      <c r="C60" s="58">
        <v>0</v>
      </c>
      <c r="D60" s="62">
        <v>12279</v>
      </c>
      <c r="E60" s="65">
        <v>12279</v>
      </c>
      <c r="F60" s="62">
        <v>12279</v>
      </c>
      <c r="G60" s="58">
        <v>19338</v>
      </c>
      <c r="H60" s="58">
        <v>2118</v>
      </c>
      <c r="I60" s="58">
        <v>36</v>
      </c>
      <c r="J60" s="58">
        <v>121181</v>
      </c>
      <c r="K60" s="59"/>
      <c r="L60" s="58">
        <v>14434</v>
      </c>
      <c r="M60" s="58">
        <v>2118</v>
      </c>
      <c r="N60" s="59" t="b">
        <f>C60='CT-4'!B72</f>
        <v>1</v>
      </c>
      <c r="O60" s="59" t="b">
        <f>ROUND(J60/1000,0)='CT-4'!C72</f>
        <v>1</v>
      </c>
      <c r="P60" s="59" t="b">
        <f>E60='CT-4'!D72</f>
        <v>1</v>
      </c>
      <c r="Q60" s="59" t="b">
        <f>H60='CT-4'!F72</f>
        <v>1</v>
      </c>
      <c r="R60" s="59" t="b">
        <f>I60='CT-4'!G72</f>
        <v>1</v>
      </c>
      <c r="S60" s="59" t="b">
        <f>L60='CT-4'!H72</f>
        <v>1</v>
      </c>
      <c r="T60" s="59" t="b">
        <f>G60='CT-4'!O72</f>
        <v>1</v>
      </c>
      <c r="U60" s="68"/>
    </row>
    <row r="61" spans="1:21" x14ac:dyDescent="0.25">
      <c r="A61" s="56" t="s">
        <v>1849</v>
      </c>
      <c r="B61" s="58">
        <v>0</v>
      </c>
      <c r="C61" s="58">
        <v>0</v>
      </c>
      <c r="D61" s="62">
        <v>13315</v>
      </c>
      <c r="E61" s="65">
        <v>13315</v>
      </c>
      <c r="F61" s="62">
        <v>13315</v>
      </c>
      <c r="G61" s="58">
        <v>20285</v>
      </c>
      <c r="H61" s="58">
        <v>2250</v>
      </c>
      <c r="I61" s="58">
        <v>35</v>
      </c>
      <c r="J61" s="58">
        <v>130296</v>
      </c>
      <c r="K61" s="59"/>
      <c r="L61" s="58">
        <v>15601</v>
      </c>
      <c r="M61" s="58">
        <v>2250</v>
      </c>
      <c r="N61" s="59" t="b">
        <f>C61='CT-4'!B73</f>
        <v>1</v>
      </c>
      <c r="O61" s="59" t="b">
        <f>ROUND(J61/1000,0)='CT-4'!C73</f>
        <v>1</v>
      </c>
      <c r="P61" s="59" t="b">
        <f>E61='CT-4'!D73</f>
        <v>1</v>
      </c>
      <c r="Q61" s="59" t="b">
        <f>H61='CT-4'!F73</f>
        <v>1</v>
      </c>
      <c r="R61" s="59" t="b">
        <f>I61='CT-4'!G73</f>
        <v>1</v>
      </c>
      <c r="S61" s="59" t="b">
        <f>L61='CT-4'!H73</f>
        <v>1</v>
      </c>
      <c r="T61" s="59" t="b">
        <f>G61='CT-4'!O73</f>
        <v>1</v>
      </c>
      <c r="U61" s="68"/>
    </row>
    <row r="62" spans="1:21" x14ac:dyDescent="0.25">
      <c r="A62" s="56" t="s">
        <v>1850</v>
      </c>
      <c r="B62" s="58">
        <v>0</v>
      </c>
      <c r="C62" s="58">
        <v>0</v>
      </c>
      <c r="D62" s="62">
        <v>13161</v>
      </c>
      <c r="E62" s="65">
        <v>13161</v>
      </c>
      <c r="F62" s="62">
        <v>13161</v>
      </c>
      <c r="G62" s="58">
        <v>19315</v>
      </c>
      <c r="H62" s="58">
        <v>2694</v>
      </c>
      <c r="I62" s="58">
        <v>43</v>
      </c>
      <c r="J62" s="58">
        <v>135116</v>
      </c>
      <c r="K62" s="59"/>
      <c r="L62" s="58">
        <v>15898</v>
      </c>
      <c r="M62" s="58">
        <v>2694</v>
      </c>
      <c r="N62" s="59" t="b">
        <f>C62='CT-4'!B74</f>
        <v>1</v>
      </c>
      <c r="O62" s="59" t="b">
        <f>ROUND(J62/1000,0)='CT-4'!C74</f>
        <v>1</v>
      </c>
      <c r="P62" s="59" t="b">
        <f>E62='CT-4'!D74</f>
        <v>1</v>
      </c>
      <c r="Q62" s="59" t="b">
        <f>H62='CT-4'!F74</f>
        <v>1</v>
      </c>
      <c r="R62" s="59" t="b">
        <f>I62='CT-4'!G74</f>
        <v>1</v>
      </c>
      <c r="S62" s="59" t="b">
        <f>L62='CT-4'!H74</f>
        <v>1</v>
      </c>
      <c r="T62" s="59" t="b">
        <f>G62='CT-4'!O74</f>
        <v>1</v>
      </c>
      <c r="U62" s="68"/>
    </row>
    <row r="63" spans="1:21" x14ac:dyDescent="0.25">
      <c r="A63" s="56" t="s">
        <v>1851</v>
      </c>
      <c r="B63" s="58">
        <v>0</v>
      </c>
      <c r="C63" s="58">
        <v>0</v>
      </c>
      <c r="D63" s="62">
        <v>11817</v>
      </c>
      <c r="E63" s="65">
        <v>11817</v>
      </c>
      <c r="F63" s="62">
        <v>11817</v>
      </c>
      <c r="G63" s="58">
        <v>20345</v>
      </c>
      <c r="H63" s="58">
        <v>2249</v>
      </c>
      <c r="I63" s="58">
        <v>49</v>
      </c>
      <c r="J63" s="58">
        <v>120333</v>
      </c>
      <c r="K63" s="59"/>
      <c r="L63" s="58">
        <v>14115</v>
      </c>
      <c r="M63" s="58">
        <v>2249</v>
      </c>
      <c r="N63" s="59" t="b">
        <f>C63='CT-4'!B75</f>
        <v>1</v>
      </c>
      <c r="O63" s="59" t="b">
        <f>ROUND(J63/1000,0)='CT-4'!C75</f>
        <v>1</v>
      </c>
      <c r="P63" s="59" t="b">
        <f>E63='CT-4'!D75</f>
        <v>1</v>
      </c>
      <c r="Q63" s="59" t="b">
        <f>H63='CT-4'!F75</f>
        <v>1</v>
      </c>
      <c r="R63" s="59" t="b">
        <f>I63='CT-4'!G75</f>
        <v>1</v>
      </c>
      <c r="S63" s="59" t="b">
        <f>L63='CT-4'!H75</f>
        <v>1</v>
      </c>
      <c r="T63" s="59" t="b">
        <f>G63='CT-4'!O75</f>
        <v>1</v>
      </c>
      <c r="U63" s="68"/>
    </row>
    <row r="64" spans="1:21" x14ac:dyDescent="0.25">
      <c r="A64" s="56" t="s">
        <v>1852</v>
      </c>
      <c r="B64" s="58">
        <v>0</v>
      </c>
      <c r="C64" s="58">
        <v>0</v>
      </c>
      <c r="D64" s="62">
        <v>12432</v>
      </c>
      <c r="E64" s="65">
        <v>12432</v>
      </c>
      <c r="F64" s="62">
        <v>12432</v>
      </c>
      <c r="G64" s="58">
        <v>20305</v>
      </c>
      <c r="H64" s="58">
        <v>2105</v>
      </c>
      <c r="I64" s="58">
        <v>37</v>
      </c>
      <c r="J64" s="58">
        <v>122812</v>
      </c>
      <c r="K64" s="58">
        <v>0</v>
      </c>
      <c r="L64" s="58">
        <v>14575</v>
      </c>
      <c r="M64" s="58">
        <v>2105</v>
      </c>
      <c r="N64" s="59" t="b">
        <f>C64='CT-4'!B76</f>
        <v>1</v>
      </c>
      <c r="O64" s="59" t="b">
        <f>ROUND(J64/1000,0)='CT-4'!C76</f>
        <v>1</v>
      </c>
      <c r="P64" s="59" t="b">
        <f>E64='CT-4'!D76</f>
        <v>1</v>
      </c>
      <c r="Q64" s="59" t="b">
        <f>H64='CT-4'!F76</f>
        <v>1</v>
      </c>
      <c r="R64" s="59" t="b">
        <f>I64='CT-4'!G76</f>
        <v>1</v>
      </c>
      <c r="S64" s="59" t="b">
        <f>L64='CT-4'!H76</f>
        <v>1</v>
      </c>
      <c r="T64" s="59" t="b">
        <f>G64='CT-4'!O76</f>
        <v>1</v>
      </c>
      <c r="U64" s="68"/>
    </row>
    <row r="65" spans="1:21" x14ac:dyDescent="0.25">
      <c r="A65" s="56" t="s">
        <v>1853</v>
      </c>
      <c r="B65" s="58">
        <v>0</v>
      </c>
      <c r="C65" s="58">
        <v>0</v>
      </c>
      <c r="D65" s="62">
        <v>12268</v>
      </c>
      <c r="E65" s="65">
        <v>12268</v>
      </c>
      <c r="F65" s="62">
        <v>12268</v>
      </c>
      <c r="G65" s="58">
        <v>20007</v>
      </c>
      <c r="H65" s="58">
        <v>2065</v>
      </c>
      <c r="I65" s="58">
        <v>33</v>
      </c>
      <c r="J65" s="58">
        <v>131543</v>
      </c>
      <c r="K65" s="58">
        <v>0</v>
      </c>
      <c r="L65" s="58">
        <v>14365</v>
      </c>
      <c r="M65" s="58">
        <v>2065</v>
      </c>
      <c r="N65" s="59" t="b">
        <f>C65='CT-4'!B77</f>
        <v>1</v>
      </c>
      <c r="O65" s="59" t="b">
        <f>ROUND(J65/1000,0)='CT-4'!C77</f>
        <v>1</v>
      </c>
      <c r="P65" s="59" t="b">
        <f>E65='CT-4'!D77</f>
        <v>1</v>
      </c>
      <c r="Q65" s="59" t="b">
        <f>H65='CT-4'!F77</f>
        <v>1</v>
      </c>
      <c r="R65" s="59" t="b">
        <f>I65='CT-4'!G77</f>
        <v>1</v>
      </c>
      <c r="S65" s="59" t="b">
        <f>L65='CT-4'!H77</f>
        <v>1</v>
      </c>
      <c r="T65" s="59" t="b">
        <f>G65='CT-4'!O77</f>
        <v>1</v>
      </c>
      <c r="U65" s="68"/>
    </row>
    <row r="66" spans="1:21" x14ac:dyDescent="0.25">
      <c r="A66" s="56" t="s">
        <v>1854</v>
      </c>
      <c r="B66" s="58">
        <v>0</v>
      </c>
      <c r="C66" s="58">
        <v>0</v>
      </c>
      <c r="D66" s="62">
        <v>12300</v>
      </c>
      <c r="E66" s="65">
        <v>12300</v>
      </c>
      <c r="F66" s="62">
        <v>12300</v>
      </c>
      <c r="G66" s="58">
        <v>19366</v>
      </c>
      <c r="H66" s="58">
        <v>1986</v>
      </c>
      <c r="I66" s="58">
        <v>60</v>
      </c>
      <c r="J66" s="58">
        <v>109805</v>
      </c>
      <c r="K66" s="59"/>
      <c r="L66" s="59"/>
      <c r="M66" s="58">
        <v>1986</v>
      </c>
      <c r="N66" s="69"/>
      <c r="O66" s="69"/>
      <c r="P66" s="69"/>
      <c r="Q66" s="70"/>
      <c r="R66" s="70"/>
      <c r="S66" s="70"/>
      <c r="T66" s="70"/>
      <c r="U66" s="70"/>
    </row>
    <row r="68" spans="1:21" x14ac:dyDescent="0.25">
      <c r="A68" s="120" t="s">
        <v>1965</v>
      </c>
    </row>
    <row r="69" spans="1:21" x14ac:dyDescent="0.25">
      <c r="A69" s="120" t="s">
        <v>1966</v>
      </c>
    </row>
    <row r="70" spans="1:21" x14ac:dyDescent="0.25">
      <c r="A70" s="120" t="s">
        <v>1949</v>
      </c>
    </row>
    <row r="71" spans="1:21" x14ac:dyDescent="0.25">
      <c r="A71" s="120" t="s">
        <v>1967</v>
      </c>
    </row>
    <row r="72" spans="1:21" x14ac:dyDescent="0.25">
      <c r="A72" s="120" t="s">
        <v>1968</v>
      </c>
    </row>
    <row r="73" spans="1:21" x14ac:dyDescent="0.25">
      <c r="A73" s="120" t="s">
        <v>1969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A73A-A191-4D3A-AA7E-19D381095E73}">
  <dimension ref="A1:AN96"/>
  <sheetViews>
    <sheetView topLeftCell="A40" workbookViewId="0">
      <selection activeCell="I91" sqref="I91"/>
    </sheetView>
    <sheetView workbookViewId="1"/>
  </sheetViews>
  <sheetFormatPr defaultRowHeight="15" x14ac:dyDescent="0.25"/>
  <cols>
    <col min="2" max="2" width="76.42578125" customWidth="1"/>
    <col min="3" max="3" width="10.85546875" customWidth="1"/>
    <col min="23" max="24" width="13" customWidth="1"/>
    <col min="25" max="25" width="11.5703125" customWidth="1"/>
    <col min="36" max="38" width="17.85546875" customWidth="1"/>
    <col min="39" max="39" width="16" customWidth="1"/>
  </cols>
  <sheetData>
    <row r="1" spans="1:10" x14ac:dyDescent="0.25">
      <c r="A1" t="s">
        <v>1865</v>
      </c>
    </row>
    <row r="3" spans="1:10" x14ac:dyDescent="0.25">
      <c r="A3" s="73" t="s">
        <v>19</v>
      </c>
      <c r="B3" s="73" t="s">
        <v>20</v>
      </c>
      <c r="C3" s="73" t="s">
        <v>21</v>
      </c>
    </row>
    <row r="4" spans="1:10" x14ac:dyDescent="0.25">
      <c r="A4" s="80" t="s">
        <v>22</v>
      </c>
      <c r="B4" s="80" t="s">
        <v>23</v>
      </c>
      <c r="C4" s="80" t="s">
        <v>24</v>
      </c>
    </row>
    <row r="5" spans="1:10" x14ac:dyDescent="0.25">
      <c r="A5" s="81" t="s">
        <v>26</v>
      </c>
      <c r="B5" s="81" t="s">
        <v>27</v>
      </c>
      <c r="C5" s="81" t="s">
        <v>24</v>
      </c>
      <c r="G5" s="83"/>
    </row>
    <row r="6" spans="1:10" x14ac:dyDescent="0.25">
      <c r="A6" s="82" t="s">
        <v>28</v>
      </c>
      <c r="B6" s="82" t="s">
        <v>29</v>
      </c>
      <c r="C6" s="82" t="s">
        <v>24</v>
      </c>
    </row>
    <row r="7" spans="1:10" x14ac:dyDescent="0.25">
      <c r="A7" s="81" t="s">
        <v>30</v>
      </c>
      <c r="B7" s="81" t="s">
        <v>31</v>
      </c>
      <c r="C7" s="81" t="s">
        <v>24</v>
      </c>
    </row>
    <row r="8" spans="1:10" x14ac:dyDescent="0.25">
      <c r="A8" s="82" t="s">
        <v>32</v>
      </c>
      <c r="B8" s="82" t="s">
        <v>33</v>
      </c>
      <c r="C8" s="82" t="s">
        <v>24</v>
      </c>
    </row>
    <row r="9" spans="1:10" x14ac:dyDescent="0.25">
      <c r="A9" s="81" t="s">
        <v>34</v>
      </c>
      <c r="B9" s="81" t="s">
        <v>35</v>
      </c>
      <c r="C9" s="81" t="s">
        <v>24</v>
      </c>
    </row>
    <row r="10" spans="1:10" x14ac:dyDescent="0.25">
      <c r="A10" s="81" t="s">
        <v>36</v>
      </c>
      <c r="B10" s="81" t="s">
        <v>37</v>
      </c>
      <c r="C10" s="81" t="s">
        <v>24</v>
      </c>
      <c r="J10" s="127"/>
    </row>
    <row r="11" spans="1:10" x14ac:dyDescent="0.25">
      <c r="A11" s="81" t="s">
        <v>38</v>
      </c>
      <c r="B11" s="81" t="s">
        <v>39</v>
      </c>
      <c r="C11" s="81" t="s">
        <v>24</v>
      </c>
    </row>
    <row r="12" spans="1:10" x14ac:dyDescent="0.25">
      <c r="A12" s="81" t="s">
        <v>40</v>
      </c>
      <c r="B12" s="81" t="s">
        <v>41</v>
      </c>
      <c r="C12" s="81" t="s">
        <v>24</v>
      </c>
    </row>
    <row r="13" spans="1:10" x14ac:dyDescent="0.25">
      <c r="A13" s="81" t="s">
        <v>42</v>
      </c>
      <c r="B13" s="81" t="s">
        <v>43</v>
      </c>
      <c r="C13" s="81" t="s">
        <v>24</v>
      </c>
    </row>
    <row r="14" spans="1:10" x14ac:dyDescent="0.25">
      <c r="A14" s="81" t="s">
        <v>44</v>
      </c>
      <c r="B14" s="81" t="s">
        <v>45</v>
      </c>
      <c r="C14" s="81" t="s">
        <v>24</v>
      </c>
    </row>
    <row r="15" spans="1:10" x14ac:dyDescent="0.25">
      <c r="A15" s="85" t="s">
        <v>46</v>
      </c>
      <c r="B15" s="85" t="s">
        <v>47</v>
      </c>
      <c r="C15" s="85" t="s">
        <v>24</v>
      </c>
    </row>
    <row r="16" spans="1:10" x14ac:dyDescent="0.25">
      <c r="A16" s="81" t="s">
        <v>48</v>
      </c>
      <c r="B16" s="81" t="s">
        <v>49</v>
      </c>
      <c r="C16" s="81" t="s">
        <v>24</v>
      </c>
    </row>
    <row r="17" spans="1:40" x14ac:dyDescent="0.25">
      <c r="A17" s="85" t="s">
        <v>50</v>
      </c>
      <c r="B17" s="85" t="s">
        <v>51</v>
      </c>
      <c r="C17" s="85" t="s">
        <v>24</v>
      </c>
    </row>
    <row r="18" spans="1:40" x14ac:dyDescent="0.25">
      <c r="A18" s="82" t="s">
        <v>52</v>
      </c>
      <c r="B18" s="82" t="s">
        <v>53</v>
      </c>
      <c r="C18" s="82" t="s">
        <v>24</v>
      </c>
    </row>
    <row r="19" spans="1:40" x14ac:dyDescent="0.25">
      <c r="A19" s="80" t="s">
        <v>54</v>
      </c>
      <c r="B19" s="80" t="s">
        <v>55</v>
      </c>
      <c r="C19" s="80" t="s">
        <v>24</v>
      </c>
    </row>
    <row r="20" spans="1:40" x14ac:dyDescent="0.25">
      <c r="A20" s="94" t="s">
        <v>56</v>
      </c>
      <c r="B20" s="94" t="s">
        <v>57</v>
      </c>
      <c r="C20" s="94" t="s">
        <v>24</v>
      </c>
      <c r="D20" s="95" t="s">
        <v>1883</v>
      </c>
    </row>
    <row r="21" spans="1:40" x14ac:dyDescent="0.25">
      <c r="A21" s="81" t="s">
        <v>58</v>
      </c>
      <c r="B21" s="81" t="s">
        <v>59</v>
      </c>
      <c r="C21" s="81" t="s">
        <v>24</v>
      </c>
    </row>
    <row r="22" spans="1:40" x14ac:dyDescent="0.25">
      <c r="A22" s="81" t="s">
        <v>60</v>
      </c>
      <c r="B22" s="81" t="s">
        <v>61</v>
      </c>
      <c r="C22" s="81" t="s">
        <v>24</v>
      </c>
    </row>
    <row r="23" spans="1:40" x14ac:dyDescent="0.25">
      <c r="A23" s="81" t="s">
        <v>62</v>
      </c>
      <c r="B23" s="81" t="s">
        <v>63</v>
      </c>
      <c r="C23" s="81" t="s">
        <v>24</v>
      </c>
    </row>
    <row r="24" spans="1:40" x14ac:dyDescent="0.25">
      <c r="A24" s="81" t="s">
        <v>64</v>
      </c>
      <c r="B24" s="81" t="s">
        <v>65</v>
      </c>
      <c r="C24" s="81" t="s">
        <v>24</v>
      </c>
    </row>
    <row r="25" spans="1:40" x14ac:dyDescent="0.25">
      <c r="A25" s="73" t="s">
        <v>1751</v>
      </c>
      <c r="B25" s="73" t="s">
        <v>22</v>
      </c>
      <c r="C25" s="73" t="s">
        <v>26</v>
      </c>
      <c r="D25" s="78" t="s">
        <v>28</v>
      </c>
      <c r="E25" s="73" t="s">
        <v>30</v>
      </c>
      <c r="F25" s="78" t="s">
        <v>32</v>
      </c>
      <c r="G25" s="73" t="s">
        <v>34</v>
      </c>
      <c r="H25" s="73" t="s">
        <v>36</v>
      </c>
      <c r="I25" s="73" t="s">
        <v>38</v>
      </c>
      <c r="J25" s="73" t="s">
        <v>40</v>
      </c>
      <c r="K25" s="73" t="s">
        <v>42</v>
      </c>
      <c r="L25" s="73" t="s">
        <v>44</v>
      </c>
      <c r="M25" s="73" t="s">
        <v>46</v>
      </c>
      <c r="N25" s="73" t="s">
        <v>48</v>
      </c>
      <c r="O25" s="73" t="s">
        <v>50</v>
      </c>
      <c r="P25" s="73" t="s">
        <v>52</v>
      </c>
      <c r="Q25" s="73" t="s">
        <v>54</v>
      </c>
      <c r="R25" s="91" t="s">
        <v>56</v>
      </c>
      <c r="S25" s="73" t="s">
        <v>58</v>
      </c>
      <c r="T25" s="73" t="s">
        <v>60</v>
      </c>
      <c r="U25" s="73" t="s">
        <v>62</v>
      </c>
      <c r="V25" s="73" t="s">
        <v>64</v>
      </c>
      <c r="W25" s="77" t="s">
        <v>1856</v>
      </c>
      <c r="X25" s="77" t="s">
        <v>1867</v>
      </c>
      <c r="Y25" s="77" t="s">
        <v>1866</v>
      </c>
      <c r="Z25" s="77" t="s">
        <v>1868</v>
      </c>
      <c r="AA25" s="77" t="s">
        <v>1869</v>
      </c>
      <c r="AB25" s="77" t="s">
        <v>1870</v>
      </c>
      <c r="AC25" s="77" t="s">
        <v>1871</v>
      </c>
      <c r="AD25" s="77" t="s">
        <v>1872</v>
      </c>
      <c r="AE25" s="77" t="s">
        <v>1873</v>
      </c>
      <c r="AF25" s="77" t="s">
        <v>1874</v>
      </c>
      <c r="AG25" s="77" t="s">
        <v>1875</v>
      </c>
      <c r="AH25" s="77" t="s">
        <v>1876</v>
      </c>
      <c r="AI25" s="77" t="s">
        <v>1877</v>
      </c>
      <c r="AJ25" s="77" t="s">
        <v>1878</v>
      </c>
      <c r="AK25" s="77" t="s">
        <v>1880</v>
      </c>
      <c r="AL25" s="77" t="s">
        <v>1881</v>
      </c>
      <c r="AM25" s="77" t="s">
        <v>1879</v>
      </c>
      <c r="AN25" s="77" t="s">
        <v>1945</v>
      </c>
    </row>
    <row r="26" spans="1:40" x14ac:dyDescent="0.25">
      <c r="A26" s="74" t="s">
        <v>1791</v>
      </c>
      <c r="B26" s="75">
        <v>0</v>
      </c>
      <c r="C26" s="75">
        <v>12118</v>
      </c>
      <c r="D26" s="79">
        <v>199826</v>
      </c>
      <c r="E26" s="75">
        <v>199826</v>
      </c>
      <c r="F26" s="79">
        <v>199826</v>
      </c>
      <c r="G26" s="75">
        <v>14297</v>
      </c>
      <c r="H26" s="75">
        <v>0</v>
      </c>
      <c r="I26" s="75">
        <v>2425</v>
      </c>
      <c r="J26" s="75">
        <v>27546</v>
      </c>
      <c r="K26" s="75">
        <v>28828</v>
      </c>
      <c r="L26" s="75">
        <v>46591</v>
      </c>
      <c r="M26" s="76"/>
      <c r="N26" s="75">
        <v>229797</v>
      </c>
      <c r="O26" s="75">
        <v>229797</v>
      </c>
      <c r="P26" s="76"/>
      <c r="Q26" s="75">
        <v>8548</v>
      </c>
      <c r="R26" s="92"/>
      <c r="S26" s="75">
        <v>0</v>
      </c>
      <c r="T26" s="75">
        <v>340179</v>
      </c>
      <c r="U26" s="75">
        <v>311350</v>
      </c>
      <c r="V26" s="75">
        <v>8548</v>
      </c>
      <c r="W26" s="83" t="b">
        <f>ROUND(C26/1000,1)='CT-4'!B86</f>
        <v>1</v>
      </c>
      <c r="X26" s="83" t="b">
        <f>ROUND(L26/1000,1)='CT-4'!C86</f>
        <v>1</v>
      </c>
      <c r="Y26" s="83" t="b">
        <f>ROUND(E26/1000,1)='CT-4'!D86</f>
        <v>1</v>
      </c>
      <c r="Z26" s="83" t="b">
        <f>ROUND(I26/1000,1)='CT-4'!F86</f>
        <v>1</v>
      </c>
      <c r="AA26" s="83" t="b">
        <f>ROUND(J26/1000,1)='CT-4'!G86</f>
        <v>1</v>
      </c>
      <c r="AB26" s="83" t="b">
        <f>ROUND(N26/1000,1)='CT-4'!H86</f>
        <v>1</v>
      </c>
      <c r="AC26" s="83" t="b">
        <f>ROUND(V26/1000,1)='CT-4'!J86</f>
        <v>1</v>
      </c>
      <c r="AD26" s="50"/>
      <c r="AE26" s="50"/>
      <c r="AF26" s="83" t="b">
        <f>ROUND(G26/1000,1)='CT-4'!O86</f>
        <v>1</v>
      </c>
      <c r="AG26" s="83" t="b">
        <f>ROUND(U26/1000,1)='CT-4'!P86</f>
        <v>1</v>
      </c>
      <c r="AH26">
        <f>ROUND(T26/1000,1)-'CT-4'!T86</f>
        <v>0</v>
      </c>
      <c r="AI26">
        <f>ROUND(K26/1000,1)-'CT-4'!R86</f>
        <v>0</v>
      </c>
      <c r="AJ26">
        <f>T26-K26-U26</f>
        <v>1</v>
      </c>
      <c r="AK26">
        <f>E26+I26+J26-N26</f>
        <v>0</v>
      </c>
      <c r="AL26">
        <f>Q26-H26-V26-S26</f>
        <v>0</v>
      </c>
      <c r="AM26">
        <f>C26+E26+G26+I26+J26+L26+H26+S26+V26-U26-R26</f>
        <v>1</v>
      </c>
      <c r="AN26">
        <f>SUM(C26,E26,I26,J26,L26)</f>
        <v>288506</v>
      </c>
    </row>
    <row r="27" spans="1:40" x14ac:dyDescent="0.25">
      <c r="A27" s="74" t="s">
        <v>1792</v>
      </c>
      <c r="B27" s="75">
        <v>0</v>
      </c>
      <c r="C27" s="75">
        <v>9573</v>
      </c>
      <c r="D27" s="79">
        <v>205574</v>
      </c>
      <c r="E27" s="75">
        <v>205574</v>
      </c>
      <c r="F27" s="79">
        <v>205574</v>
      </c>
      <c r="G27" s="75">
        <v>15237</v>
      </c>
      <c r="H27" s="75">
        <v>0</v>
      </c>
      <c r="I27" s="75">
        <v>2150</v>
      </c>
      <c r="J27" s="75">
        <v>26758</v>
      </c>
      <c r="K27" s="75">
        <v>30208</v>
      </c>
      <c r="L27" s="75">
        <v>51364</v>
      </c>
      <c r="M27" s="76"/>
      <c r="N27" s="75">
        <v>234482</v>
      </c>
      <c r="O27" s="75">
        <v>234482</v>
      </c>
      <c r="P27" s="76"/>
      <c r="Q27" s="75">
        <v>8359</v>
      </c>
      <c r="R27" s="92"/>
      <c r="S27" s="75">
        <v>0</v>
      </c>
      <c r="T27" s="75">
        <v>349223</v>
      </c>
      <c r="U27" s="75">
        <v>319016</v>
      </c>
      <c r="V27" s="75">
        <v>8359</v>
      </c>
      <c r="W27" s="83" t="b">
        <f>ROUND(C27/1000,1)='CT-4'!B87</f>
        <v>1</v>
      </c>
      <c r="X27" s="83" t="b">
        <f>ROUND(L27/1000,1)='CT-4'!C87</f>
        <v>1</v>
      </c>
      <c r="Y27" s="83" t="b">
        <f>ROUND(E27/1000,1)='CT-4'!D87</f>
        <v>1</v>
      </c>
      <c r="Z27" s="83" t="b">
        <f>ROUND(I27/1000,1)='CT-4'!F87</f>
        <v>1</v>
      </c>
      <c r="AA27" s="83" t="b">
        <f>ROUND(J27/1000,1)='CT-4'!G87</f>
        <v>1</v>
      </c>
      <c r="AB27" s="83" t="b">
        <f>ROUND(N27/1000,1)='CT-4'!H87</f>
        <v>1</v>
      </c>
      <c r="AC27" s="83" t="b">
        <f>ROUND(V27/1000,1)='CT-4'!J87</f>
        <v>1</v>
      </c>
      <c r="AD27" s="50"/>
      <c r="AE27" s="50"/>
      <c r="AF27" s="83" t="b">
        <f>ROUND(G27/1000,1)='CT-4'!O87</f>
        <v>1</v>
      </c>
      <c r="AG27" s="83" t="b">
        <f>ROUND(U27/1000,1)='CT-4'!P87</f>
        <v>1</v>
      </c>
      <c r="AH27">
        <f>ROUND(T27/1000,1)-'CT-4'!T87</f>
        <v>0</v>
      </c>
      <c r="AI27">
        <f>ROUND(K27/1000,1)-'CT-4'!R87</f>
        <v>0</v>
      </c>
      <c r="AJ27">
        <f t="shared" ref="AJ27:AJ88" si="0">T27-K27-U27</f>
        <v>-1</v>
      </c>
      <c r="AK27">
        <f t="shared" ref="AK27:AK88" si="1">E27+I27+J27-N27</f>
        <v>0</v>
      </c>
      <c r="AL27">
        <f t="shared" ref="AL27:AL88" si="2">Q27-H27-V27-S27</f>
        <v>0</v>
      </c>
      <c r="AM27">
        <f t="shared" ref="AM27:AM88" si="3">C27+E27+G27+I27+J27+L27+H27+S27+V27-U27-R27</f>
        <v>-1</v>
      </c>
      <c r="AN27">
        <f t="shared" ref="AN27:AN88" si="4">SUM(C27,E27,I27,J27,L27)</f>
        <v>295419</v>
      </c>
    </row>
    <row r="28" spans="1:40" x14ac:dyDescent="0.25">
      <c r="A28" s="74" t="s">
        <v>1793</v>
      </c>
      <c r="B28" s="75">
        <v>0</v>
      </c>
      <c r="C28" s="75">
        <v>9144</v>
      </c>
      <c r="D28" s="79">
        <v>210817</v>
      </c>
      <c r="E28" s="75">
        <v>210817</v>
      </c>
      <c r="F28" s="79">
        <v>210817</v>
      </c>
      <c r="G28" s="75">
        <v>16099</v>
      </c>
      <c r="H28" s="75">
        <v>0</v>
      </c>
      <c r="I28" s="75">
        <v>2597</v>
      </c>
      <c r="J28" s="75">
        <v>26008</v>
      </c>
      <c r="K28" s="75">
        <v>31349</v>
      </c>
      <c r="L28" s="75">
        <v>55974</v>
      </c>
      <c r="M28" s="76"/>
      <c r="N28" s="75">
        <v>239422</v>
      </c>
      <c r="O28" s="75">
        <v>239422</v>
      </c>
      <c r="P28" s="76"/>
      <c r="Q28" s="75">
        <v>8273</v>
      </c>
      <c r="R28" s="92"/>
      <c r="S28" s="75">
        <v>0</v>
      </c>
      <c r="T28" s="75">
        <v>360261</v>
      </c>
      <c r="U28" s="75">
        <v>328912</v>
      </c>
      <c r="V28" s="75">
        <v>8273</v>
      </c>
      <c r="W28" s="83" t="b">
        <f>ROUND(C28/1000,1)='CT-4'!B88</f>
        <v>1</v>
      </c>
      <c r="X28" s="83" t="b">
        <f>ROUND(L28/1000,1)='CT-4'!C88</f>
        <v>1</v>
      </c>
      <c r="Y28" s="83" t="b">
        <f>ROUND(E28/1000,1)='CT-4'!D88</f>
        <v>1</v>
      </c>
      <c r="Z28" s="83" t="b">
        <f>ROUND(I28/1000,1)='CT-4'!F88</f>
        <v>1</v>
      </c>
      <c r="AA28" s="83" t="b">
        <f>ROUND(J28/1000,1)='CT-4'!G88</f>
        <v>1</v>
      </c>
      <c r="AB28" s="83" t="b">
        <f>ROUND(N28/1000,1)='CT-4'!H88</f>
        <v>1</v>
      </c>
      <c r="AC28" s="83" t="b">
        <f>ROUND(V28/1000,1)='CT-4'!J88</f>
        <v>1</v>
      </c>
      <c r="AD28" s="50"/>
      <c r="AE28" s="50"/>
      <c r="AF28" s="83" t="b">
        <f>ROUND(G28/1000,1)='CT-4'!O88</f>
        <v>1</v>
      </c>
      <c r="AG28" s="83" t="b">
        <f>ROUND(U28/1000,1)='CT-4'!P88</f>
        <v>1</v>
      </c>
      <c r="AH28">
        <f>ROUND(T28/1000,1)-'CT-4'!T88</f>
        <v>0</v>
      </c>
      <c r="AI28">
        <f>ROUND(K28/1000,1)-'CT-4'!R88</f>
        <v>0</v>
      </c>
      <c r="AJ28">
        <f t="shared" si="0"/>
        <v>0</v>
      </c>
      <c r="AK28">
        <f t="shared" si="1"/>
        <v>0</v>
      </c>
      <c r="AL28">
        <f t="shared" si="2"/>
        <v>0</v>
      </c>
      <c r="AM28">
        <f t="shared" si="3"/>
        <v>0</v>
      </c>
      <c r="AN28">
        <f t="shared" si="4"/>
        <v>304540</v>
      </c>
    </row>
    <row r="29" spans="1:40" x14ac:dyDescent="0.25">
      <c r="A29" s="74" t="s">
        <v>1794</v>
      </c>
      <c r="B29" s="75">
        <v>0</v>
      </c>
      <c r="C29" s="75">
        <v>6613</v>
      </c>
      <c r="D29" s="79">
        <v>199657</v>
      </c>
      <c r="E29" s="75">
        <v>199657</v>
      </c>
      <c r="F29" s="79">
        <v>199657</v>
      </c>
      <c r="G29" s="75">
        <v>17161</v>
      </c>
      <c r="H29" s="75">
        <v>0</v>
      </c>
      <c r="I29" s="75">
        <v>2675</v>
      </c>
      <c r="J29" s="75">
        <v>23174</v>
      </c>
      <c r="K29" s="75">
        <v>33931</v>
      </c>
      <c r="L29" s="75">
        <v>59109</v>
      </c>
      <c r="M29" s="76"/>
      <c r="N29" s="75">
        <v>225505</v>
      </c>
      <c r="O29" s="75">
        <v>225505</v>
      </c>
      <c r="P29" s="76"/>
      <c r="Q29" s="75">
        <v>8101</v>
      </c>
      <c r="R29" s="92"/>
      <c r="S29" s="75">
        <v>0</v>
      </c>
      <c r="T29" s="75">
        <v>350420</v>
      </c>
      <c r="U29" s="75">
        <v>316489</v>
      </c>
      <c r="V29" s="75">
        <v>8101</v>
      </c>
      <c r="W29" s="83" t="b">
        <f>ROUND(C29/1000,1)='CT-4'!B89</f>
        <v>1</v>
      </c>
      <c r="X29" s="83" t="b">
        <f>ROUND(L29/1000,1)='CT-4'!C89</f>
        <v>1</v>
      </c>
      <c r="Y29" s="83" t="b">
        <f>ROUND(E29/1000,1)='CT-4'!D89</f>
        <v>1</v>
      </c>
      <c r="Z29" s="83" t="b">
        <f>ROUND(I29/1000,1)='CT-4'!F89</f>
        <v>1</v>
      </c>
      <c r="AA29" s="83" t="b">
        <f>ROUND(J29/1000,1)='CT-4'!G89</f>
        <v>1</v>
      </c>
      <c r="AB29" s="83" t="b">
        <f>ROUND(N29/1000,1)='CT-4'!H89</f>
        <v>1</v>
      </c>
      <c r="AC29" s="83" t="b">
        <f>ROUND(V29/1000,1)='CT-4'!J89</f>
        <v>1</v>
      </c>
      <c r="AD29" s="50"/>
      <c r="AE29" s="50"/>
      <c r="AF29" s="83" t="b">
        <f>ROUND(G29/1000,1)='CT-4'!O89</f>
        <v>1</v>
      </c>
      <c r="AG29" s="83" t="b">
        <f>ROUND(U29/1000,1)='CT-4'!P89</f>
        <v>1</v>
      </c>
      <c r="AH29">
        <f>ROUND(T29/1000,1)-'CT-4'!T89</f>
        <v>0</v>
      </c>
      <c r="AI29">
        <f>ROUND(K29/1000,1)-'CT-4'!R89</f>
        <v>0</v>
      </c>
      <c r="AJ29">
        <f t="shared" si="0"/>
        <v>0</v>
      </c>
      <c r="AK29">
        <f t="shared" si="1"/>
        <v>1</v>
      </c>
      <c r="AL29">
        <f t="shared" si="2"/>
        <v>0</v>
      </c>
      <c r="AM29">
        <f t="shared" si="3"/>
        <v>1</v>
      </c>
      <c r="AN29">
        <f t="shared" si="4"/>
        <v>291228</v>
      </c>
    </row>
    <row r="30" spans="1:40" x14ac:dyDescent="0.25">
      <c r="A30" s="74" t="s">
        <v>1795</v>
      </c>
      <c r="B30" s="75">
        <v>0</v>
      </c>
      <c r="C30" s="75">
        <v>6263</v>
      </c>
      <c r="D30" s="79">
        <v>193105</v>
      </c>
      <c r="E30" s="75">
        <v>193105</v>
      </c>
      <c r="F30" s="79">
        <v>193105</v>
      </c>
      <c r="G30" s="75">
        <v>18292</v>
      </c>
      <c r="H30" s="75">
        <v>0</v>
      </c>
      <c r="I30" s="75">
        <v>2674</v>
      </c>
      <c r="J30" s="75">
        <v>18543</v>
      </c>
      <c r="K30" s="75">
        <v>35980</v>
      </c>
      <c r="L30" s="75">
        <v>62534</v>
      </c>
      <c r="M30" s="76"/>
      <c r="N30" s="75">
        <v>214322</v>
      </c>
      <c r="O30" s="75">
        <v>214322</v>
      </c>
      <c r="P30" s="76"/>
      <c r="Q30" s="75">
        <v>7740</v>
      </c>
      <c r="R30" s="92"/>
      <c r="S30" s="75">
        <v>0</v>
      </c>
      <c r="T30" s="75">
        <v>345132</v>
      </c>
      <c r="U30" s="75">
        <v>309151</v>
      </c>
      <c r="V30" s="75">
        <v>7740</v>
      </c>
      <c r="W30" s="83" t="b">
        <f>ROUND(C30/1000,1)='CT-4'!B90</f>
        <v>1</v>
      </c>
      <c r="X30" s="83" t="b">
        <f>ROUND(L30/1000,1)='CT-4'!C90</f>
        <v>1</v>
      </c>
      <c r="Y30" s="83" t="b">
        <f>ROUND(E30/1000,1)='CT-4'!D90</f>
        <v>1</v>
      </c>
      <c r="Z30" s="83" t="b">
        <f>ROUND(I30/1000,1)='CT-4'!F90</f>
        <v>1</v>
      </c>
      <c r="AA30" s="83" t="b">
        <f>ROUND(J30/1000,1)='CT-4'!G90</f>
        <v>1</v>
      </c>
      <c r="AB30" s="83" t="b">
        <f>ROUND(N30/1000,1)='CT-4'!H90</f>
        <v>1</v>
      </c>
      <c r="AC30" s="83" t="b">
        <f>ROUND(V30/1000,1)='CT-4'!J90</f>
        <v>1</v>
      </c>
      <c r="AD30" s="50"/>
      <c r="AE30" s="50"/>
      <c r="AF30" s="83" t="b">
        <f>ROUND(G30/1000,1)='CT-4'!O90</f>
        <v>1</v>
      </c>
      <c r="AG30" s="83" t="b">
        <f>ROUND(U30/1000,1)='CT-4'!P90</f>
        <v>1</v>
      </c>
      <c r="AH30">
        <f>ROUND(T30/1000,1)-'CT-4'!T90</f>
        <v>0</v>
      </c>
      <c r="AI30">
        <f>ROUND(K30/1000,1)-'CT-4'!R90</f>
        <v>0</v>
      </c>
      <c r="AJ30">
        <f t="shared" si="0"/>
        <v>1</v>
      </c>
      <c r="AK30">
        <f t="shared" si="1"/>
        <v>0</v>
      </c>
      <c r="AL30">
        <f t="shared" si="2"/>
        <v>0</v>
      </c>
      <c r="AM30">
        <f t="shared" si="3"/>
        <v>0</v>
      </c>
      <c r="AN30">
        <f t="shared" si="4"/>
        <v>283119</v>
      </c>
    </row>
    <row r="31" spans="1:40" x14ac:dyDescent="0.25">
      <c r="A31" s="74" t="s">
        <v>1796</v>
      </c>
      <c r="B31" s="75">
        <v>0</v>
      </c>
      <c r="C31" s="75">
        <v>5155</v>
      </c>
      <c r="D31" s="79">
        <v>216001</v>
      </c>
      <c r="E31" s="75">
        <v>216001</v>
      </c>
      <c r="F31" s="79">
        <v>216001</v>
      </c>
      <c r="G31" s="75">
        <v>19673</v>
      </c>
      <c r="H31" s="75">
        <v>0</v>
      </c>
      <c r="I31" s="75">
        <v>2986</v>
      </c>
      <c r="J31" s="75">
        <v>15208</v>
      </c>
      <c r="K31" s="75">
        <v>38695</v>
      </c>
      <c r="L31" s="75">
        <v>65695</v>
      </c>
      <c r="M31" s="76"/>
      <c r="N31" s="75">
        <v>234195</v>
      </c>
      <c r="O31" s="75">
        <v>234195</v>
      </c>
      <c r="P31" s="76"/>
      <c r="Q31" s="75">
        <v>7551</v>
      </c>
      <c r="R31" s="92"/>
      <c r="S31" s="75">
        <v>0</v>
      </c>
      <c r="T31" s="75">
        <v>370964</v>
      </c>
      <c r="U31" s="75">
        <v>332270</v>
      </c>
      <c r="V31" s="75">
        <v>7551</v>
      </c>
      <c r="W31" s="83" t="b">
        <f>ROUND(C31/1000,1)='CT-4'!B91</f>
        <v>1</v>
      </c>
      <c r="X31" s="83" t="b">
        <f>ROUND(L31/1000,1)='CT-4'!C91</f>
        <v>1</v>
      </c>
      <c r="Y31" s="83" t="b">
        <f>ROUND(E31/1000,1)='CT-4'!D91</f>
        <v>1</v>
      </c>
      <c r="Z31" s="83" t="b">
        <f>ROUND(I31/1000,1)='CT-4'!F91</f>
        <v>1</v>
      </c>
      <c r="AA31" s="83" t="b">
        <f>ROUND(J31/1000,1)='CT-4'!G91</f>
        <v>1</v>
      </c>
      <c r="AB31" s="83" t="b">
        <f>ROUND(N31/1000,1)='CT-4'!H91</f>
        <v>1</v>
      </c>
      <c r="AC31" s="83" t="b">
        <f>ROUND(V31/1000,1)='CT-4'!J91</f>
        <v>1</v>
      </c>
      <c r="AD31" s="50"/>
      <c r="AE31" s="50"/>
      <c r="AF31" s="83" t="b">
        <f>ROUND(G31/1000,1)='CT-4'!O91</f>
        <v>1</v>
      </c>
      <c r="AG31" s="83" t="b">
        <f>ROUND(U31/1000,1)='CT-4'!P91</f>
        <v>1</v>
      </c>
      <c r="AH31">
        <f>ROUND(T31/1000,1)-'CT-4'!T91</f>
        <v>0</v>
      </c>
      <c r="AI31">
        <f>ROUND(K31/1000,1)-'CT-4'!R91</f>
        <v>0</v>
      </c>
      <c r="AJ31">
        <f t="shared" si="0"/>
        <v>-1</v>
      </c>
      <c r="AK31">
        <f t="shared" si="1"/>
        <v>0</v>
      </c>
      <c r="AL31">
        <f t="shared" si="2"/>
        <v>0</v>
      </c>
      <c r="AM31">
        <f t="shared" si="3"/>
        <v>-1</v>
      </c>
      <c r="AN31">
        <f t="shared" si="4"/>
        <v>305045</v>
      </c>
    </row>
    <row r="32" spans="1:40" x14ac:dyDescent="0.25">
      <c r="A32" s="74" t="s">
        <v>1797</v>
      </c>
      <c r="B32" s="75">
        <v>0</v>
      </c>
      <c r="C32" s="75">
        <v>4634</v>
      </c>
      <c r="D32" s="79">
        <v>192968</v>
      </c>
      <c r="E32" s="75">
        <v>192968</v>
      </c>
      <c r="F32" s="79">
        <v>192968</v>
      </c>
      <c r="G32" s="75">
        <v>21229</v>
      </c>
      <c r="H32" s="75">
        <v>0</v>
      </c>
      <c r="I32" s="75">
        <v>2614</v>
      </c>
      <c r="J32" s="75">
        <v>10800</v>
      </c>
      <c r="K32" s="75">
        <v>42662</v>
      </c>
      <c r="L32" s="75">
        <v>67184</v>
      </c>
      <c r="M32" s="76"/>
      <c r="N32" s="75">
        <v>206382</v>
      </c>
      <c r="O32" s="75">
        <v>206382</v>
      </c>
      <c r="P32" s="76"/>
      <c r="Q32" s="75">
        <v>7620</v>
      </c>
      <c r="R32" s="92"/>
      <c r="S32" s="75">
        <v>0</v>
      </c>
      <c r="T32" s="75">
        <v>349710</v>
      </c>
      <c r="U32" s="75">
        <v>307049</v>
      </c>
      <c r="V32" s="75">
        <v>7620</v>
      </c>
      <c r="W32" s="83" t="b">
        <f>ROUND(C32/1000,1)='CT-4'!B92</f>
        <v>1</v>
      </c>
      <c r="X32" s="83" t="b">
        <f>ROUND(L32/1000,1)='CT-4'!C92</f>
        <v>1</v>
      </c>
      <c r="Y32" s="83" t="b">
        <f>ROUND(E32/1000,1)='CT-4'!D92</f>
        <v>1</v>
      </c>
      <c r="Z32" s="83" t="b">
        <f>ROUND(I32/1000,1)='CT-4'!F92</f>
        <v>1</v>
      </c>
      <c r="AA32" s="83" t="b">
        <f>ROUND(J32/1000,1)='CT-4'!G92</f>
        <v>1</v>
      </c>
      <c r="AB32" s="83" t="b">
        <f>ROUND(N32/1000,1)='CT-4'!H92</f>
        <v>1</v>
      </c>
      <c r="AC32" s="83" t="b">
        <f>ROUND(V32/1000,1)='CT-4'!J92</f>
        <v>1</v>
      </c>
      <c r="AD32" s="50"/>
      <c r="AE32" s="50"/>
      <c r="AF32" s="83" t="b">
        <f>ROUND(G32/1000,1)='CT-4'!O92</f>
        <v>1</v>
      </c>
      <c r="AG32" s="83" t="b">
        <f>ROUND(U32/1000,1)='CT-4'!P92</f>
        <v>1</v>
      </c>
      <c r="AH32">
        <f>ROUND(T32/1000,1)-'CT-4'!T92</f>
        <v>0</v>
      </c>
      <c r="AI32">
        <f>ROUND(K32/1000,1)-'CT-4'!R92</f>
        <v>0</v>
      </c>
      <c r="AJ32">
        <f t="shared" si="0"/>
        <v>-1</v>
      </c>
      <c r="AK32">
        <f t="shared" si="1"/>
        <v>0</v>
      </c>
      <c r="AL32">
        <f t="shared" si="2"/>
        <v>0</v>
      </c>
      <c r="AM32">
        <f t="shared" si="3"/>
        <v>0</v>
      </c>
      <c r="AN32">
        <f t="shared" si="4"/>
        <v>278200</v>
      </c>
    </row>
    <row r="33" spans="1:40" x14ac:dyDescent="0.25">
      <c r="A33" s="74" t="s">
        <v>1798</v>
      </c>
      <c r="B33" s="75">
        <v>0</v>
      </c>
      <c r="C33" s="75">
        <v>4143</v>
      </c>
      <c r="D33" s="79">
        <v>208390</v>
      </c>
      <c r="E33" s="75">
        <v>208390</v>
      </c>
      <c r="F33" s="79">
        <v>208390</v>
      </c>
      <c r="G33" s="75">
        <v>23643</v>
      </c>
      <c r="H33" s="75">
        <v>0</v>
      </c>
      <c r="I33" s="75">
        <v>2622</v>
      </c>
      <c r="J33" s="75">
        <v>9271</v>
      </c>
      <c r="K33" s="75">
        <v>46643</v>
      </c>
      <c r="L33" s="75">
        <v>74426</v>
      </c>
      <c r="M33" s="76"/>
      <c r="N33" s="75">
        <v>220283</v>
      </c>
      <c r="O33" s="75">
        <v>220283</v>
      </c>
      <c r="P33" s="76"/>
      <c r="Q33" s="75">
        <v>8084</v>
      </c>
      <c r="R33" s="92"/>
      <c r="S33" s="75">
        <v>0</v>
      </c>
      <c r="T33" s="75">
        <v>377222</v>
      </c>
      <c r="U33" s="75">
        <v>330579</v>
      </c>
      <c r="V33" s="75">
        <v>8084</v>
      </c>
      <c r="W33" s="83" t="b">
        <f>ROUND(C33/1000,1)='CT-4'!B93</f>
        <v>1</v>
      </c>
      <c r="X33" s="83" t="b">
        <f>ROUND(L33/1000,1)='CT-4'!C93</f>
        <v>1</v>
      </c>
      <c r="Y33" s="83" t="b">
        <f>ROUND(E33/1000,1)='CT-4'!D93</f>
        <v>1</v>
      </c>
      <c r="Z33" s="83" t="b">
        <f>ROUND(I33/1000,1)='CT-4'!F93</f>
        <v>1</v>
      </c>
      <c r="AA33" s="83" t="b">
        <f>ROUND(J33/1000,1)='CT-4'!G93</f>
        <v>1</v>
      </c>
      <c r="AB33" s="83" t="b">
        <f>ROUND(N33/1000,1)='CT-4'!H93</f>
        <v>1</v>
      </c>
      <c r="AC33" s="83" t="b">
        <f>ROUND(V33/1000,1)='CT-4'!J93</f>
        <v>1</v>
      </c>
      <c r="AD33" s="50"/>
      <c r="AE33" s="50"/>
      <c r="AF33" s="83" t="b">
        <f>ROUND(G33/1000,1)='CT-4'!O93</f>
        <v>1</v>
      </c>
      <c r="AG33" s="83" t="b">
        <f>ROUND(U33/1000,1)='CT-4'!P93</f>
        <v>1</v>
      </c>
      <c r="AH33">
        <f>ROUND(T33/1000,1)-'CT-4'!T93</f>
        <v>0</v>
      </c>
      <c r="AI33">
        <f>ROUND(K33/1000,1)-'CT-4'!R93</f>
        <v>0</v>
      </c>
      <c r="AJ33">
        <f t="shared" si="0"/>
        <v>0</v>
      </c>
      <c r="AK33">
        <f t="shared" si="1"/>
        <v>0</v>
      </c>
      <c r="AL33">
        <f t="shared" si="2"/>
        <v>0</v>
      </c>
      <c r="AM33">
        <f t="shared" si="3"/>
        <v>0</v>
      </c>
      <c r="AN33">
        <f t="shared" si="4"/>
        <v>298852</v>
      </c>
    </row>
    <row r="34" spans="1:40" x14ac:dyDescent="0.25">
      <c r="A34" s="74" t="s">
        <v>1799</v>
      </c>
      <c r="B34" s="75">
        <v>0</v>
      </c>
      <c r="C34" s="75">
        <v>3884</v>
      </c>
      <c r="D34" s="79">
        <v>214479</v>
      </c>
      <c r="E34" s="75">
        <v>214479</v>
      </c>
      <c r="F34" s="79">
        <v>214479</v>
      </c>
      <c r="G34" s="75">
        <v>25856</v>
      </c>
      <c r="H34" s="75">
        <v>0</v>
      </c>
      <c r="I34" s="75">
        <v>2816</v>
      </c>
      <c r="J34" s="75">
        <v>8023</v>
      </c>
      <c r="K34" s="75">
        <v>51860</v>
      </c>
      <c r="L34" s="75">
        <v>75818</v>
      </c>
      <c r="M34" s="76"/>
      <c r="N34" s="75">
        <v>225318</v>
      </c>
      <c r="O34" s="75">
        <v>225318</v>
      </c>
      <c r="P34" s="76"/>
      <c r="Q34" s="75">
        <v>8325</v>
      </c>
      <c r="R34" s="92"/>
      <c r="S34" s="75">
        <v>0</v>
      </c>
      <c r="T34" s="75">
        <v>391061</v>
      </c>
      <c r="U34" s="75">
        <v>339200</v>
      </c>
      <c r="V34" s="75">
        <v>8325</v>
      </c>
      <c r="W34" s="83" t="b">
        <f>ROUND(C34/1000,1)='CT-4'!B94</f>
        <v>1</v>
      </c>
      <c r="X34" s="83" t="b">
        <f>ROUND(L34/1000,1)='CT-4'!C94</f>
        <v>1</v>
      </c>
      <c r="Y34" s="83" t="b">
        <f>ROUND(E34/1000,1)='CT-4'!D94</f>
        <v>1</v>
      </c>
      <c r="Z34" s="83" t="b">
        <f>ROUND(I34/1000,1)='CT-4'!F94</f>
        <v>1</v>
      </c>
      <c r="AA34" s="83" t="b">
        <f>ROUND(J34/1000,1)='CT-4'!G94</f>
        <v>1</v>
      </c>
      <c r="AB34" s="83" t="b">
        <f>ROUND(N34/1000,1)='CT-4'!H94</f>
        <v>1</v>
      </c>
      <c r="AC34" s="83" t="b">
        <f>ROUND(V34/1000,1)='CT-4'!J94</f>
        <v>1</v>
      </c>
      <c r="AD34" s="50"/>
      <c r="AE34" s="50"/>
      <c r="AF34" s="83" t="b">
        <f>ROUND(G34/1000,1)='CT-4'!O94</f>
        <v>1</v>
      </c>
      <c r="AG34" s="83" t="b">
        <f>ROUND(U34/1000,1)='CT-4'!P94</f>
        <v>1</v>
      </c>
      <c r="AH34">
        <f>ROUND(T34/1000,1)-'CT-4'!T94</f>
        <v>0</v>
      </c>
      <c r="AI34">
        <f>ROUND(K34/1000,1)-'CT-4'!R94</f>
        <v>0</v>
      </c>
      <c r="AJ34">
        <f t="shared" si="0"/>
        <v>1</v>
      </c>
      <c r="AK34">
        <f t="shared" si="1"/>
        <v>0</v>
      </c>
      <c r="AL34">
        <f t="shared" si="2"/>
        <v>0</v>
      </c>
      <c r="AM34">
        <f t="shared" si="3"/>
        <v>1</v>
      </c>
      <c r="AN34">
        <f t="shared" si="4"/>
        <v>305020</v>
      </c>
    </row>
    <row r="35" spans="1:40" x14ac:dyDescent="0.25">
      <c r="A35" s="74" t="s">
        <v>1800</v>
      </c>
      <c r="B35" s="75">
        <v>0</v>
      </c>
      <c r="C35" s="75">
        <v>2958</v>
      </c>
      <c r="D35" s="79">
        <v>220966</v>
      </c>
      <c r="E35" s="75">
        <v>220966</v>
      </c>
      <c r="F35" s="79">
        <v>220966</v>
      </c>
      <c r="G35" s="75">
        <v>28681</v>
      </c>
      <c r="H35" s="75">
        <v>0</v>
      </c>
      <c r="I35" s="75">
        <v>3154</v>
      </c>
      <c r="J35" s="75">
        <v>8051</v>
      </c>
      <c r="K35" s="75">
        <v>57108</v>
      </c>
      <c r="L35" s="75">
        <v>79392</v>
      </c>
      <c r="M35" s="76"/>
      <c r="N35" s="75">
        <v>232171</v>
      </c>
      <c r="O35" s="75">
        <v>232171</v>
      </c>
      <c r="P35" s="76"/>
      <c r="Q35" s="75">
        <v>8600</v>
      </c>
      <c r="R35" s="92"/>
      <c r="S35" s="75">
        <v>0</v>
      </c>
      <c r="T35" s="75">
        <v>408910</v>
      </c>
      <c r="U35" s="75">
        <v>351802</v>
      </c>
      <c r="V35" s="75">
        <v>8600</v>
      </c>
      <c r="W35" s="83" t="b">
        <f>ROUND(C35/1000,1)='CT-4'!B95</f>
        <v>1</v>
      </c>
      <c r="X35" s="83" t="b">
        <f>ROUND(L35/1000,1)='CT-4'!C95</f>
        <v>1</v>
      </c>
      <c r="Y35" s="83" t="b">
        <f>ROUND(E35/1000,1)='CT-4'!D95</f>
        <v>1</v>
      </c>
      <c r="Z35" s="83" t="b">
        <f>ROUND(I35/1000,1)='CT-4'!F95</f>
        <v>1</v>
      </c>
      <c r="AA35" s="83" t="b">
        <f>ROUND(J35/1000,1)='CT-4'!G95</f>
        <v>1</v>
      </c>
      <c r="AB35" s="83" t="b">
        <f>ROUND(N35/1000,1)='CT-4'!H95</f>
        <v>1</v>
      </c>
      <c r="AC35" s="83" t="b">
        <f>ROUND(V35/1000,1)='CT-4'!J95</f>
        <v>1</v>
      </c>
      <c r="AD35" s="50"/>
      <c r="AE35" s="50"/>
      <c r="AF35" s="83" t="b">
        <f>ROUND(G35/1000,1)='CT-4'!O95</f>
        <v>1</v>
      </c>
      <c r="AG35" s="83" t="b">
        <f>ROUND(U35/1000,1)='CT-4'!P95</f>
        <v>1</v>
      </c>
      <c r="AH35">
        <f>ROUND(T35/1000,1)-'CT-4'!T95</f>
        <v>0</v>
      </c>
      <c r="AI35">
        <f>ROUND(K35/1000,1)-'CT-4'!R95</f>
        <v>0</v>
      </c>
      <c r="AJ35">
        <f t="shared" si="0"/>
        <v>0</v>
      </c>
      <c r="AK35">
        <f t="shared" si="1"/>
        <v>0</v>
      </c>
      <c r="AL35">
        <f t="shared" si="2"/>
        <v>0</v>
      </c>
      <c r="AM35">
        <f t="shared" si="3"/>
        <v>0</v>
      </c>
      <c r="AN35">
        <f t="shared" si="4"/>
        <v>314521</v>
      </c>
    </row>
    <row r="36" spans="1:40" x14ac:dyDescent="0.25">
      <c r="A36" s="74" t="s">
        <v>1801</v>
      </c>
      <c r="B36" s="75">
        <v>0</v>
      </c>
      <c r="C36" s="75">
        <v>2453</v>
      </c>
      <c r="D36" s="79">
        <v>224435</v>
      </c>
      <c r="E36" s="75">
        <v>224435</v>
      </c>
      <c r="F36" s="79">
        <v>224435</v>
      </c>
      <c r="G36" s="75">
        <v>31850</v>
      </c>
      <c r="H36" s="75">
        <v>0</v>
      </c>
      <c r="I36" s="75">
        <v>3012</v>
      </c>
      <c r="J36" s="75">
        <v>8133</v>
      </c>
      <c r="K36" s="75">
        <v>65240</v>
      </c>
      <c r="L36" s="75">
        <v>83638</v>
      </c>
      <c r="M36" s="76"/>
      <c r="N36" s="75">
        <v>235579</v>
      </c>
      <c r="O36" s="75">
        <v>235579</v>
      </c>
      <c r="P36" s="76"/>
      <c r="Q36" s="75">
        <v>9185</v>
      </c>
      <c r="R36" s="92"/>
      <c r="S36" s="75">
        <v>0</v>
      </c>
      <c r="T36" s="75">
        <v>427945</v>
      </c>
      <c r="U36" s="75">
        <v>362704</v>
      </c>
      <c r="V36" s="75">
        <v>9185</v>
      </c>
      <c r="W36" s="83" t="b">
        <f>ROUND(C36/1000,1)='CT-4'!B96</f>
        <v>1</v>
      </c>
      <c r="X36" s="83" t="b">
        <f>ROUND(L36/1000,1)='CT-4'!C96</f>
        <v>1</v>
      </c>
      <c r="Y36" s="83" t="b">
        <f>ROUND(E36/1000,1)='CT-4'!D96</f>
        <v>1</v>
      </c>
      <c r="Z36" s="83" t="b">
        <f>ROUND(I36/1000,1)='CT-4'!F96</f>
        <v>1</v>
      </c>
      <c r="AA36" s="83" t="b">
        <f>ROUND(J36/1000,1)='CT-4'!G96</f>
        <v>1</v>
      </c>
      <c r="AB36" s="83" t="b">
        <f>ROUND(N36/1000,1)='CT-4'!H96</f>
        <v>1</v>
      </c>
      <c r="AC36" s="83" t="b">
        <f>ROUND(V36/1000,1)='CT-4'!J96</f>
        <v>1</v>
      </c>
      <c r="AD36" s="50"/>
      <c r="AE36" s="50"/>
      <c r="AF36" s="84">
        <f>ROUND(G36/1000,1)-'CT-4'!O96</f>
        <v>9.9999999999997868E-2</v>
      </c>
      <c r="AG36" s="83" t="b">
        <f>ROUND(U36/1000,1)='CT-4'!P96</f>
        <v>1</v>
      </c>
      <c r="AH36">
        <f>ROUND(T36/1000,1)-'CT-4'!T96</f>
        <v>0</v>
      </c>
      <c r="AI36">
        <f>ROUND(K36/1000,1)-'CT-4'!R96</f>
        <v>0</v>
      </c>
      <c r="AJ36">
        <f t="shared" si="0"/>
        <v>1</v>
      </c>
      <c r="AK36">
        <f t="shared" si="1"/>
        <v>1</v>
      </c>
      <c r="AL36">
        <f t="shared" si="2"/>
        <v>0</v>
      </c>
      <c r="AM36">
        <f t="shared" si="3"/>
        <v>2</v>
      </c>
      <c r="AN36">
        <f t="shared" si="4"/>
        <v>321671</v>
      </c>
    </row>
    <row r="37" spans="1:40" x14ac:dyDescent="0.25">
      <c r="A37" s="74" t="s">
        <v>1802</v>
      </c>
      <c r="B37" s="75">
        <v>0</v>
      </c>
      <c r="C37" s="75">
        <v>1948</v>
      </c>
      <c r="D37" s="79">
        <v>233657</v>
      </c>
      <c r="E37" s="75">
        <v>233657</v>
      </c>
      <c r="F37" s="79">
        <v>233657</v>
      </c>
      <c r="G37" s="75">
        <v>34804</v>
      </c>
      <c r="H37" s="75">
        <v>0</v>
      </c>
      <c r="I37" s="75">
        <v>3042</v>
      </c>
      <c r="J37" s="75">
        <v>8092</v>
      </c>
      <c r="K37" s="75">
        <v>70808</v>
      </c>
      <c r="L37" s="75">
        <v>84435</v>
      </c>
      <c r="M37" s="76"/>
      <c r="N37" s="75">
        <v>244792</v>
      </c>
      <c r="O37" s="75">
        <v>244792</v>
      </c>
      <c r="P37" s="76"/>
      <c r="Q37" s="75">
        <v>9064</v>
      </c>
      <c r="R37" s="92"/>
      <c r="S37" s="75">
        <v>0</v>
      </c>
      <c r="T37" s="75">
        <v>445851</v>
      </c>
      <c r="U37" s="75">
        <v>375043</v>
      </c>
      <c r="V37" s="75">
        <v>9064</v>
      </c>
      <c r="W37" s="83" t="b">
        <f>ROUND(C37/1000,1)='CT-4'!B97</f>
        <v>1</v>
      </c>
      <c r="X37" s="83" t="b">
        <f>ROUND(L37/1000,1)='CT-4'!C97</f>
        <v>1</v>
      </c>
      <c r="Y37" s="83" t="b">
        <f>ROUND(E37/1000,1)='CT-4'!D97</f>
        <v>1</v>
      </c>
      <c r="Z37" s="83" t="b">
        <f>ROUND(I37/1000,1)='CT-4'!F97</f>
        <v>1</v>
      </c>
      <c r="AA37" s="83" t="b">
        <f>ROUND(J37/1000,1)='CT-4'!G97</f>
        <v>1</v>
      </c>
      <c r="AB37" s="83" t="b">
        <f>ROUND(N37/1000,1)='CT-4'!H97</f>
        <v>1</v>
      </c>
      <c r="AC37" s="83" t="b">
        <f>ROUND(V37/1000,1)='CT-4'!J97</f>
        <v>1</v>
      </c>
      <c r="AD37" s="50"/>
      <c r="AE37" s="50"/>
      <c r="AF37" s="83" t="b">
        <f>ROUND(G37/1000,1)='CT-4'!O97</f>
        <v>1</v>
      </c>
      <c r="AG37" s="83" t="b">
        <f>ROUND(U37/1000,1)='CT-4'!P97</f>
        <v>1</v>
      </c>
      <c r="AH37">
        <f>ROUND(T37/1000,1)-'CT-4'!T97</f>
        <v>0</v>
      </c>
      <c r="AI37">
        <f>ROUND(K37/1000,1)-'CT-4'!R97</f>
        <v>0</v>
      </c>
      <c r="AJ37">
        <f t="shared" si="0"/>
        <v>0</v>
      </c>
      <c r="AK37">
        <f t="shared" si="1"/>
        <v>-1</v>
      </c>
      <c r="AL37">
        <f t="shared" si="2"/>
        <v>0</v>
      </c>
      <c r="AM37">
        <f t="shared" si="3"/>
        <v>-1</v>
      </c>
      <c r="AN37">
        <f t="shared" si="4"/>
        <v>331174</v>
      </c>
    </row>
    <row r="38" spans="1:40" x14ac:dyDescent="0.25">
      <c r="A38" s="74" t="s">
        <v>1803</v>
      </c>
      <c r="B38" s="75">
        <v>0</v>
      </c>
      <c r="C38" s="75">
        <v>1317</v>
      </c>
      <c r="D38" s="79">
        <v>241189</v>
      </c>
      <c r="E38" s="75">
        <v>241189</v>
      </c>
      <c r="F38" s="79">
        <v>241189</v>
      </c>
      <c r="G38" s="75">
        <v>37413</v>
      </c>
      <c r="H38" s="75">
        <v>0</v>
      </c>
      <c r="I38" s="75">
        <v>3381</v>
      </c>
      <c r="J38" s="75">
        <v>8575</v>
      </c>
      <c r="K38" s="75">
        <v>76416</v>
      </c>
      <c r="L38" s="75">
        <v>87245</v>
      </c>
      <c r="M38" s="76"/>
      <c r="N38" s="75">
        <v>253145</v>
      </c>
      <c r="O38" s="75">
        <v>253145</v>
      </c>
      <c r="P38" s="76"/>
      <c r="Q38" s="75">
        <v>9357</v>
      </c>
      <c r="R38" s="92"/>
      <c r="S38" s="75">
        <v>0</v>
      </c>
      <c r="T38" s="75">
        <v>464892</v>
      </c>
      <c r="U38" s="75">
        <v>388476</v>
      </c>
      <c r="V38" s="75">
        <v>9357</v>
      </c>
      <c r="W38" s="83" t="b">
        <f>ROUND(C38/1000,1)='CT-4'!B98</f>
        <v>1</v>
      </c>
      <c r="X38" s="83" t="b">
        <f>ROUND(L38/1000,1)='CT-4'!C98</f>
        <v>1</v>
      </c>
      <c r="Y38" s="83" t="b">
        <f>ROUND(E38/1000,1)='CT-4'!D98</f>
        <v>1</v>
      </c>
      <c r="Z38" s="83" t="b">
        <f>ROUND(I38/1000,1)='CT-4'!F98</f>
        <v>1</v>
      </c>
      <c r="AA38" s="83" t="b">
        <f>ROUND(J38/1000,1)='CT-4'!G98</f>
        <v>1</v>
      </c>
      <c r="AB38" s="83" t="b">
        <f>ROUND(N38/1000,1)='CT-4'!H98</f>
        <v>1</v>
      </c>
      <c r="AC38" s="83" t="b">
        <f>ROUND(V38/1000,1)='CT-4'!J98</f>
        <v>1</v>
      </c>
      <c r="AD38" s="50"/>
      <c r="AE38" s="50"/>
      <c r="AF38" s="83" t="b">
        <f>ROUND(G38/1000,1)='CT-4'!O98</f>
        <v>1</v>
      </c>
      <c r="AG38" s="83" t="b">
        <f>ROUND(U38/1000,1)='CT-4'!P98</f>
        <v>1</v>
      </c>
      <c r="AH38">
        <f>ROUND(T38/1000,1)-'CT-4'!T98</f>
        <v>0</v>
      </c>
      <c r="AI38">
        <f>ROUND(K38/1000,1)-'CT-4'!R98</f>
        <v>0</v>
      </c>
      <c r="AJ38">
        <f t="shared" si="0"/>
        <v>0</v>
      </c>
      <c r="AK38">
        <f t="shared" si="1"/>
        <v>0</v>
      </c>
      <c r="AL38">
        <f t="shared" si="2"/>
        <v>0</v>
      </c>
      <c r="AM38">
        <f t="shared" si="3"/>
        <v>1</v>
      </c>
      <c r="AN38">
        <f t="shared" si="4"/>
        <v>341707</v>
      </c>
    </row>
    <row r="39" spans="1:40" x14ac:dyDescent="0.25">
      <c r="A39" s="74" t="s">
        <v>1804</v>
      </c>
      <c r="B39" s="75">
        <v>0</v>
      </c>
      <c r="C39" s="75">
        <v>1193</v>
      </c>
      <c r="D39" s="79">
        <v>242482</v>
      </c>
      <c r="E39" s="75">
        <v>242482</v>
      </c>
      <c r="F39" s="79">
        <v>242482</v>
      </c>
      <c r="G39" s="75">
        <v>39973</v>
      </c>
      <c r="H39" s="75">
        <v>0</v>
      </c>
      <c r="I39" s="75">
        <v>3110</v>
      </c>
      <c r="J39" s="75">
        <v>5901</v>
      </c>
      <c r="K39" s="75">
        <v>81748</v>
      </c>
      <c r="L39" s="75">
        <v>84942</v>
      </c>
      <c r="M39" s="76"/>
      <c r="N39" s="75">
        <v>251493</v>
      </c>
      <c r="O39" s="75">
        <v>251493</v>
      </c>
      <c r="P39" s="76"/>
      <c r="Q39" s="75">
        <v>8720</v>
      </c>
      <c r="R39" s="92"/>
      <c r="S39" s="75">
        <v>0</v>
      </c>
      <c r="T39" s="75">
        <v>468069</v>
      </c>
      <c r="U39" s="75">
        <v>386321</v>
      </c>
      <c r="V39" s="75">
        <v>8720</v>
      </c>
      <c r="W39" s="83" t="b">
        <f>ROUND(C39/1000,1)='CT-4'!B99</f>
        <v>1</v>
      </c>
      <c r="X39" s="83" t="b">
        <f>ROUND(L39/1000,1)='CT-4'!C99</f>
        <v>1</v>
      </c>
      <c r="Y39" s="83" t="b">
        <f>ROUND(E39/1000,1)='CT-4'!D99</f>
        <v>1</v>
      </c>
      <c r="Z39" s="83" t="b">
        <f>ROUND(I39/1000,1)='CT-4'!F99</f>
        <v>1</v>
      </c>
      <c r="AA39" s="83" t="b">
        <f>ROUND(J39/1000,1)='CT-4'!G99</f>
        <v>1</v>
      </c>
      <c r="AB39" s="83" t="b">
        <f>ROUND(N39/1000,1)='CT-4'!H99</f>
        <v>1</v>
      </c>
      <c r="AC39" s="83" t="b">
        <f>ROUND(V39/1000,1)='CT-4'!J99</f>
        <v>1</v>
      </c>
      <c r="AD39" s="50"/>
      <c r="AE39" s="50"/>
      <c r="AF39" s="83" t="b">
        <f>ROUND(G39/1000,1)='CT-4'!O99</f>
        <v>1</v>
      </c>
      <c r="AG39" s="83" t="b">
        <f>ROUND(U39/1000,1)='CT-4'!P99</f>
        <v>1</v>
      </c>
      <c r="AH39">
        <f>ROUND(T39/1000,1)-'CT-4'!T99</f>
        <v>0</v>
      </c>
      <c r="AI39">
        <f>ROUND(K39/1000,1)-'CT-4'!R99</f>
        <v>0</v>
      </c>
      <c r="AJ39">
        <f t="shared" si="0"/>
        <v>0</v>
      </c>
      <c r="AK39">
        <f t="shared" si="1"/>
        <v>0</v>
      </c>
      <c r="AL39">
        <f t="shared" si="2"/>
        <v>0</v>
      </c>
      <c r="AM39">
        <f t="shared" si="3"/>
        <v>0</v>
      </c>
      <c r="AN39">
        <f t="shared" si="4"/>
        <v>337628</v>
      </c>
    </row>
    <row r="40" spans="1:40" x14ac:dyDescent="0.25">
      <c r="A40" s="74" t="s">
        <v>1805</v>
      </c>
      <c r="B40" s="75">
        <v>0</v>
      </c>
      <c r="C40" s="75">
        <v>958</v>
      </c>
      <c r="D40" s="79">
        <v>227667</v>
      </c>
      <c r="E40" s="75">
        <v>227667</v>
      </c>
      <c r="F40" s="79">
        <v>227667</v>
      </c>
      <c r="G40" s="75">
        <v>39044</v>
      </c>
      <c r="H40" s="75">
        <v>0</v>
      </c>
      <c r="I40" s="75">
        <v>3054</v>
      </c>
      <c r="J40" s="75">
        <v>3609</v>
      </c>
      <c r="K40" s="75">
        <v>80062</v>
      </c>
      <c r="L40" s="75">
        <v>86302</v>
      </c>
      <c r="M40" s="76"/>
      <c r="N40" s="75">
        <v>234330</v>
      </c>
      <c r="O40" s="75">
        <v>234330</v>
      </c>
      <c r="P40" s="76"/>
      <c r="Q40" s="75">
        <v>9064</v>
      </c>
      <c r="R40" s="92"/>
      <c r="S40" s="75">
        <v>0</v>
      </c>
      <c r="T40" s="75">
        <v>449761</v>
      </c>
      <c r="U40" s="75">
        <v>369699</v>
      </c>
      <c r="V40" s="75">
        <v>9064</v>
      </c>
      <c r="W40" s="83" t="b">
        <f>ROUND(C40/1000,1)='CT-4'!B100</f>
        <v>1</v>
      </c>
      <c r="X40" s="83" t="b">
        <f>ROUND(L40/1000,1)='CT-4'!C100</f>
        <v>1</v>
      </c>
      <c r="Y40" s="83" t="b">
        <f>ROUND(E40/1000,1)='CT-4'!D100</f>
        <v>1</v>
      </c>
      <c r="Z40" s="83" t="b">
        <f>ROUND(I40/1000,1)='CT-4'!F100</f>
        <v>1</v>
      </c>
      <c r="AA40" s="83" t="b">
        <f>ROUND(J40/1000,1)='CT-4'!G100</f>
        <v>1</v>
      </c>
      <c r="AB40" s="83" t="b">
        <f>ROUND(N40/1000,1)='CT-4'!H100</f>
        <v>1</v>
      </c>
      <c r="AC40" s="83" t="b">
        <f>ROUND(V40/1000,1)='CT-4'!J100</f>
        <v>1</v>
      </c>
      <c r="AD40" s="50"/>
      <c r="AE40" s="50"/>
      <c r="AF40" s="83" t="b">
        <f>ROUND(G40/1000,1)='CT-4'!O100</f>
        <v>1</v>
      </c>
      <c r="AG40" s="83" t="b">
        <f>ROUND(U40/1000,1)='CT-4'!P100</f>
        <v>1</v>
      </c>
      <c r="AH40">
        <f>ROUND(T40/1000,1)-'CT-4'!T100</f>
        <v>0</v>
      </c>
      <c r="AI40">
        <f>ROUND(K40/1000,1)-'CT-4'!R100</f>
        <v>0</v>
      </c>
      <c r="AJ40">
        <f t="shared" si="0"/>
        <v>0</v>
      </c>
      <c r="AK40">
        <f t="shared" si="1"/>
        <v>0</v>
      </c>
      <c r="AL40">
        <f t="shared" si="2"/>
        <v>0</v>
      </c>
      <c r="AM40">
        <f t="shared" si="3"/>
        <v>-1</v>
      </c>
      <c r="AN40">
        <f t="shared" si="4"/>
        <v>321590</v>
      </c>
    </row>
    <row r="41" spans="1:40" x14ac:dyDescent="0.25">
      <c r="A41" s="74" t="s">
        <v>1806</v>
      </c>
      <c r="B41" s="75">
        <v>0</v>
      </c>
      <c r="C41" s="75">
        <v>683</v>
      </c>
      <c r="D41" s="79">
        <v>220533</v>
      </c>
      <c r="E41" s="75">
        <v>220533</v>
      </c>
      <c r="F41" s="79">
        <v>220533</v>
      </c>
      <c r="G41" s="75">
        <v>36331</v>
      </c>
      <c r="H41" s="75">
        <v>0</v>
      </c>
      <c r="I41" s="75">
        <v>3245</v>
      </c>
      <c r="J41" s="75">
        <v>3350</v>
      </c>
      <c r="K41" s="75">
        <v>74181</v>
      </c>
      <c r="L41" s="75">
        <v>90589</v>
      </c>
      <c r="M41" s="76"/>
      <c r="N41" s="75">
        <v>227128</v>
      </c>
      <c r="O41" s="75">
        <v>227128</v>
      </c>
      <c r="P41" s="76"/>
      <c r="Q41" s="75">
        <v>9821</v>
      </c>
      <c r="R41" s="92"/>
      <c r="S41" s="75">
        <v>0</v>
      </c>
      <c r="T41" s="75">
        <v>438733</v>
      </c>
      <c r="U41" s="75">
        <v>364552</v>
      </c>
      <c r="V41" s="75">
        <v>9821</v>
      </c>
      <c r="W41" s="83" t="b">
        <f>ROUND(C41/1000,1)='CT-4'!B101</f>
        <v>1</v>
      </c>
      <c r="X41" s="83" t="b">
        <f>ROUND(L41/1000,1)='CT-4'!C101</f>
        <v>1</v>
      </c>
      <c r="Y41" s="83" t="b">
        <f>ROUND(E41/1000,1)='CT-4'!D101</f>
        <v>1</v>
      </c>
      <c r="Z41" s="83" t="b">
        <f>ROUND(I41/1000,1)='CT-4'!F101</f>
        <v>1</v>
      </c>
      <c r="AA41" s="83" t="b">
        <f>ROUND(J41/1000,1)='CT-4'!G101</f>
        <v>0</v>
      </c>
      <c r="AB41" s="83" t="b">
        <f>ROUND(N41/1000,1)='CT-4'!H101</f>
        <v>1</v>
      </c>
      <c r="AC41" s="83" t="b">
        <f>ROUND(V41/1000,1)='CT-4'!J101</f>
        <v>1</v>
      </c>
      <c r="AD41" s="50"/>
      <c r="AE41" s="50"/>
      <c r="AF41" s="83" t="b">
        <f>ROUND(G41/1000,1)='CT-4'!O101</f>
        <v>1</v>
      </c>
      <c r="AG41" s="83" t="b">
        <f>ROUND(U41/1000,1)='CT-4'!P101</f>
        <v>1</v>
      </c>
      <c r="AH41">
        <f>ROUND(T41/1000,1)-'CT-4'!T101</f>
        <v>0</v>
      </c>
      <c r="AI41">
        <f>ROUND(K41/1000,1)-'CT-4'!R101</f>
        <v>0</v>
      </c>
      <c r="AJ41">
        <f t="shared" si="0"/>
        <v>0</v>
      </c>
      <c r="AK41">
        <f t="shared" si="1"/>
        <v>0</v>
      </c>
      <c r="AL41">
        <f t="shared" si="2"/>
        <v>0</v>
      </c>
      <c r="AM41">
        <f t="shared" si="3"/>
        <v>0</v>
      </c>
      <c r="AN41">
        <f t="shared" si="4"/>
        <v>318400</v>
      </c>
    </row>
    <row r="42" spans="1:40" x14ac:dyDescent="0.25">
      <c r="A42" s="74" t="s">
        <v>1807</v>
      </c>
      <c r="B42" s="75">
        <v>0</v>
      </c>
      <c r="C42" s="75">
        <v>634</v>
      </c>
      <c r="D42" s="79">
        <v>238823</v>
      </c>
      <c r="E42" s="75">
        <v>238823</v>
      </c>
      <c r="F42" s="79">
        <v>238823</v>
      </c>
      <c r="G42" s="75">
        <v>38308</v>
      </c>
      <c r="H42" s="75">
        <v>0</v>
      </c>
      <c r="I42" s="75">
        <v>3432</v>
      </c>
      <c r="J42" s="75">
        <v>3652</v>
      </c>
      <c r="K42" s="75">
        <v>79528</v>
      </c>
      <c r="L42" s="75">
        <v>95685</v>
      </c>
      <c r="M42" s="76"/>
      <c r="N42" s="75">
        <v>245907</v>
      </c>
      <c r="O42" s="75">
        <v>245907</v>
      </c>
      <c r="P42" s="76"/>
      <c r="Q42" s="75">
        <v>10905</v>
      </c>
      <c r="R42" s="92"/>
      <c r="S42" s="75">
        <v>0</v>
      </c>
      <c r="T42" s="75">
        <v>470967</v>
      </c>
      <c r="U42" s="75">
        <v>391439</v>
      </c>
      <c r="V42" s="75">
        <v>10905</v>
      </c>
      <c r="W42" s="83" t="b">
        <f>ROUND(C42/1000,1)='CT-4'!B102</f>
        <v>1</v>
      </c>
      <c r="X42" s="83" t="b">
        <f>ROUND(L42/1000,1)='CT-4'!C102</f>
        <v>1</v>
      </c>
      <c r="Y42" s="83" t="b">
        <f>ROUND(E42/1000,1)='CT-4'!D102</f>
        <v>1</v>
      </c>
      <c r="Z42" s="83" t="b">
        <f>ROUND(I42/1000,1)='CT-4'!F102</f>
        <v>1</v>
      </c>
      <c r="AA42" s="83" t="b">
        <f>ROUND(J42/1000,1)='CT-4'!G102</f>
        <v>1</v>
      </c>
      <c r="AB42" s="83" t="b">
        <f>ROUND(N42/1000,1)='CT-4'!H102</f>
        <v>1</v>
      </c>
      <c r="AC42" s="83" t="b">
        <f>ROUND(V42/1000,1)='CT-4'!J102</f>
        <v>1</v>
      </c>
      <c r="AD42" s="50"/>
      <c r="AE42" s="50"/>
      <c r="AF42" s="83" t="b">
        <f>ROUND(G42/1000,1)='CT-4'!O102</f>
        <v>1</v>
      </c>
      <c r="AG42" s="83" t="b">
        <f>ROUND(U42/1000,1)='CT-4'!P102</f>
        <v>1</v>
      </c>
      <c r="AH42">
        <f>ROUND(T42/1000,1)-'CT-4'!T102</f>
        <v>0</v>
      </c>
      <c r="AI42">
        <f>ROUND(K42/1000,1)-'CT-4'!R102</f>
        <v>0</v>
      </c>
      <c r="AJ42">
        <f t="shared" si="0"/>
        <v>0</v>
      </c>
      <c r="AK42">
        <f t="shared" si="1"/>
        <v>0</v>
      </c>
      <c r="AL42">
        <f t="shared" si="2"/>
        <v>0</v>
      </c>
      <c r="AM42">
        <f t="shared" si="3"/>
        <v>0</v>
      </c>
      <c r="AN42">
        <f t="shared" si="4"/>
        <v>342226</v>
      </c>
    </row>
    <row r="43" spans="1:40" x14ac:dyDescent="0.25">
      <c r="A43" s="74" t="s">
        <v>1808</v>
      </c>
      <c r="B43" s="75">
        <v>0</v>
      </c>
      <c r="C43" s="75">
        <v>612</v>
      </c>
      <c r="D43" s="79">
        <v>232352</v>
      </c>
      <c r="E43" s="75">
        <v>232352</v>
      </c>
      <c r="F43" s="79">
        <v>232352</v>
      </c>
      <c r="G43" s="75">
        <v>37836</v>
      </c>
      <c r="H43" s="75">
        <v>0</v>
      </c>
      <c r="I43" s="75">
        <v>3795</v>
      </c>
      <c r="J43" s="75">
        <v>3810</v>
      </c>
      <c r="K43" s="75">
        <v>81461</v>
      </c>
      <c r="L43" s="75">
        <v>93880</v>
      </c>
      <c r="M43" s="76"/>
      <c r="N43" s="75">
        <v>239957</v>
      </c>
      <c r="O43" s="75">
        <v>239957</v>
      </c>
      <c r="P43" s="76"/>
      <c r="Q43" s="75">
        <v>12023</v>
      </c>
      <c r="R43" s="92"/>
      <c r="S43" s="75">
        <v>0</v>
      </c>
      <c r="T43" s="75">
        <v>465768</v>
      </c>
      <c r="U43" s="75">
        <v>384307</v>
      </c>
      <c r="V43" s="75">
        <v>12023</v>
      </c>
      <c r="W43" s="83" t="b">
        <f>ROUND(C43/1000,1)='CT-4'!B103</f>
        <v>1</v>
      </c>
      <c r="X43" s="83" t="b">
        <f>ROUND(L43/1000,1)='CT-4'!C103</f>
        <v>1</v>
      </c>
      <c r="Y43" s="83" t="b">
        <f>ROUND(E43/1000,1)='CT-4'!D103</f>
        <v>1</v>
      </c>
      <c r="Z43" s="83" t="b">
        <f>ROUND(I43/1000,1)='CT-4'!F103</f>
        <v>1</v>
      </c>
      <c r="AA43" s="83" t="b">
        <f>ROUND(J43/1000,1)='CT-4'!G103</f>
        <v>1</v>
      </c>
      <c r="AB43" s="83" t="b">
        <f>ROUND(N43/1000,1)='CT-4'!H103</f>
        <v>1</v>
      </c>
      <c r="AC43" s="83" t="b">
        <f>ROUND(V43/1000,1)='CT-4'!J103</f>
        <v>1</v>
      </c>
      <c r="AD43" s="50"/>
      <c r="AE43" s="50"/>
      <c r="AF43" s="83" t="b">
        <f>ROUND(G43/1000,1)='CT-4'!O103</f>
        <v>1</v>
      </c>
      <c r="AG43" s="83" t="b">
        <f>ROUND(U43/1000,1)='CT-4'!P103</f>
        <v>1</v>
      </c>
      <c r="AH43">
        <f>ROUND(T43/1000,1)-'CT-4'!T103</f>
        <v>0</v>
      </c>
      <c r="AI43">
        <f>ROUND(K43/1000,1)-'CT-4'!R103</f>
        <v>0</v>
      </c>
      <c r="AJ43">
        <f t="shared" si="0"/>
        <v>0</v>
      </c>
      <c r="AK43">
        <f t="shared" si="1"/>
        <v>0</v>
      </c>
      <c r="AL43">
        <f t="shared" si="2"/>
        <v>0</v>
      </c>
      <c r="AM43">
        <f t="shared" si="3"/>
        <v>1</v>
      </c>
      <c r="AN43">
        <f t="shared" si="4"/>
        <v>334449</v>
      </c>
    </row>
    <row r="44" spans="1:40" x14ac:dyDescent="0.25">
      <c r="A44" s="74" t="s">
        <v>1809</v>
      </c>
      <c r="B44" s="75">
        <v>0</v>
      </c>
      <c r="C44" s="75">
        <v>358</v>
      </c>
      <c r="D44" s="79">
        <v>221989</v>
      </c>
      <c r="E44" s="75">
        <v>221989</v>
      </c>
      <c r="F44" s="79">
        <v>221989</v>
      </c>
      <c r="G44" s="75">
        <v>38358</v>
      </c>
      <c r="H44" s="75">
        <v>0</v>
      </c>
      <c r="I44" s="75">
        <v>3645</v>
      </c>
      <c r="J44" s="75">
        <v>2587</v>
      </c>
      <c r="K44" s="75">
        <v>81889</v>
      </c>
      <c r="L44" s="75">
        <v>87553</v>
      </c>
      <c r="M44" s="76"/>
      <c r="N44" s="75">
        <v>228220</v>
      </c>
      <c r="O44" s="75">
        <v>228220</v>
      </c>
      <c r="P44" s="76"/>
      <c r="Q44" s="75">
        <v>14431</v>
      </c>
      <c r="R44" s="92"/>
      <c r="S44" s="75">
        <v>0</v>
      </c>
      <c r="T44" s="75">
        <v>450809</v>
      </c>
      <c r="U44" s="75">
        <v>368920</v>
      </c>
      <c r="V44" s="75">
        <v>14431</v>
      </c>
      <c r="W44" s="83" t="b">
        <f>ROUND(C44/1000,1)='CT-4'!B104</f>
        <v>1</v>
      </c>
      <c r="X44" s="83" t="b">
        <f>ROUND(L44/1000,1)='CT-4'!C104</f>
        <v>1</v>
      </c>
      <c r="Y44" s="83" t="b">
        <f>ROUND(E44/1000,1)='CT-4'!D104</f>
        <v>1</v>
      </c>
      <c r="Z44" s="83" t="b">
        <f>ROUND(I44/1000,1)='CT-4'!F104</f>
        <v>1</v>
      </c>
      <c r="AA44" s="83" t="b">
        <f>ROUND(J44/1000,1)='CT-4'!G104</f>
        <v>1</v>
      </c>
      <c r="AB44" s="83" t="b">
        <f>ROUND(N44/1000,1)='CT-4'!H104</f>
        <v>1</v>
      </c>
      <c r="AC44" s="83" t="b">
        <f>ROUND(V44/1000,1)='CT-4'!J104</f>
        <v>1</v>
      </c>
      <c r="AD44" s="50"/>
      <c r="AE44" s="50"/>
      <c r="AF44" s="83" t="b">
        <f>ROUND(G44/1000,1)='CT-4'!O104</f>
        <v>1</v>
      </c>
      <c r="AG44" s="83" t="b">
        <f>ROUND(U44/1000,1)='CT-4'!P104</f>
        <v>1</v>
      </c>
      <c r="AH44">
        <f>ROUND(T44/1000,1)-'CT-4'!T104</f>
        <v>0</v>
      </c>
      <c r="AI44">
        <f>ROUND(K44/1000,1)-'CT-4'!R104</f>
        <v>0</v>
      </c>
      <c r="AJ44">
        <f t="shared" si="0"/>
        <v>0</v>
      </c>
      <c r="AK44">
        <f t="shared" si="1"/>
        <v>1</v>
      </c>
      <c r="AL44">
        <f t="shared" si="2"/>
        <v>0</v>
      </c>
      <c r="AM44">
        <f t="shared" si="3"/>
        <v>1</v>
      </c>
      <c r="AN44">
        <f t="shared" si="4"/>
        <v>316132</v>
      </c>
    </row>
    <row r="45" spans="1:40" x14ac:dyDescent="0.25">
      <c r="A45" s="74" t="s">
        <v>1810</v>
      </c>
      <c r="B45" s="75">
        <v>0</v>
      </c>
      <c r="C45" s="75">
        <v>261</v>
      </c>
      <c r="D45" s="79">
        <v>153035</v>
      </c>
      <c r="E45" s="75">
        <v>153035</v>
      </c>
      <c r="F45" s="79">
        <v>153035</v>
      </c>
      <c r="G45" s="75">
        <v>38972</v>
      </c>
      <c r="H45" s="75">
        <v>0</v>
      </c>
      <c r="I45" s="75">
        <v>2083</v>
      </c>
      <c r="J45" s="75">
        <v>2455</v>
      </c>
      <c r="K45" s="75">
        <v>82143</v>
      </c>
      <c r="L45" s="75">
        <v>81605</v>
      </c>
      <c r="M45" s="76"/>
      <c r="N45" s="75">
        <v>157572</v>
      </c>
      <c r="O45" s="75">
        <v>157572</v>
      </c>
      <c r="P45" s="76"/>
      <c r="Q45" s="75">
        <v>16185</v>
      </c>
      <c r="R45" s="92"/>
      <c r="S45" s="75">
        <v>0</v>
      </c>
      <c r="T45" s="75">
        <v>376738</v>
      </c>
      <c r="U45" s="75">
        <v>294595</v>
      </c>
      <c r="V45" s="75">
        <v>16185</v>
      </c>
      <c r="W45" s="83" t="b">
        <f>ROUND(C45/1000,1)='CT-4'!B105</f>
        <v>1</v>
      </c>
      <c r="X45" s="83" t="b">
        <f>ROUND(L45/1000,1)='CT-4'!C105</f>
        <v>1</v>
      </c>
      <c r="Y45" s="83" t="b">
        <f>ROUND(E45/1000,1)='CT-4'!D105</f>
        <v>1</v>
      </c>
      <c r="Z45" s="83" t="b">
        <f>ROUND(I45/1000,1)='CT-4'!F105</f>
        <v>1</v>
      </c>
      <c r="AA45" s="83" t="b">
        <f>ROUND(J45/1000,1)='CT-4'!G105</f>
        <v>1</v>
      </c>
      <c r="AB45" s="83" t="b">
        <f>ROUND(N45/1000,1)='CT-4'!H105</f>
        <v>1</v>
      </c>
      <c r="AC45" s="83" t="b">
        <f>ROUND(V45/1000,1)='CT-4'!J105</f>
        <v>1</v>
      </c>
      <c r="AD45" s="50"/>
      <c r="AE45" s="50"/>
      <c r="AF45" s="83" t="b">
        <f>ROUND(G45/1000,1)='CT-4'!O105</f>
        <v>1</v>
      </c>
      <c r="AG45" s="83" t="b">
        <f>ROUND(U45/1000,1)='CT-4'!P105</f>
        <v>1</v>
      </c>
      <c r="AH45">
        <f>ROUND(T45/1000,1)-'CT-4'!T105</f>
        <v>0</v>
      </c>
      <c r="AI45">
        <f>ROUND(K45/1000,1)-'CT-4'!R105</f>
        <v>0</v>
      </c>
      <c r="AJ45">
        <f t="shared" si="0"/>
        <v>0</v>
      </c>
      <c r="AK45">
        <f t="shared" si="1"/>
        <v>1</v>
      </c>
      <c r="AL45">
        <f t="shared" si="2"/>
        <v>0</v>
      </c>
      <c r="AM45">
        <f t="shared" si="3"/>
        <v>1</v>
      </c>
      <c r="AN45">
        <f t="shared" si="4"/>
        <v>239439</v>
      </c>
    </row>
    <row r="46" spans="1:40" x14ac:dyDescent="0.25">
      <c r="A46" s="74" t="s">
        <v>1811</v>
      </c>
      <c r="B46" s="75">
        <v>0</v>
      </c>
      <c r="C46" s="75">
        <v>492</v>
      </c>
      <c r="D46" s="79">
        <v>132295</v>
      </c>
      <c r="E46" s="75">
        <v>132295</v>
      </c>
      <c r="F46" s="79">
        <v>132295</v>
      </c>
      <c r="G46" s="75">
        <v>39480</v>
      </c>
      <c r="H46" s="75">
        <v>0</v>
      </c>
      <c r="I46" s="75">
        <v>2178</v>
      </c>
      <c r="J46" s="75">
        <v>1831</v>
      </c>
      <c r="K46" s="75">
        <v>83986</v>
      </c>
      <c r="L46" s="75">
        <v>95978</v>
      </c>
      <c r="M46" s="76"/>
      <c r="N46" s="75">
        <v>136304</v>
      </c>
      <c r="O46" s="75">
        <v>136304</v>
      </c>
      <c r="P46" s="76"/>
      <c r="Q46" s="75">
        <v>41977</v>
      </c>
      <c r="R46" s="93">
        <v>8107</v>
      </c>
      <c r="S46" s="75">
        <v>0</v>
      </c>
      <c r="T46" s="75">
        <v>390110</v>
      </c>
      <c r="U46" s="75">
        <v>306124</v>
      </c>
      <c r="V46" s="75">
        <v>41977</v>
      </c>
      <c r="W46" s="83" t="b">
        <f>ROUND(C46/1000,1)='CT-4'!B106</f>
        <v>1</v>
      </c>
      <c r="X46" s="83" t="b">
        <f>ROUND(L46/1000,1)='CT-4'!C106</f>
        <v>1</v>
      </c>
      <c r="Y46" s="83" t="b">
        <f>ROUND(E46/1000,1)='CT-4'!D106</f>
        <v>1</v>
      </c>
      <c r="Z46" s="83" t="b">
        <f>ROUND(I46/1000,1)='CT-4'!F106</f>
        <v>1</v>
      </c>
      <c r="AA46" s="83" t="b">
        <f>ROUND(J46/1000,1)='CT-4'!G106</f>
        <v>1</v>
      </c>
      <c r="AB46" s="83" t="b">
        <f>ROUND(N46/1000,1)='CT-4'!H106</f>
        <v>1</v>
      </c>
      <c r="AC46" s="83" t="b">
        <f>ROUND(V46/1000,1)='CT-4'!J106</f>
        <v>1</v>
      </c>
      <c r="AD46" s="50"/>
      <c r="AE46" s="50"/>
      <c r="AF46" s="83" t="b">
        <f>ROUND(G46/1000,1)='CT-4'!O106</f>
        <v>1</v>
      </c>
      <c r="AG46" s="83" t="b">
        <f>ROUND(U46/1000,1)='CT-4'!P106</f>
        <v>1</v>
      </c>
      <c r="AH46">
        <f>ROUND(T46/1000,1)-'CT-4'!T106</f>
        <v>0</v>
      </c>
      <c r="AI46">
        <f>ROUND(K46/1000,1)-'CT-4'!R106</f>
        <v>0</v>
      </c>
      <c r="AJ46">
        <f t="shared" si="0"/>
        <v>0</v>
      </c>
      <c r="AK46">
        <f t="shared" si="1"/>
        <v>0</v>
      </c>
      <c r="AL46">
        <f t="shared" si="2"/>
        <v>0</v>
      </c>
      <c r="AM46">
        <f t="shared" si="3"/>
        <v>0</v>
      </c>
      <c r="AN46">
        <f t="shared" si="4"/>
        <v>232774</v>
      </c>
    </row>
    <row r="47" spans="1:40" x14ac:dyDescent="0.25">
      <c r="A47" s="74" t="s">
        <v>1812</v>
      </c>
      <c r="B47" s="75">
        <v>0</v>
      </c>
      <c r="C47" s="75">
        <v>563</v>
      </c>
      <c r="D47" s="79">
        <v>108942</v>
      </c>
      <c r="E47" s="75">
        <v>108942</v>
      </c>
      <c r="F47" s="79">
        <v>108942</v>
      </c>
      <c r="G47" s="75">
        <v>39867</v>
      </c>
      <c r="H47" s="75">
        <v>0</v>
      </c>
      <c r="I47" s="75">
        <v>2300</v>
      </c>
      <c r="J47" s="75">
        <v>1026</v>
      </c>
      <c r="K47" s="75">
        <v>83127</v>
      </c>
      <c r="L47" s="75">
        <v>98286</v>
      </c>
      <c r="M47" s="76"/>
      <c r="N47" s="75">
        <v>112268</v>
      </c>
      <c r="O47" s="75">
        <v>112268</v>
      </c>
      <c r="P47" s="76"/>
      <c r="Q47" s="75">
        <v>38367</v>
      </c>
      <c r="R47" s="93">
        <v>11666</v>
      </c>
      <c r="S47" s="75">
        <v>0</v>
      </c>
      <c r="T47" s="75">
        <v>360811</v>
      </c>
      <c r="U47" s="75">
        <v>277685</v>
      </c>
      <c r="V47" s="75">
        <v>38367</v>
      </c>
      <c r="W47" s="83" t="b">
        <f>ROUND(C47/1000,1)='CT-4'!B107</f>
        <v>1</v>
      </c>
      <c r="X47" s="83" t="b">
        <f>ROUND(L47/1000,1)='CT-4'!C107</f>
        <v>1</v>
      </c>
      <c r="Y47" s="83" t="b">
        <f>ROUND(E47/1000,1)='CT-4'!D107</f>
        <v>1</v>
      </c>
      <c r="Z47" s="83" t="b">
        <f>ROUND(I47/1000,1)='CT-4'!F107</f>
        <v>1</v>
      </c>
      <c r="AA47" s="83" t="b">
        <f>ROUND(J47/1000,1)='CT-4'!G107</f>
        <v>1</v>
      </c>
      <c r="AB47" s="83" t="b">
        <f>ROUND(N47/1000,1)='CT-4'!H107</f>
        <v>1</v>
      </c>
      <c r="AC47" s="83" t="b">
        <f>ROUND(V47/1000,1)='CT-4'!J107</f>
        <v>1</v>
      </c>
      <c r="AD47" s="50"/>
      <c r="AE47" s="50"/>
      <c r="AF47" s="83" t="b">
        <f>ROUND(G47/1000,1)='CT-4'!O107</f>
        <v>1</v>
      </c>
      <c r="AG47" s="83" t="b">
        <f>ROUND(U47/1000,1)='CT-4'!P107</f>
        <v>1</v>
      </c>
      <c r="AH47">
        <f>ROUND(T47/1000,1)-'CT-4'!T107</f>
        <v>0</v>
      </c>
      <c r="AI47">
        <f>ROUND(K47/1000,1)-'CT-4'!R107</f>
        <v>0</v>
      </c>
      <c r="AJ47">
        <f t="shared" si="0"/>
        <v>-1</v>
      </c>
      <c r="AK47">
        <f t="shared" si="1"/>
        <v>0</v>
      </c>
      <c r="AL47">
        <f t="shared" si="2"/>
        <v>0</v>
      </c>
      <c r="AM47">
        <f t="shared" si="3"/>
        <v>0</v>
      </c>
      <c r="AN47">
        <f t="shared" si="4"/>
        <v>211117</v>
      </c>
    </row>
    <row r="48" spans="1:40" x14ac:dyDescent="0.25">
      <c r="A48" s="74" t="s">
        <v>1813</v>
      </c>
      <c r="B48" s="75">
        <v>0</v>
      </c>
      <c r="C48" s="75">
        <v>638</v>
      </c>
      <c r="D48" s="79">
        <v>105350</v>
      </c>
      <c r="E48" s="75">
        <v>105350</v>
      </c>
      <c r="F48" s="79">
        <v>105350</v>
      </c>
      <c r="G48" s="75">
        <v>40896</v>
      </c>
      <c r="H48" s="75">
        <v>0</v>
      </c>
      <c r="I48" s="75">
        <v>2301</v>
      </c>
      <c r="J48" s="75">
        <v>2892</v>
      </c>
      <c r="K48" s="75">
        <v>83956</v>
      </c>
      <c r="L48" s="75">
        <v>99777</v>
      </c>
      <c r="M48" s="76"/>
      <c r="N48" s="75">
        <v>110543</v>
      </c>
      <c r="O48" s="75">
        <v>110543</v>
      </c>
      <c r="P48" s="76"/>
      <c r="Q48" s="75">
        <v>34799</v>
      </c>
      <c r="R48" s="93">
        <v>9068</v>
      </c>
      <c r="S48" s="75">
        <v>0</v>
      </c>
      <c r="T48" s="75">
        <v>361541</v>
      </c>
      <c r="U48" s="75">
        <v>277585</v>
      </c>
      <c r="V48" s="75">
        <v>34799</v>
      </c>
      <c r="W48" s="83" t="b">
        <f>ROUND(C48/1000,1)='CT-4'!B108</f>
        <v>1</v>
      </c>
      <c r="X48" s="83" t="b">
        <f>ROUND(L48/1000,1)='CT-4'!C108</f>
        <v>1</v>
      </c>
      <c r="Y48" s="83" t="b">
        <f>ROUND(E48/1000,1)='CT-4'!D108</f>
        <v>1</v>
      </c>
      <c r="Z48" s="83" t="b">
        <f>ROUND(I48/1000,1)='CT-4'!F108</f>
        <v>1</v>
      </c>
      <c r="AA48" s="83" t="b">
        <f>ROUND(J48/1000,1)='CT-4'!G108</f>
        <v>1</v>
      </c>
      <c r="AB48" s="83" t="b">
        <f>ROUND(N48/1000,1)='CT-4'!H108</f>
        <v>1</v>
      </c>
      <c r="AC48" s="83" t="b">
        <f>ROUND(V48/1000,1)='CT-4'!J108</f>
        <v>1</v>
      </c>
      <c r="AD48" s="50"/>
      <c r="AE48" s="50"/>
      <c r="AF48" s="83" t="b">
        <f>ROUND(G48/1000,1)='CT-4'!O108</f>
        <v>1</v>
      </c>
      <c r="AG48" s="83" t="b">
        <f>ROUND(U48/1000,1)='CT-4'!P108</f>
        <v>1</v>
      </c>
      <c r="AH48">
        <f>ROUND(T48/1000,1)-'CT-4'!T108</f>
        <v>0</v>
      </c>
      <c r="AI48">
        <f>ROUND(K48/1000,1)-'CT-4'!R108</f>
        <v>0</v>
      </c>
      <c r="AJ48">
        <f t="shared" si="0"/>
        <v>0</v>
      </c>
      <c r="AK48">
        <f t="shared" si="1"/>
        <v>0</v>
      </c>
      <c r="AL48">
        <f t="shared" si="2"/>
        <v>0</v>
      </c>
      <c r="AM48">
        <f t="shared" si="3"/>
        <v>0</v>
      </c>
      <c r="AN48">
        <f t="shared" si="4"/>
        <v>210958</v>
      </c>
    </row>
    <row r="49" spans="1:40" x14ac:dyDescent="0.25">
      <c r="A49" s="74" t="s">
        <v>1814</v>
      </c>
      <c r="B49" s="75">
        <v>0</v>
      </c>
      <c r="C49" s="75">
        <v>535</v>
      </c>
      <c r="D49" s="79">
        <v>102305</v>
      </c>
      <c r="E49" s="75">
        <v>102305</v>
      </c>
      <c r="F49" s="79">
        <v>102305</v>
      </c>
      <c r="G49" s="75">
        <v>42431</v>
      </c>
      <c r="H49" s="75">
        <v>0</v>
      </c>
      <c r="I49" s="75">
        <v>2735</v>
      </c>
      <c r="J49" s="75">
        <v>931</v>
      </c>
      <c r="K49" s="75">
        <v>85850</v>
      </c>
      <c r="L49" s="75">
        <v>93694</v>
      </c>
      <c r="M49" s="76"/>
      <c r="N49" s="75">
        <v>105971</v>
      </c>
      <c r="O49" s="75">
        <v>105971</v>
      </c>
      <c r="P49" s="76"/>
      <c r="Q49" s="75">
        <v>42608</v>
      </c>
      <c r="R49" s="93">
        <v>5271</v>
      </c>
      <c r="S49" s="75">
        <v>0</v>
      </c>
      <c r="T49" s="75">
        <v>365819</v>
      </c>
      <c r="U49" s="75">
        <v>279969</v>
      </c>
      <c r="V49" s="75">
        <v>42608</v>
      </c>
      <c r="W49" s="83" t="b">
        <f>ROUND(C49/1000,1)='CT-4'!B109</f>
        <v>1</v>
      </c>
      <c r="X49" s="83" t="b">
        <f>ROUND(L49/1000,1)='CT-4'!C109</f>
        <v>1</v>
      </c>
      <c r="Y49" s="83" t="b">
        <f>ROUND(E49/1000,1)='CT-4'!D109</f>
        <v>1</v>
      </c>
      <c r="Z49" s="83" t="b">
        <f>ROUND(I49/1000,1)='CT-4'!F109</f>
        <v>1</v>
      </c>
      <c r="AA49" s="83" t="b">
        <f>ROUND(J49/1000,1)='CT-4'!G109</f>
        <v>1</v>
      </c>
      <c r="AB49" s="83" t="b">
        <f>ROUND(N49/1000,1)='CT-4'!H109</f>
        <v>1</v>
      </c>
      <c r="AC49" s="83" t="b">
        <f>ROUND(V49/1000,1)='CT-4'!J109</f>
        <v>1</v>
      </c>
      <c r="AD49" s="50"/>
      <c r="AE49" s="50"/>
      <c r="AF49" s="83" t="b">
        <f>ROUND(G49/1000,1)='CT-4'!O109</f>
        <v>1</v>
      </c>
      <c r="AG49" s="83" t="b">
        <f>ROUND(U49/1000,1)='CT-4'!P109</f>
        <v>1</v>
      </c>
      <c r="AH49">
        <f>ROUND(T49/1000,1)-'CT-4'!T109</f>
        <v>0</v>
      </c>
      <c r="AI49">
        <f>ROUND(K49/1000,1)-'CT-4'!R109</f>
        <v>0</v>
      </c>
      <c r="AJ49">
        <f t="shared" si="0"/>
        <v>0</v>
      </c>
      <c r="AK49">
        <f t="shared" si="1"/>
        <v>0</v>
      </c>
      <c r="AL49">
        <f t="shared" si="2"/>
        <v>0</v>
      </c>
      <c r="AM49">
        <f t="shared" si="3"/>
        <v>-1</v>
      </c>
      <c r="AN49">
        <f t="shared" si="4"/>
        <v>200200</v>
      </c>
    </row>
    <row r="50" spans="1:40" x14ac:dyDescent="0.25">
      <c r="A50" s="74" t="s">
        <v>1815</v>
      </c>
      <c r="B50" s="75">
        <v>0</v>
      </c>
      <c r="C50" s="75">
        <v>1028</v>
      </c>
      <c r="D50" s="79">
        <v>120325</v>
      </c>
      <c r="E50" s="75">
        <v>120325</v>
      </c>
      <c r="F50" s="79">
        <v>120325</v>
      </c>
      <c r="G50" s="75">
        <v>43340</v>
      </c>
      <c r="H50" s="75">
        <v>0</v>
      </c>
      <c r="I50" s="75">
        <v>2773</v>
      </c>
      <c r="J50" s="75">
        <v>3878</v>
      </c>
      <c r="K50" s="75">
        <v>85957</v>
      </c>
      <c r="L50" s="75">
        <v>99193</v>
      </c>
      <c r="M50" s="76"/>
      <c r="N50" s="75">
        <v>126976</v>
      </c>
      <c r="O50" s="75">
        <v>126976</v>
      </c>
      <c r="P50" s="76"/>
      <c r="Q50" s="75">
        <v>28543</v>
      </c>
      <c r="R50" s="93">
        <v>3128</v>
      </c>
      <c r="S50" s="75">
        <v>0</v>
      </c>
      <c r="T50" s="75">
        <v>381910</v>
      </c>
      <c r="U50" s="75">
        <v>295953</v>
      </c>
      <c r="V50" s="75">
        <v>28543</v>
      </c>
      <c r="W50" s="83" t="b">
        <f>ROUND(C50/1000,1)='CT-4'!B110</f>
        <v>1</v>
      </c>
      <c r="X50" s="83" t="b">
        <f>ROUND(L50/1000,1)='CT-4'!C110</f>
        <v>1</v>
      </c>
      <c r="Y50" s="83" t="b">
        <f>ROUND(E50/1000,1)='CT-4'!D110</f>
        <v>1</v>
      </c>
      <c r="Z50" s="83" t="b">
        <f>ROUND(I50/1000,1)='CT-4'!F110</f>
        <v>1</v>
      </c>
      <c r="AA50" s="83" t="b">
        <f>ROUND(J50/1000,1)='CT-4'!G110</f>
        <v>1</v>
      </c>
      <c r="AB50" s="83" t="b">
        <f>ROUND(N50/1000,1)='CT-4'!H110</f>
        <v>1</v>
      </c>
      <c r="AC50" s="83" t="b">
        <f>ROUND(V50/1000,1)='CT-4'!J110</f>
        <v>1</v>
      </c>
      <c r="AD50" s="50"/>
      <c r="AE50" s="50"/>
      <c r="AF50" s="83" t="b">
        <f>ROUND(G50/1000,1)='CT-4'!O110</f>
        <v>1</v>
      </c>
      <c r="AG50" s="83" t="b">
        <f>ROUND(U50/1000,1)='CT-4'!P110</f>
        <v>1</v>
      </c>
      <c r="AH50">
        <f>ROUND(T50/1000,1)-'CT-4'!T110</f>
        <v>0</v>
      </c>
      <c r="AI50">
        <f>ROUND(K50/1000,1)-'CT-4'!R110</f>
        <v>0</v>
      </c>
      <c r="AJ50">
        <f t="shared" si="0"/>
        <v>0</v>
      </c>
      <c r="AK50">
        <f t="shared" si="1"/>
        <v>0</v>
      </c>
      <c r="AL50">
        <f t="shared" si="2"/>
        <v>0</v>
      </c>
      <c r="AM50">
        <f t="shared" si="3"/>
        <v>-1</v>
      </c>
      <c r="AN50">
        <f t="shared" si="4"/>
        <v>227197</v>
      </c>
    </row>
    <row r="51" spans="1:40" x14ac:dyDescent="0.25">
      <c r="A51" s="74" t="s">
        <v>1816</v>
      </c>
      <c r="B51" s="75">
        <v>0</v>
      </c>
      <c r="C51" s="75">
        <v>717</v>
      </c>
      <c r="D51" s="79">
        <v>116874</v>
      </c>
      <c r="E51" s="75">
        <v>116874</v>
      </c>
      <c r="F51" s="79">
        <v>116874</v>
      </c>
      <c r="G51" s="75">
        <v>44039</v>
      </c>
      <c r="H51" s="75">
        <v>0</v>
      </c>
      <c r="I51" s="75">
        <v>3295</v>
      </c>
      <c r="J51" s="75">
        <v>3272</v>
      </c>
      <c r="K51" s="75">
        <v>89493</v>
      </c>
      <c r="L51" s="75">
        <v>100139</v>
      </c>
      <c r="M51" s="76"/>
      <c r="N51" s="75">
        <v>123442</v>
      </c>
      <c r="O51" s="75">
        <v>123442</v>
      </c>
      <c r="P51" s="76"/>
      <c r="Q51" s="75">
        <v>29403</v>
      </c>
      <c r="R51" s="93">
        <v>1689</v>
      </c>
      <c r="S51" s="75">
        <v>0</v>
      </c>
      <c r="T51" s="75">
        <v>385543</v>
      </c>
      <c r="U51" s="75">
        <v>296050</v>
      </c>
      <c r="V51" s="75">
        <v>29403</v>
      </c>
      <c r="W51" s="83" t="b">
        <f>ROUND(C51/1000,1)='CT-4'!B111</f>
        <v>1</v>
      </c>
      <c r="X51" s="83" t="b">
        <f>ROUND(L51/1000,1)='CT-4'!C111</f>
        <v>1</v>
      </c>
      <c r="Y51" s="83" t="b">
        <f>ROUND(E51/1000,1)='CT-4'!D111</f>
        <v>1</v>
      </c>
      <c r="Z51" s="83" t="b">
        <f>ROUND(I51/1000,1)='CT-4'!F111</f>
        <v>1</v>
      </c>
      <c r="AA51" s="83" t="b">
        <f>ROUND(J51/1000,1)='CT-4'!G111</f>
        <v>1</v>
      </c>
      <c r="AB51" s="83" t="b">
        <f>ROUND(N51/1000,1)='CT-4'!H111</f>
        <v>1</v>
      </c>
      <c r="AC51" s="83" t="b">
        <f>ROUND(V51/1000,1)='CT-4'!J111</f>
        <v>1</v>
      </c>
      <c r="AD51" s="50"/>
      <c r="AE51" s="50"/>
      <c r="AF51" s="83" t="b">
        <f>ROUND(G51/1000,1)='CT-4'!O111</f>
        <v>1</v>
      </c>
      <c r="AG51" s="84">
        <f>ROUND(U51/1000,1)-'CT-4'!P111</f>
        <v>0.10000000000002274</v>
      </c>
      <c r="AH51">
        <f>ROUND(T51/1000,1)-'CT-4'!T111</f>
        <v>0</v>
      </c>
      <c r="AI51">
        <f>ROUND(K51/1000,1)-'CT-4'!R111</f>
        <v>0</v>
      </c>
      <c r="AJ51">
        <f t="shared" si="0"/>
        <v>0</v>
      </c>
      <c r="AK51">
        <f t="shared" si="1"/>
        <v>-1</v>
      </c>
      <c r="AL51">
        <f t="shared" si="2"/>
        <v>0</v>
      </c>
      <c r="AM51">
        <f t="shared" si="3"/>
        <v>0</v>
      </c>
      <c r="AN51">
        <f t="shared" si="4"/>
        <v>224297</v>
      </c>
    </row>
    <row r="52" spans="1:40" x14ac:dyDescent="0.25">
      <c r="A52" s="74" t="s">
        <v>1817</v>
      </c>
      <c r="B52" s="75">
        <v>0</v>
      </c>
      <c r="C52" s="75">
        <v>435</v>
      </c>
      <c r="D52" s="79">
        <v>120082</v>
      </c>
      <c r="E52" s="75">
        <v>120082</v>
      </c>
      <c r="F52" s="79">
        <v>120082</v>
      </c>
      <c r="G52" s="75">
        <v>46430</v>
      </c>
      <c r="H52" s="75">
        <v>0</v>
      </c>
      <c r="I52" s="75">
        <v>3668</v>
      </c>
      <c r="J52" s="75">
        <v>2838</v>
      </c>
      <c r="K52" s="75">
        <v>91969</v>
      </c>
      <c r="L52" s="75">
        <v>104928</v>
      </c>
      <c r="M52" s="76"/>
      <c r="N52" s="75">
        <v>126588</v>
      </c>
      <c r="O52" s="75">
        <v>126588</v>
      </c>
      <c r="P52" s="76"/>
      <c r="Q52" s="75">
        <v>26783</v>
      </c>
      <c r="R52" s="93">
        <v>1351</v>
      </c>
      <c r="S52" s="75">
        <v>0</v>
      </c>
      <c r="T52" s="75">
        <v>395781</v>
      </c>
      <c r="U52" s="75">
        <v>303812</v>
      </c>
      <c r="V52" s="75">
        <v>26783</v>
      </c>
      <c r="W52" s="83" t="b">
        <f>ROUND(C52/1000,1)='CT-4'!B112</f>
        <v>1</v>
      </c>
      <c r="X52" s="83" t="b">
        <f>ROUND(L52/1000,1)='CT-4'!C112</f>
        <v>1</v>
      </c>
      <c r="Y52" s="83" t="b">
        <f>ROUND(E52/1000,1)='CT-4'!D112</f>
        <v>1</v>
      </c>
      <c r="Z52" s="83" t="b">
        <f>ROUND(I52/1000,1)='CT-4'!F112</f>
        <v>1</v>
      </c>
      <c r="AA52" s="83" t="b">
        <f>ROUND(J52/1000,1)='CT-4'!G112</f>
        <v>1</v>
      </c>
      <c r="AB52" s="83" t="b">
        <f>ROUND(N52/1000,1)='CT-4'!H112</f>
        <v>1</v>
      </c>
      <c r="AC52" s="83" t="b">
        <f>ROUND(V52/1000,1)='CT-4'!J112</f>
        <v>1</v>
      </c>
      <c r="AD52" s="50"/>
      <c r="AE52" s="50"/>
      <c r="AF52" s="83" t="b">
        <f>ROUND(G52/1000,1)='CT-4'!O112</f>
        <v>1</v>
      </c>
      <c r="AG52" s="83" t="b">
        <f>ROUND(U52/1000,1)='CT-4'!P112</f>
        <v>1</v>
      </c>
      <c r="AH52">
        <f>ROUND(T52/1000,1)-'CT-4'!T112</f>
        <v>0</v>
      </c>
      <c r="AI52">
        <f>ROUND(K52/1000,1)-'CT-4'!R112</f>
        <v>0</v>
      </c>
      <c r="AJ52">
        <f t="shared" si="0"/>
        <v>0</v>
      </c>
      <c r="AK52">
        <f t="shared" si="1"/>
        <v>0</v>
      </c>
      <c r="AL52">
        <f t="shared" si="2"/>
        <v>0</v>
      </c>
      <c r="AM52">
        <f t="shared" si="3"/>
        <v>1</v>
      </c>
      <c r="AN52">
        <f t="shared" si="4"/>
        <v>231951</v>
      </c>
    </row>
    <row r="53" spans="1:40" x14ac:dyDescent="0.25">
      <c r="A53" s="74" t="s">
        <v>1818</v>
      </c>
      <c r="B53" s="75">
        <v>0</v>
      </c>
      <c r="C53" s="75">
        <v>330</v>
      </c>
      <c r="D53" s="79">
        <v>123595</v>
      </c>
      <c r="E53" s="75">
        <v>123595</v>
      </c>
      <c r="F53" s="79">
        <v>123595</v>
      </c>
      <c r="G53" s="75">
        <v>49390</v>
      </c>
      <c r="H53" s="75">
        <v>0</v>
      </c>
      <c r="I53" s="75">
        <v>4386</v>
      </c>
      <c r="J53" s="75">
        <v>3005</v>
      </c>
      <c r="K53" s="75">
        <v>98550</v>
      </c>
      <c r="L53" s="75">
        <v>107956</v>
      </c>
      <c r="M53" s="76"/>
      <c r="N53" s="75">
        <v>130986</v>
      </c>
      <c r="O53" s="75">
        <v>130986</v>
      </c>
      <c r="P53" s="76"/>
      <c r="Q53" s="75">
        <v>19067</v>
      </c>
      <c r="R53" s="93">
        <v>672</v>
      </c>
      <c r="S53" s="75">
        <v>0</v>
      </c>
      <c r="T53" s="75">
        <v>405607</v>
      </c>
      <c r="U53" s="75">
        <v>307056</v>
      </c>
      <c r="V53" s="75">
        <v>19067</v>
      </c>
      <c r="W53" s="83" t="b">
        <f>ROUND(C53/1000,1)='CT-4'!B113</f>
        <v>1</v>
      </c>
      <c r="X53" s="83" t="b">
        <f>ROUND(L53/1000,1)='CT-4'!C113</f>
        <v>1</v>
      </c>
      <c r="Y53" s="83" t="b">
        <f>ROUND(E53/1000,1)='CT-4'!D113</f>
        <v>1</v>
      </c>
      <c r="Z53" s="83" t="b">
        <f>ROUND(I53/1000,1)='CT-4'!F113</f>
        <v>1</v>
      </c>
      <c r="AA53" s="83" t="b">
        <f>ROUND(J53/1000,1)='CT-4'!G113</f>
        <v>1</v>
      </c>
      <c r="AB53" s="83" t="b">
        <f>ROUND(N53/1000,1)='CT-4'!H113</f>
        <v>1</v>
      </c>
      <c r="AC53" s="83" t="b">
        <f>ROUND(V53/1000,1)='CT-4'!J113</f>
        <v>1</v>
      </c>
      <c r="AD53" s="50"/>
      <c r="AE53" s="50"/>
      <c r="AF53" s="83" t="b">
        <f>ROUND(G53/1000,1)='CT-4'!O113</f>
        <v>1</v>
      </c>
      <c r="AG53" s="83" t="b">
        <f>ROUND(U53/1000,1)='CT-4'!P113</f>
        <v>1</v>
      </c>
      <c r="AH53">
        <f>ROUND(T53/1000,1)-'CT-4'!T113</f>
        <v>0</v>
      </c>
      <c r="AI53">
        <f>ROUND(K53/1000,1)-'CT-4'!R113</f>
        <v>0</v>
      </c>
      <c r="AJ53">
        <f t="shared" si="0"/>
        <v>1</v>
      </c>
      <c r="AK53">
        <f t="shared" si="1"/>
        <v>0</v>
      </c>
      <c r="AL53">
        <f t="shared" si="2"/>
        <v>0</v>
      </c>
      <c r="AM53">
        <f t="shared" si="3"/>
        <v>1</v>
      </c>
      <c r="AN53">
        <f t="shared" si="4"/>
        <v>239272</v>
      </c>
    </row>
    <row r="54" spans="1:40" x14ac:dyDescent="0.25">
      <c r="A54" s="74" t="s">
        <v>1819</v>
      </c>
      <c r="B54" s="75">
        <v>0</v>
      </c>
      <c r="C54" s="75">
        <v>358</v>
      </c>
      <c r="D54" s="79">
        <v>123612</v>
      </c>
      <c r="E54" s="75">
        <v>123612</v>
      </c>
      <c r="F54" s="79">
        <v>123612</v>
      </c>
      <c r="G54" s="75">
        <v>52923</v>
      </c>
      <c r="H54" s="75">
        <v>0</v>
      </c>
      <c r="I54" s="75">
        <v>4309</v>
      </c>
      <c r="J54" s="75">
        <v>1698</v>
      </c>
      <c r="K54" s="75">
        <v>107474</v>
      </c>
      <c r="L54" s="75">
        <v>111901</v>
      </c>
      <c r="M54" s="76"/>
      <c r="N54" s="75">
        <v>129620</v>
      </c>
      <c r="O54" s="75">
        <v>129620</v>
      </c>
      <c r="P54" s="76"/>
      <c r="Q54" s="75">
        <v>20348</v>
      </c>
      <c r="R54" s="93">
        <v>469</v>
      </c>
      <c r="S54" s="75">
        <v>0</v>
      </c>
      <c r="T54" s="75">
        <v>422155</v>
      </c>
      <c r="U54" s="75">
        <v>314681</v>
      </c>
      <c r="V54" s="75">
        <v>20348</v>
      </c>
      <c r="W54" s="83" t="b">
        <f>ROUND(C54/1000,1)='CT-4'!B114</f>
        <v>1</v>
      </c>
      <c r="X54" s="83" t="b">
        <f>ROUND(L54/1000,1)='CT-4'!C114</f>
        <v>1</v>
      </c>
      <c r="Y54" s="83" t="b">
        <f>ROUND(E54/1000,1)='CT-4'!D114</f>
        <v>1</v>
      </c>
      <c r="Z54" s="83" t="b">
        <f>ROUND(I54/1000,1)='CT-4'!F114</f>
        <v>1</v>
      </c>
      <c r="AA54" s="83" t="b">
        <f>ROUND(J54/1000,1)='CT-4'!G114</f>
        <v>1</v>
      </c>
      <c r="AB54" s="83" t="b">
        <f>ROUND(N54/1000,1)='CT-4'!H114</f>
        <v>1</v>
      </c>
      <c r="AC54" s="83" t="b">
        <f>ROUND(V54/1000,1)='CT-4'!J114</f>
        <v>1</v>
      </c>
      <c r="AD54" s="50"/>
      <c r="AE54" s="50"/>
      <c r="AF54" s="83" t="b">
        <f>ROUND(G54/1000,1)='CT-4'!O114</f>
        <v>1</v>
      </c>
      <c r="AG54" s="83" t="b">
        <f>ROUND(U54/1000,1)='CT-4'!P114</f>
        <v>1</v>
      </c>
      <c r="AH54">
        <f>ROUND(T54/1000,1)-'CT-4'!T114</f>
        <v>0</v>
      </c>
      <c r="AI54">
        <f>ROUND(K54/1000,1)-'CT-4'!R114</f>
        <v>0</v>
      </c>
      <c r="AJ54">
        <f t="shared" si="0"/>
        <v>0</v>
      </c>
      <c r="AK54">
        <f t="shared" si="1"/>
        <v>-1</v>
      </c>
      <c r="AL54">
        <f t="shared" si="2"/>
        <v>0</v>
      </c>
      <c r="AM54">
        <f t="shared" si="3"/>
        <v>-1</v>
      </c>
      <c r="AN54">
        <f t="shared" si="4"/>
        <v>241878</v>
      </c>
    </row>
    <row r="55" spans="1:40" x14ac:dyDescent="0.25">
      <c r="A55" s="74" t="s">
        <v>1820</v>
      </c>
      <c r="B55" s="75">
        <v>0</v>
      </c>
      <c r="C55" s="75">
        <v>299</v>
      </c>
      <c r="D55" s="79">
        <v>132942</v>
      </c>
      <c r="E55" s="75">
        <v>132942</v>
      </c>
      <c r="F55" s="79">
        <v>132942</v>
      </c>
      <c r="G55" s="75">
        <v>53815</v>
      </c>
      <c r="H55" s="75">
        <v>0</v>
      </c>
      <c r="I55" s="75">
        <v>5119</v>
      </c>
      <c r="J55" s="75">
        <v>1532</v>
      </c>
      <c r="K55" s="75">
        <v>112252</v>
      </c>
      <c r="L55" s="75">
        <v>115745</v>
      </c>
      <c r="M55" s="76"/>
      <c r="N55" s="75">
        <v>139593</v>
      </c>
      <c r="O55" s="75">
        <v>139593</v>
      </c>
      <c r="P55" s="76"/>
      <c r="Q55" s="75">
        <v>20752</v>
      </c>
      <c r="R55" s="93">
        <v>321</v>
      </c>
      <c r="S55" s="75">
        <v>180</v>
      </c>
      <c r="T55" s="75">
        <v>442134</v>
      </c>
      <c r="U55" s="75">
        <v>329882</v>
      </c>
      <c r="V55" s="75">
        <v>20572</v>
      </c>
      <c r="W55" s="83" t="b">
        <f>ROUND(C55/1000,1)='CT-4'!B115</f>
        <v>1</v>
      </c>
      <c r="X55" s="83" t="b">
        <f>ROUND(L55/1000,1)='CT-4'!C115</f>
        <v>1</v>
      </c>
      <c r="Y55" s="83" t="b">
        <f>ROUND(E55/1000,1)='CT-4'!D115</f>
        <v>1</v>
      </c>
      <c r="Z55" s="83" t="b">
        <f>ROUND(I55/1000,1)='CT-4'!F115</f>
        <v>1</v>
      </c>
      <c r="AA55" s="83" t="b">
        <f>ROUND(J55/1000,1)='CT-4'!G115</f>
        <v>1</v>
      </c>
      <c r="AB55" s="83" t="b">
        <f>ROUND(N55/1000,1)='CT-4'!H115</f>
        <v>1</v>
      </c>
      <c r="AC55" s="83" t="b">
        <f>ROUND(V55/1000,1)='CT-4'!J115</f>
        <v>1</v>
      </c>
      <c r="AD55" s="86" t="b">
        <f>IF(H55=0,0,IF(H55&lt;50,"(s)",ROUND(H55/1000,1)))='CT-4'!L115</f>
        <v>1</v>
      </c>
      <c r="AE55" s="86" t="b">
        <f>ROUND(S55/1000,1)='CT-4'!M115</f>
        <v>1</v>
      </c>
      <c r="AF55" s="83" t="b">
        <f>ROUND(G55/1000,1)='CT-4'!O115</f>
        <v>1</v>
      </c>
      <c r="AG55" s="83" t="b">
        <f>ROUND(U55/1000,1)='CT-4'!P115</f>
        <v>1</v>
      </c>
      <c r="AH55">
        <f>ROUND(T55/1000,1)-'CT-4'!T115</f>
        <v>0</v>
      </c>
      <c r="AI55">
        <f>ROUND(K55/1000,1)-'CT-4'!R115</f>
        <v>0</v>
      </c>
      <c r="AJ55">
        <f t="shared" si="0"/>
        <v>0</v>
      </c>
      <c r="AK55">
        <f t="shared" si="1"/>
        <v>0</v>
      </c>
      <c r="AL55">
        <f t="shared" si="2"/>
        <v>0</v>
      </c>
      <c r="AM55">
        <f t="shared" si="3"/>
        <v>1</v>
      </c>
      <c r="AN55">
        <f t="shared" si="4"/>
        <v>255637</v>
      </c>
    </row>
    <row r="56" spans="1:40" x14ac:dyDescent="0.25">
      <c r="A56" s="74" t="s">
        <v>1821</v>
      </c>
      <c r="B56" s="75">
        <v>0</v>
      </c>
      <c r="C56" s="75">
        <v>316</v>
      </c>
      <c r="D56" s="79">
        <v>119643</v>
      </c>
      <c r="E56" s="75">
        <v>119643</v>
      </c>
      <c r="F56" s="79">
        <v>119643</v>
      </c>
      <c r="G56" s="75">
        <v>53163</v>
      </c>
      <c r="H56" s="75">
        <v>0</v>
      </c>
      <c r="I56" s="75">
        <v>4382</v>
      </c>
      <c r="J56" s="75">
        <v>923</v>
      </c>
      <c r="K56" s="75">
        <v>121547</v>
      </c>
      <c r="L56" s="75">
        <v>110572</v>
      </c>
      <c r="M56" s="76"/>
      <c r="N56" s="75">
        <v>124948</v>
      </c>
      <c r="O56" s="75">
        <v>124948</v>
      </c>
      <c r="P56" s="76"/>
      <c r="Q56" s="75">
        <v>18266</v>
      </c>
      <c r="R56" s="93">
        <v>133</v>
      </c>
      <c r="S56" s="75">
        <v>189</v>
      </c>
      <c r="T56" s="75">
        <v>428678</v>
      </c>
      <c r="U56" s="75">
        <v>307132</v>
      </c>
      <c r="V56" s="75">
        <v>18077</v>
      </c>
      <c r="W56" s="83" t="b">
        <f>ROUND(C56/1000,1)='CT-4'!B116</f>
        <v>1</v>
      </c>
      <c r="X56" s="83" t="b">
        <f>ROUND(L56/1000,1)='CT-4'!C116</f>
        <v>1</v>
      </c>
      <c r="Y56" s="83" t="b">
        <f>ROUND(E56/1000,1)='CT-4'!D116</f>
        <v>1</v>
      </c>
      <c r="Z56" s="83" t="b">
        <f>ROUND(I56/1000,1)='CT-4'!F116</f>
        <v>1</v>
      </c>
      <c r="AA56" s="83" t="b">
        <f>ROUND(J56/1000,1)='CT-4'!G116</f>
        <v>1</v>
      </c>
      <c r="AB56" s="83" t="b">
        <f>ROUND(N56/1000,1)='CT-4'!H116</f>
        <v>1</v>
      </c>
      <c r="AC56" s="83" t="b">
        <f>ROUND(V56/1000,1)='CT-4'!J116</f>
        <v>1</v>
      </c>
      <c r="AD56" s="86" t="b">
        <f>IF(H56=0,0,IF(H56&lt;50,"(s)",ROUND(H56/1000,1)))='CT-4'!L116</f>
        <v>1</v>
      </c>
      <c r="AE56" s="86" t="b">
        <f>ROUND(S56/1000,1)='CT-4'!M116</f>
        <v>1</v>
      </c>
      <c r="AF56" s="83" t="b">
        <f>ROUND(G56/1000,1)='CT-4'!O116</f>
        <v>1</v>
      </c>
      <c r="AG56" s="83" t="b">
        <f>ROUND(U56/1000,1)='CT-4'!P116</f>
        <v>1</v>
      </c>
      <c r="AH56">
        <f>ROUND(T56/1000,1)-'CT-4'!T116</f>
        <v>0</v>
      </c>
      <c r="AI56">
        <f>ROUND(K56/1000,1)-'CT-4'!R116</f>
        <v>0</v>
      </c>
      <c r="AJ56">
        <f t="shared" si="0"/>
        <v>-1</v>
      </c>
      <c r="AK56">
        <f t="shared" si="1"/>
        <v>0</v>
      </c>
      <c r="AL56">
        <f t="shared" si="2"/>
        <v>0</v>
      </c>
      <c r="AM56">
        <f t="shared" si="3"/>
        <v>0</v>
      </c>
      <c r="AN56">
        <f t="shared" si="4"/>
        <v>235836</v>
      </c>
    </row>
    <row r="57" spans="1:40" x14ac:dyDescent="0.25">
      <c r="A57" s="74" t="s">
        <v>1822</v>
      </c>
      <c r="B57" s="75">
        <v>0</v>
      </c>
      <c r="C57" s="75">
        <v>120</v>
      </c>
      <c r="D57" s="79">
        <v>112198</v>
      </c>
      <c r="E57" s="75">
        <v>112198</v>
      </c>
      <c r="F57" s="79">
        <v>112198</v>
      </c>
      <c r="G57" s="75">
        <v>52475</v>
      </c>
      <c r="H57" s="75">
        <v>0</v>
      </c>
      <c r="I57" s="75">
        <v>3965</v>
      </c>
      <c r="J57" s="75">
        <v>855</v>
      </c>
      <c r="K57" s="75">
        <v>114922</v>
      </c>
      <c r="L57" s="75">
        <v>107035</v>
      </c>
      <c r="M57" s="76"/>
      <c r="N57" s="75">
        <v>117017</v>
      </c>
      <c r="O57" s="75">
        <v>117017</v>
      </c>
      <c r="P57" s="76"/>
      <c r="Q57" s="75">
        <v>19143</v>
      </c>
      <c r="R57" s="93">
        <v>47</v>
      </c>
      <c r="S57" s="75">
        <v>192</v>
      </c>
      <c r="T57" s="75">
        <v>410665</v>
      </c>
      <c r="U57" s="75">
        <v>295743</v>
      </c>
      <c r="V57" s="75">
        <v>18951</v>
      </c>
      <c r="W57" s="83" t="b">
        <f>ROUND(C57/1000,1)='CT-4'!B117</f>
        <v>1</v>
      </c>
      <c r="X57" s="83" t="b">
        <f>ROUND(L57/1000,1)='CT-4'!C117</f>
        <v>1</v>
      </c>
      <c r="Y57" s="83" t="b">
        <f>ROUND(E57/1000,1)='CT-4'!D117</f>
        <v>1</v>
      </c>
      <c r="Z57" s="83" t="b">
        <f>ROUND(I57/1000,1)='CT-4'!F117</f>
        <v>1</v>
      </c>
      <c r="AA57" s="83" t="b">
        <f>ROUND(J57/1000,1)='CT-4'!G117</f>
        <v>1</v>
      </c>
      <c r="AB57" s="83" t="b">
        <f>ROUND(N57/1000,1)='CT-4'!H117</f>
        <v>1</v>
      </c>
      <c r="AC57" s="83" t="b">
        <f>ROUND(V57/1000,1)='CT-4'!J117</f>
        <v>1</v>
      </c>
      <c r="AD57" s="86" t="b">
        <f>IF(H57=0,0,IF(H57&lt;50,"(s)",ROUND(H57/1000,1)))='CT-4'!L117</f>
        <v>1</v>
      </c>
      <c r="AE57" s="86" t="b">
        <f>ROUND(S57/1000,1)='CT-4'!M117</f>
        <v>1</v>
      </c>
      <c r="AF57" s="83" t="b">
        <f>ROUND(G57/1000,1)='CT-4'!O117</f>
        <v>1</v>
      </c>
      <c r="AG57" s="83" t="b">
        <f>ROUND(U57/1000,1)='CT-4'!P117</f>
        <v>1</v>
      </c>
      <c r="AH57">
        <f>ROUND(T57/1000,1)-'CT-4'!T117</f>
        <v>0</v>
      </c>
      <c r="AI57">
        <f>ROUND(K57/1000,1)-'CT-4'!R117</f>
        <v>0</v>
      </c>
      <c r="AJ57">
        <f t="shared" si="0"/>
        <v>0</v>
      </c>
      <c r="AK57">
        <f t="shared" si="1"/>
        <v>1</v>
      </c>
      <c r="AL57">
        <f t="shared" si="2"/>
        <v>0</v>
      </c>
      <c r="AM57">
        <f t="shared" si="3"/>
        <v>1</v>
      </c>
      <c r="AN57">
        <f t="shared" si="4"/>
        <v>224173</v>
      </c>
    </row>
    <row r="58" spans="1:40" x14ac:dyDescent="0.25">
      <c r="A58" s="74" t="s">
        <v>1823</v>
      </c>
      <c r="B58" s="75">
        <v>0</v>
      </c>
      <c r="C58" s="75">
        <v>259</v>
      </c>
      <c r="D58" s="79">
        <v>127415</v>
      </c>
      <c r="E58" s="75">
        <v>127415</v>
      </c>
      <c r="F58" s="79">
        <v>127415</v>
      </c>
      <c r="G58" s="75">
        <v>53091</v>
      </c>
      <c r="H58" s="75">
        <v>0</v>
      </c>
      <c r="I58" s="75">
        <v>3933</v>
      </c>
      <c r="J58" s="75">
        <v>1471</v>
      </c>
      <c r="K58" s="75">
        <v>119265</v>
      </c>
      <c r="L58" s="75">
        <v>124366</v>
      </c>
      <c r="M58" s="76"/>
      <c r="N58" s="75">
        <v>132819</v>
      </c>
      <c r="O58" s="75">
        <v>132819</v>
      </c>
      <c r="P58" s="76"/>
      <c r="Q58" s="75">
        <v>20079</v>
      </c>
      <c r="R58" s="93">
        <v>39</v>
      </c>
      <c r="S58" s="75">
        <v>195</v>
      </c>
      <c r="T58" s="75">
        <v>449840</v>
      </c>
      <c r="U58" s="75">
        <v>330575</v>
      </c>
      <c r="V58" s="75">
        <v>19883</v>
      </c>
      <c r="W58" s="83" t="b">
        <f>ROUND(C58/1000,1)='CT-4'!B118</f>
        <v>1</v>
      </c>
      <c r="X58" s="83" t="b">
        <f>ROUND(L58/1000,1)='CT-4'!C118</f>
        <v>1</v>
      </c>
      <c r="Y58" s="83" t="b">
        <f>ROUND(E58/1000,1)='CT-4'!D118</f>
        <v>1</v>
      </c>
      <c r="Z58" s="83" t="b">
        <f>ROUND(I58/1000,1)='CT-4'!F118</f>
        <v>1</v>
      </c>
      <c r="AA58" s="83" t="b">
        <f>ROUND(J58/1000,1)='CT-4'!G118</f>
        <v>1</v>
      </c>
      <c r="AB58" s="83" t="b">
        <f>ROUND(N58/1000,1)='CT-4'!H118</f>
        <v>1</v>
      </c>
      <c r="AC58" s="83" t="b">
        <f>ROUND(V58/1000,1)='CT-4'!J118</f>
        <v>1</v>
      </c>
      <c r="AD58" s="86" t="b">
        <f>IF(H58=0,0,IF(H58&lt;50,"(s)",ROUND(H58/1000,1)))='CT-4'!L118</f>
        <v>1</v>
      </c>
      <c r="AE58" s="86" t="b">
        <f>ROUND(S58/1000,1)='CT-4'!M118</f>
        <v>1</v>
      </c>
      <c r="AF58" s="83" t="b">
        <f>ROUND(G58/1000,1)='CT-4'!O118</f>
        <v>1</v>
      </c>
      <c r="AG58" s="83" t="b">
        <f>ROUND(U58/1000,1)='CT-4'!P118</f>
        <v>1</v>
      </c>
      <c r="AH58">
        <f>ROUND(T58/1000,1)-'CT-4'!T118</f>
        <v>0</v>
      </c>
      <c r="AI58">
        <f>ROUND(K58/1000,1)-'CT-4'!R118</f>
        <v>0</v>
      </c>
      <c r="AJ58">
        <f t="shared" si="0"/>
        <v>0</v>
      </c>
      <c r="AK58">
        <f t="shared" si="1"/>
        <v>0</v>
      </c>
      <c r="AL58">
        <f t="shared" si="2"/>
        <v>1</v>
      </c>
      <c r="AM58">
        <f t="shared" si="3"/>
        <v>-1</v>
      </c>
      <c r="AN58">
        <f t="shared" si="4"/>
        <v>257444</v>
      </c>
    </row>
    <row r="59" spans="1:40" x14ac:dyDescent="0.25">
      <c r="A59" s="74" t="s">
        <v>1824</v>
      </c>
      <c r="B59" s="75">
        <v>0</v>
      </c>
      <c r="C59" s="75">
        <v>193</v>
      </c>
      <c r="D59" s="79">
        <v>127526</v>
      </c>
      <c r="E59" s="75">
        <v>127526</v>
      </c>
      <c r="F59" s="79">
        <v>127526</v>
      </c>
      <c r="G59" s="75">
        <v>53859</v>
      </c>
      <c r="H59" s="75">
        <v>0</v>
      </c>
      <c r="I59" s="75">
        <v>4335</v>
      </c>
      <c r="J59" s="75">
        <v>1417</v>
      </c>
      <c r="K59" s="75">
        <v>121282</v>
      </c>
      <c r="L59" s="75">
        <v>126147</v>
      </c>
      <c r="M59" s="76"/>
      <c r="N59" s="75">
        <v>133277</v>
      </c>
      <c r="O59" s="75">
        <v>133277</v>
      </c>
      <c r="P59" s="76"/>
      <c r="Q59" s="75">
        <v>20771</v>
      </c>
      <c r="R59" s="93">
        <v>23</v>
      </c>
      <c r="S59" s="75">
        <v>198</v>
      </c>
      <c r="T59" s="75">
        <v>455507</v>
      </c>
      <c r="U59" s="75">
        <v>334226</v>
      </c>
      <c r="V59" s="75">
        <v>20573</v>
      </c>
      <c r="W59" s="83" t="b">
        <f>ROUND(C59/1000,1)='CT-4'!B119</f>
        <v>1</v>
      </c>
      <c r="X59" s="83" t="b">
        <f>ROUND(L59/1000,1)='CT-4'!C119</f>
        <v>1</v>
      </c>
      <c r="Y59" s="83" t="b">
        <f>ROUND(E59/1000,1)='CT-4'!D119</f>
        <v>1</v>
      </c>
      <c r="Z59" s="83" t="b">
        <f>ROUND(I59/1000,1)='CT-4'!F119</f>
        <v>1</v>
      </c>
      <c r="AA59" s="83" t="b">
        <f>ROUND(J59/1000,1)='CT-4'!G119</f>
        <v>1</v>
      </c>
      <c r="AB59" s="83" t="b">
        <f>ROUND(N59/1000,1)='CT-4'!H119</f>
        <v>1</v>
      </c>
      <c r="AC59" s="83" t="b">
        <f>ROUND(V59/1000,1)='CT-4'!J119</f>
        <v>1</v>
      </c>
      <c r="AD59" s="86" t="b">
        <f>IF(H59=0,0,IF(H59&lt;50,"(s)",ROUND(H59/1000,1)))='CT-4'!L119</f>
        <v>1</v>
      </c>
      <c r="AE59" s="86" t="b">
        <f>ROUND(S59/1000,1)='CT-4'!M119</f>
        <v>1</v>
      </c>
      <c r="AF59" s="83" t="b">
        <f>ROUND(G59/1000,1)='CT-4'!O119</f>
        <v>1</v>
      </c>
      <c r="AG59" s="83" t="b">
        <f>ROUND(U59/1000,1)='CT-4'!P119</f>
        <v>1</v>
      </c>
      <c r="AH59">
        <f>ROUND(T59/1000,1)-'CT-4'!T119</f>
        <v>0</v>
      </c>
      <c r="AI59">
        <f>ROUND(K59/1000,1)-'CT-4'!R119</f>
        <v>0</v>
      </c>
      <c r="AJ59">
        <f t="shared" si="0"/>
        <v>-1</v>
      </c>
      <c r="AK59">
        <f t="shared" si="1"/>
        <v>1</v>
      </c>
      <c r="AL59">
        <f t="shared" si="2"/>
        <v>0</v>
      </c>
      <c r="AM59">
        <f t="shared" si="3"/>
        <v>-1</v>
      </c>
      <c r="AN59">
        <f t="shared" si="4"/>
        <v>259618</v>
      </c>
    </row>
    <row r="60" spans="1:40" x14ac:dyDescent="0.25">
      <c r="A60" s="74" t="s">
        <v>1825</v>
      </c>
      <c r="B60" s="75">
        <v>0</v>
      </c>
      <c r="C60" s="75">
        <v>83</v>
      </c>
      <c r="D60" s="79">
        <v>127959</v>
      </c>
      <c r="E60" s="75">
        <v>127959</v>
      </c>
      <c r="F60" s="79">
        <v>127959</v>
      </c>
      <c r="G60" s="75">
        <v>54759</v>
      </c>
      <c r="H60" s="75">
        <v>0</v>
      </c>
      <c r="I60" s="75">
        <v>4482</v>
      </c>
      <c r="J60" s="75">
        <v>1238</v>
      </c>
      <c r="K60" s="75">
        <v>122666</v>
      </c>
      <c r="L60" s="75">
        <v>122539</v>
      </c>
      <c r="M60" s="76"/>
      <c r="N60" s="75">
        <v>133679</v>
      </c>
      <c r="O60" s="75">
        <v>133679</v>
      </c>
      <c r="P60" s="76"/>
      <c r="Q60" s="75">
        <v>19740</v>
      </c>
      <c r="R60" s="93">
        <v>51</v>
      </c>
      <c r="S60" s="75">
        <v>212</v>
      </c>
      <c r="T60" s="75">
        <v>453414</v>
      </c>
      <c r="U60" s="75">
        <v>330748</v>
      </c>
      <c r="V60" s="75">
        <v>19528</v>
      </c>
      <c r="W60" s="83" t="b">
        <f>ROUND(C60/1000,1)='CT-4'!B120</f>
        <v>1</v>
      </c>
      <c r="X60" s="83" t="b">
        <f>ROUND(L60/1000,1)='CT-4'!C120</f>
        <v>1</v>
      </c>
      <c r="Y60" s="83" t="b">
        <f>ROUND(E60/1000,1)='CT-4'!D120</f>
        <v>1</v>
      </c>
      <c r="Z60" s="83" t="b">
        <f>ROUND(I60/1000,1)='CT-4'!F120</f>
        <v>1</v>
      </c>
      <c r="AA60" s="83" t="b">
        <f>ROUND(J60/1000,1)='CT-4'!G120</f>
        <v>1</v>
      </c>
      <c r="AB60" s="83" t="b">
        <f>ROUND(N60/1000,1)='CT-4'!H120</f>
        <v>1</v>
      </c>
      <c r="AC60" s="83" t="b">
        <f>ROUND(V60/1000,1)='CT-4'!J120</f>
        <v>1</v>
      </c>
      <c r="AD60" s="86" t="b">
        <f>IF(H60=0,0,IF(H60&lt;50,"(s)",ROUND(H60/1000,1)))='CT-4'!L120</f>
        <v>1</v>
      </c>
      <c r="AE60" s="86" t="b">
        <f>ROUND(S60/1000,1)='CT-4'!M120</f>
        <v>1</v>
      </c>
      <c r="AF60" s="83" t="b">
        <f>ROUND(G60/1000,1)='CT-4'!O120</f>
        <v>1</v>
      </c>
      <c r="AG60" s="83" t="b">
        <f>ROUND(U60/1000,1)='CT-4'!P120</f>
        <v>1</v>
      </c>
      <c r="AH60">
        <f>ROUND(T60/1000,1)-'CT-4'!T120</f>
        <v>0</v>
      </c>
      <c r="AI60">
        <f>ROUND(K60/1000,1)-'CT-4'!R120</f>
        <v>0</v>
      </c>
      <c r="AJ60">
        <f t="shared" si="0"/>
        <v>0</v>
      </c>
      <c r="AK60">
        <f t="shared" si="1"/>
        <v>0</v>
      </c>
      <c r="AL60">
        <f t="shared" si="2"/>
        <v>0</v>
      </c>
      <c r="AM60">
        <f t="shared" si="3"/>
        <v>1</v>
      </c>
      <c r="AN60">
        <f t="shared" si="4"/>
        <v>256301</v>
      </c>
    </row>
    <row r="61" spans="1:40" x14ac:dyDescent="0.25">
      <c r="A61" s="74" t="s">
        <v>1826</v>
      </c>
      <c r="B61" s="75">
        <v>0</v>
      </c>
      <c r="C61" s="75">
        <v>87</v>
      </c>
      <c r="D61" s="79">
        <v>116772</v>
      </c>
      <c r="E61" s="75">
        <v>116772</v>
      </c>
      <c r="F61" s="79">
        <v>116772</v>
      </c>
      <c r="G61" s="75">
        <v>54567</v>
      </c>
      <c r="H61" s="75">
        <v>0</v>
      </c>
      <c r="I61" s="75">
        <v>4680</v>
      </c>
      <c r="J61" s="75">
        <v>737</v>
      </c>
      <c r="K61" s="75">
        <v>123936</v>
      </c>
      <c r="L61" s="75">
        <v>108528</v>
      </c>
      <c r="M61" s="76"/>
      <c r="N61" s="75">
        <v>122189</v>
      </c>
      <c r="O61" s="75">
        <v>122189</v>
      </c>
      <c r="P61" s="76"/>
      <c r="Q61" s="75">
        <v>19744</v>
      </c>
      <c r="R61" s="93">
        <v>120</v>
      </c>
      <c r="S61" s="75">
        <v>216</v>
      </c>
      <c r="T61" s="75">
        <v>428933</v>
      </c>
      <c r="U61" s="75">
        <v>304996</v>
      </c>
      <c r="V61" s="75">
        <v>19528</v>
      </c>
      <c r="W61" s="83" t="b">
        <f>ROUND(C61/1000,1)='CT-4'!B121</f>
        <v>1</v>
      </c>
      <c r="X61" s="83" t="b">
        <f>ROUND(L61/1000,1)='CT-4'!C121</f>
        <v>1</v>
      </c>
      <c r="Y61" s="83" t="b">
        <f>ROUND(E61/1000,1)='CT-4'!D121</f>
        <v>1</v>
      </c>
      <c r="Z61" s="83" t="b">
        <f>ROUND(I61/1000,1)='CT-4'!F121</f>
        <v>1</v>
      </c>
      <c r="AA61" s="83" t="b">
        <f>ROUND(J61/1000,1)='CT-4'!G121</f>
        <v>1</v>
      </c>
      <c r="AB61" s="83" t="b">
        <f>ROUND(N61/1000,1)='CT-4'!H121</f>
        <v>1</v>
      </c>
      <c r="AC61" s="83" t="b">
        <f>ROUND(V61/1000,1)='CT-4'!J121</f>
        <v>1</v>
      </c>
      <c r="AD61" s="86" t="b">
        <f>IF(H61=0,0,IF(H61&lt;50,"(s)",ROUND(H61/1000,1)))='CT-4'!L121</f>
        <v>1</v>
      </c>
      <c r="AE61" s="86" t="b">
        <f>ROUND(S61/1000,1)='CT-4'!M121</f>
        <v>1</v>
      </c>
      <c r="AF61" s="83" t="b">
        <f>ROUND(G61/1000,1)='CT-4'!O121</f>
        <v>1</v>
      </c>
      <c r="AG61" s="83" t="b">
        <f>ROUND(U61/1000,1)='CT-4'!P121</f>
        <v>1</v>
      </c>
      <c r="AH61">
        <f>ROUND(T61/1000,1)-'CT-4'!T121</f>
        <v>0</v>
      </c>
      <c r="AI61">
        <f>ROUND(K61/1000,1)-'CT-4'!R121</f>
        <v>0</v>
      </c>
      <c r="AJ61">
        <f t="shared" si="0"/>
        <v>1</v>
      </c>
      <c r="AK61">
        <f t="shared" si="1"/>
        <v>0</v>
      </c>
      <c r="AL61">
        <f t="shared" si="2"/>
        <v>0</v>
      </c>
      <c r="AM61">
        <f t="shared" si="3"/>
        <v>-1</v>
      </c>
      <c r="AN61">
        <f t="shared" si="4"/>
        <v>230804</v>
      </c>
    </row>
    <row r="62" spans="1:40" x14ac:dyDescent="0.25">
      <c r="A62" s="74" t="s">
        <v>1827</v>
      </c>
      <c r="B62" s="75">
        <v>0</v>
      </c>
      <c r="C62" s="75">
        <v>98</v>
      </c>
      <c r="D62" s="79">
        <v>106865</v>
      </c>
      <c r="E62" s="75">
        <v>106865</v>
      </c>
      <c r="F62" s="79">
        <v>106865</v>
      </c>
      <c r="G62" s="75">
        <v>55465</v>
      </c>
      <c r="H62" s="75">
        <v>0</v>
      </c>
      <c r="I62" s="75">
        <v>5549</v>
      </c>
      <c r="J62" s="75">
        <v>840</v>
      </c>
      <c r="K62" s="75">
        <v>120762</v>
      </c>
      <c r="L62" s="75">
        <v>117338</v>
      </c>
      <c r="M62" s="76"/>
      <c r="N62" s="75">
        <v>113253</v>
      </c>
      <c r="O62" s="75">
        <v>113253</v>
      </c>
      <c r="P62" s="76"/>
      <c r="Q62" s="75">
        <v>20494</v>
      </c>
      <c r="R62" s="93">
        <v>133</v>
      </c>
      <c r="S62" s="75">
        <v>215</v>
      </c>
      <c r="T62" s="75">
        <v>427277</v>
      </c>
      <c r="U62" s="75">
        <v>306515</v>
      </c>
      <c r="V62" s="75">
        <v>20279</v>
      </c>
      <c r="W62" s="83" t="b">
        <f>ROUND(C62/1000,1)='CT-4'!B122</f>
        <v>1</v>
      </c>
      <c r="X62" s="83" t="b">
        <f>ROUND(L62/1000,1)='CT-4'!C122</f>
        <v>1</v>
      </c>
      <c r="Y62" s="83" t="b">
        <f>ROUND(E62/1000,1)='CT-4'!D122</f>
        <v>1</v>
      </c>
      <c r="Z62" s="83" t="b">
        <f>ROUND(I62/1000,1)='CT-4'!F122</f>
        <v>1</v>
      </c>
      <c r="AA62" s="83" t="b">
        <f>ROUND(J62/1000,1)='CT-4'!G122</f>
        <v>1</v>
      </c>
      <c r="AB62" s="83" t="b">
        <f>ROUND(N62/1000,1)='CT-4'!H122</f>
        <v>1</v>
      </c>
      <c r="AC62" s="83" t="b">
        <f>ROUND(V62/1000,1)='CT-4'!J122</f>
        <v>1</v>
      </c>
      <c r="AD62" s="86" t="b">
        <f>IF(H62=0,0,IF(H62&lt;50,"(s)",ROUND(H62/1000,1)))='CT-4'!L122</f>
        <v>1</v>
      </c>
      <c r="AE62" s="86" t="b">
        <f>ROUND(S62/1000,1)='CT-4'!M122</f>
        <v>1</v>
      </c>
      <c r="AF62" s="83" t="b">
        <f>ROUND(G62/1000,1)='CT-4'!O122</f>
        <v>1</v>
      </c>
      <c r="AG62" s="83" t="b">
        <f>ROUND(U62/1000,1)='CT-4'!P122</f>
        <v>1</v>
      </c>
      <c r="AH62">
        <f>ROUND(T62/1000,1)-'CT-4'!T122</f>
        <v>0</v>
      </c>
      <c r="AI62">
        <f>ROUND(K62/1000,1)-'CT-4'!R122</f>
        <v>0</v>
      </c>
      <c r="AJ62">
        <f t="shared" si="0"/>
        <v>0</v>
      </c>
      <c r="AK62">
        <f t="shared" si="1"/>
        <v>1</v>
      </c>
      <c r="AL62">
        <f t="shared" si="2"/>
        <v>0</v>
      </c>
      <c r="AM62">
        <f t="shared" si="3"/>
        <v>1</v>
      </c>
      <c r="AN62">
        <f t="shared" si="4"/>
        <v>230690</v>
      </c>
    </row>
    <row r="63" spans="1:40" x14ac:dyDescent="0.25">
      <c r="A63" s="74" t="s">
        <v>1828</v>
      </c>
      <c r="B63" s="75">
        <v>0</v>
      </c>
      <c r="C63" s="75">
        <v>79</v>
      </c>
      <c r="D63" s="79">
        <v>106692</v>
      </c>
      <c r="E63" s="75">
        <v>106692</v>
      </c>
      <c r="F63" s="79">
        <v>106692</v>
      </c>
      <c r="G63" s="75">
        <v>55541</v>
      </c>
      <c r="H63" s="75">
        <v>0</v>
      </c>
      <c r="I63" s="75">
        <v>5209</v>
      </c>
      <c r="J63" s="75">
        <v>1075</v>
      </c>
      <c r="K63" s="75">
        <v>117313</v>
      </c>
      <c r="L63" s="75">
        <v>114486</v>
      </c>
      <c r="M63" s="76"/>
      <c r="N63" s="75">
        <v>112975</v>
      </c>
      <c r="O63" s="75">
        <v>112975</v>
      </c>
      <c r="P63" s="76"/>
      <c r="Q63" s="75">
        <v>14741</v>
      </c>
      <c r="R63" s="93">
        <v>42</v>
      </c>
      <c r="S63" s="75">
        <v>212</v>
      </c>
      <c r="T63" s="75">
        <v>415094</v>
      </c>
      <c r="U63" s="75">
        <v>297781</v>
      </c>
      <c r="V63" s="75">
        <v>14529</v>
      </c>
      <c r="W63" s="83" t="b">
        <f>ROUND(C63/1000,1)='CT-4'!B123</f>
        <v>1</v>
      </c>
      <c r="X63" s="83" t="b">
        <f>ROUND(L63/1000,1)='CT-4'!C123</f>
        <v>1</v>
      </c>
      <c r="Y63" s="83" t="b">
        <f>ROUND(E63/1000,1)='CT-4'!D123</f>
        <v>1</v>
      </c>
      <c r="Z63" s="83" t="b">
        <f>ROUND(I63/1000,1)='CT-4'!F123</f>
        <v>1</v>
      </c>
      <c r="AA63" s="83" t="b">
        <f>ROUND(J63/1000,1)='CT-4'!G123</f>
        <v>1</v>
      </c>
      <c r="AB63" s="83" t="b">
        <f>ROUND(N63/1000,1)='CT-4'!H123</f>
        <v>1</v>
      </c>
      <c r="AC63" s="83" t="b">
        <f>ROUND(V63/1000,1)='CT-4'!J123</f>
        <v>1</v>
      </c>
      <c r="AD63" s="86" t="b">
        <f>IF(H63=0,0,IF(H63&lt;50,"(s)",ROUND(H63/1000,1)))='CT-4'!L123</f>
        <v>1</v>
      </c>
      <c r="AE63" s="86" t="b">
        <f>ROUND(S63/1000,1)='CT-4'!M123</f>
        <v>1</v>
      </c>
      <c r="AF63" s="83" t="b">
        <f>ROUND(G63/1000,1)='CT-4'!O123</f>
        <v>1</v>
      </c>
      <c r="AG63" s="83" t="b">
        <f>ROUND(U63/1000,1)='CT-4'!P123</f>
        <v>1</v>
      </c>
      <c r="AH63">
        <f>ROUND(T63/1000,1)-'CT-4'!T123</f>
        <v>0</v>
      </c>
      <c r="AI63">
        <f>ROUND(K63/1000,1)-'CT-4'!R123</f>
        <v>0</v>
      </c>
      <c r="AJ63">
        <f t="shared" si="0"/>
        <v>0</v>
      </c>
      <c r="AK63">
        <f t="shared" si="1"/>
        <v>1</v>
      </c>
      <c r="AL63">
        <f t="shared" si="2"/>
        <v>0</v>
      </c>
      <c r="AM63">
        <f t="shared" si="3"/>
        <v>0</v>
      </c>
      <c r="AN63">
        <f t="shared" si="4"/>
        <v>227541</v>
      </c>
    </row>
    <row r="64" spans="1:40" x14ac:dyDescent="0.25">
      <c r="A64" s="74" t="s">
        <v>1829</v>
      </c>
      <c r="B64" s="75">
        <v>0</v>
      </c>
      <c r="C64" s="75">
        <v>78</v>
      </c>
      <c r="D64" s="79">
        <v>98802</v>
      </c>
      <c r="E64" s="75">
        <v>98802</v>
      </c>
      <c r="F64" s="79">
        <v>98802</v>
      </c>
      <c r="G64" s="75">
        <v>55916</v>
      </c>
      <c r="H64" s="75">
        <v>0</v>
      </c>
      <c r="I64" s="75">
        <v>4769</v>
      </c>
      <c r="J64" s="75">
        <v>1115</v>
      </c>
      <c r="K64" s="75">
        <v>123575</v>
      </c>
      <c r="L64" s="75">
        <v>103617</v>
      </c>
      <c r="M64" s="76"/>
      <c r="N64" s="75">
        <v>104686</v>
      </c>
      <c r="O64" s="75">
        <v>104686</v>
      </c>
      <c r="P64" s="76"/>
      <c r="Q64" s="75">
        <v>13115</v>
      </c>
      <c r="R64" s="93">
        <v>20</v>
      </c>
      <c r="S64" s="75">
        <v>203</v>
      </c>
      <c r="T64" s="75">
        <v>400967</v>
      </c>
      <c r="U64" s="75">
        <v>277392</v>
      </c>
      <c r="V64" s="75">
        <v>12911</v>
      </c>
      <c r="W64" s="83" t="b">
        <f>ROUND(C64/1000,1)='CT-4'!B124</f>
        <v>1</v>
      </c>
      <c r="X64" s="83" t="b">
        <f>ROUND(L64/1000,1)='CT-4'!C124</f>
        <v>1</v>
      </c>
      <c r="Y64" s="83" t="b">
        <f>ROUND(E64/1000,1)='CT-4'!D124</f>
        <v>1</v>
      </c>
      <c r="Z64" s="83" t="b">
        <f>ROUND(I64/1000,1)='CT-4'!F124</f>
        <v>1</v>
      </c>
      <c r="AA64" s="83" t="b">
        <f>ROUND(J64/1000,1)='CT-4'!G124</f>
        <v>1</v>
      </c>
      <c r="AB64" s="83" t="b">
        <f>ROUND(N64/1000,1)='CT-4'!H124</f>
        <v>1</v>
      </c>
      <c r="AC64" s="83" t="b">
        <f>ROUND(V64/1000,1)='CT-4'!J124</f>
        <v>1</v>
      </c>
      <c r="AD64" s="86" t="b">
        <f>IF(H64=0,0,IF(H64&lt;50,"(s)",ROUND(H64/1000,1)))='CT-4'!L124</f>
        <v>1</v>
      </c>
      <c r="AE64" s="86" t="b">
        <f>ROUND(S64/1000,1)='CT-4'!M124</f>
        <v>1</v>
      </c>
      <c r="AF64" s="83" t="b">
        <f>ROUND(G64/1000,1)='CT-4'!O124</f>
        <v>1</v>
      </c>
      <c r="AG64" s="83" t="b">
        <f>ROUND(U64/1000,1)='CT-4'!P124</f>
        <v>1</v>
      </c>
      <c r="AH64">
        <f>ROUND(T64/1000,1)-'CT-4'!T124</f>
        <v>0</v>
      </c>
      <c r="AI64">
        <f>ROUND(K64/1000,1)-'CT-4'!R124</f>
        <v>0</v>
      </c>
      <c r="AJ64">
        <f t="shared" si="0"/>
        <v>0</v>
      </c>
      <c r="AK64">
        <f t="shared" si="1"/>
        <v>0</v>
      </c>
      <c r="AL64">
        <f t="shared" si="2"/>
        <v>1</v>
      </c>
      <c r="AM64">
        <f t="shared" si="3"/>
        <v>-1</v>
      </c>
      <c r="AN64">
        <f t="shared" si="4"/>
        <v>208381</v>
      </c>
    </row>
    <row r="65" spans="1:40" x14ac:dyDescent="0.25">
      <c r="A65" s="74" t="s">
        <v>1830</v>
      </c>
      <c r="B65" s="75">
        <v>0</v>
      </c>
      <c r="C65" s="75">
        <v>122</v>
      </c>
      <c r="D65" s="79">
        <v>103724</v>
      </c>
      <c r="E65" s="75">
        <v>103724</v>
      </c>
      <c r="F65" s="79">
        <v>103724</v>
      </c>
      <c r="G65" s="75">
        <v>59343</v>
      </c>
      <c r="H65" s="75">
        <v>11</v>
      </c>
      <c r="I65" s="75">
        <v>4911</v>
      </c>
      <c r="J65" s="75">
        <v>1013</v>
      </c>
      <c r="K65" s="75">
        <v>130571</v>
      </c>
      <c r="L65" s="75">
        <v>112073</v>
      </c>
      <c r="M65" s="76"/>
      <c r="N65" s="75">
        <v>109648</v>
      </c>
      <c r="O65" s="75">
        <v>109648</v>
      </c>
      <c r="P65" s="76"/>
      <c r="Q65" s="75">
        <v>13454</v>
      </c>
      <c r="R65" s="93">
        <v>44</v>
      </c>
      <c r="S65" s="75">
        <v>192</v>
      </c>
      <c r="T65" s="75">
        <v>425168</v>
      </c>
      <c r="U65" s="75">
        <v>294597</v>
      </c>
      <c r="V65" s="75">
        <v>13251</v>
      </c>
      <c r="W65" s="83" t="b">
        <f>ROUND(C65/1000,1)='CT-4'!B125</f>
        <v>1</v>
      </c>
      <c r="X65" s="83" t="b">
        <f>ROUND(L65/1000,1)='CT-4'!C125</f>
        <v>1</v>
      </c>
      <c r="Y65" s="83" t="b">
        <f>ROUND(E65/1000,1)='CT-4'!D125</f>
        <v>1</v>
      </c>
      <c r="Z65" s="83" t="b">
        <f>ROUND(I65/1000,1)='CT-4'!F125</f>
        <v>1</v>
      </c>
      <c r="AA65" s="83" t="b">
        <f>ROUND(J65/1000,1)='CT-4'!G125</f>
        <v>1</v>
      </c>
      <c r="AB65" s="83" t="b">
        <f>ROUND(N65/1000,1)='CT-4'!H125</f>
        <v>1</v>
      </c>
      <c r="AC65" s="83" t="b">
        <f>ROUND(V65/1000,1)='CT-4'!J125</f>
        <v>1</v>
      </c>
      <c r="AD65" s="86" t="b">
        <f>IF(H65=0,0,IF(H65&lt;50,"(s)",ROUND(H65/1000,1)))='CT-4'!L125</f>
        <v>1</v>
      </c>
      <c r="AE65" s="86" t="b">
        <f>ROUND(S65/1000,1)='CT-4'!M125</f>
        <v>1</v>
      </c>
      <c r="AF65" s="83" t="b">
        <f>ROUND(G65/1000,1)='CT-4'!O125</f>
        <v>1</v>
      </c>
      <c r="AG65" s="83" t="b">
        <f>ROUND(U65/1000,1)='CT-4'!P125</f>
        <v>1</v>
      </c>
      <c r="AH65">
        <f>ROUND(T65/1000,1)-'CT-4'!T125</f>
        <v>0</v>
      </c>
      <c r="AI65">
        <f>ROUND(K65/1000,1)-'CT-4'!R125</f>
        <v>0</v>
      </c>
      <c r="AJ65">
        <f t="shared" si="0"/>
        <v>0</v>
      </c>
      <c r="AK65">
        <f t="shared" si="1"/>
        <v>0</v>
      </c>
      <c r="AL65">
        <f t="shared" si="2"/>
        <v>0</v>
      </c>
      <c r="AM65">
        <f t="shared" si="3"/>
        <v>-1</v>
      </c>
      <c r="AN65">
        <f t="shared" si="4"/>
        <v>221843</v>
      </c>
    </row>
    <row r="66" spans="1:40" x14ac:dyDescent="0.25">
      <c r="A66" s="74" t="s">
        <v>1831</v>
      </c>
      <c r="B66" s="75">
        <v>0</v>
      </c>
      <c r="C66" s="75">
        <v>48</v>
      </c>
      <c r="D66" s="79">
        <v>118967</v>
      </c>
      <c r="E66" s="75">
        <v>118967</v>
      </c>
      <c r="F66" s="79">
        <v>118967</v>
      </c>
      <c r="G66" s="75">
        <v>59923</v>
      </c>
      <c r="H66" s="75">
        <v>11</v>
      </c>
      <c r="I66" s="75">
        <v>6076</v>
      </c>
      <c r="J66" s="75">
        <v>1081</v>
      </c>
      <c r="K66" s="75">
        <v>136494</v>
      </c>
      <c r="L66" s="75">
        <v>119146</v>
      </c>
      <c r="M66" s="76"/>
      <c r="N66" s="75">
        <v>126124</v>
      </c>
      <c r="O66" s="75">
        <v>126124</v>
      </c>
      <c r="P66" s="76"/>
      <c r="Q66" s="75">
        <v>14456</v>
      </c>
      <c r="R66" s="93">
        <v>9</v>
      </c>
      <c r="S66" s="75">
        <v>174</v>
      </c>
      <c r="T66" s="75">
        <v>456181</v>
      </c>
      <c r="U66" s="75">
        <v>319687</v>
      </c>
      <c r="V66" s="75">
        <v>14270</v>
      </c>
      <c r="W66" s="83" t="b">
        <f>ROUND(C66/1000,1)='CT-4'!B126</f>
        <v>0</v>
      </c>
      <c r="X66" s="83" t="b">
        <f>ROUND(L66/1000,1)='CT-4'!C126</f>
        <v>1</v>
      </c>
      <c r="Y66" s="83" t="b">
        <f>ROUND(E66/1000,1)='CT-4'!D126</f>
        <v>1</v>
      </c>
      <c r="Z66" s="83" t="b">
        <f>ROUND(I66/1000,1)='CT-4'!F126</f>
        <v>1</v>
      </c>
      <c r="AA66" s="83" t="b">
        <f>ROUND(J66/1000,1)='CT-4'!G126</f>
        <v>1</v>
      </c>
      <c r="AB66" s="83" t="b">
        <f>ROUND(N66/1000,1)='CT-4'!H126</f>
        <v>1</v>
      </c>
      <c r="AC66" s="83" t="b">
        <f>ROUND(V66/1000,1)='CT-4'!J126</f>
        <v>1</v>
      </c>
      <c r="AD66" s="86" t="b">
        <f>IF(H66=0,0,IF(H66&lt;50,"(s)",ROUND(H66/1000,1)))='CT-4'!L126</f>
        <v>1</v>
      </c>
      <c r="AE66" s="86" t="b">
        <f>ROUND(S66/1000,1)='CT-4'!M126</f>
        <v>1</v>
      </c>
      <c r="AF66" s="83" t="b">
        <f>ROUND(G66/1000,1)='CT-4'!O126</f>
        <v>1</v>
      </c>
      <c r="AG66" s="83" t="b">
        <f>ROUND(U66/1000,1)='CT-4'!P126</f>
        <v>1</v>
      </c>
      <c r="AH66">
        <f>ROUND(T66/1000,1)-'CT-4'!T126</f>
        <v>0</v>
      </c>
      <c r="AI66">
        <f>ROUND(K66/1000,1)-'CT-4'!R126</f>
        <v>0</v>
      </c>
      <c r="AJ66">
        <f t="shared" si="0"/>
        <v>0</v>
      </c>
      <c r="AK66">
        <f t="shared" si="1"/>
        <v>0</v>
      </c>
      <c r="AL66">
        <f t="shared" si="2"/>
        <v>1</v>
      </c>
      <c r="AM66">
        <f t="shared" si="3"/>
        <v>0</v>
      </c>
      <c r="AN66">
        <f t="shared" si="4"/>
        <v>245318</v>
      </c>
    </row>
    <row r="67" spans="1:40" x14ac:dyDescent="0.25">
      <c r="A67" s="74" t="s">
        <v>1832</v>
      </c>
      <c r="B67" s="75">
        <v>0</v>
      </c>
      <c r="C67" s="75">
        <v>45</v>
      </c>
      <c r="D67" s="79">
        <v>129723</v>
      </c>
      <c r="E67" s="75">
        <v>129723</v>
      </c>
      <c r="F67" s="79">
        <v>129723</v>
      </c>
      <c r="G67" s="75">
        <v>61360</v>
      </c>
      <c r="H67" s="75">
        <v>12</v>
      </c>
      <c r="I67" s="75">
        <v>5513</v>
      </c>
      <c r="J67" s="75">
        <v>1116</v>
      </c>
      <c r="K67" s="75">
        <v>133133</v>
      </c>
      <c r="L67" s="75">
        <v>111474</v>
      </c>
      <c r="M67" s="76"/>
      <c r="N67" s="75">
        <v>136353</v>
      </c>
      <c r="O67" s="75">
        <v>136353</v>
      </c>
      <c r="P67" s="76"/>
      <c r="Q67" s="75">
        <v>11663</v>
      </c>
      <c r="R67" s="93">
        <v>5</v>
      </c>
      <c r="S67" s="75">
        <v>155</v>
      </c>
      <c r="T67" s="75">
        <v>454023</v>
      </c>
      <c r="U67" s="75">
        <v>320890</v>
      </c>
      <c r="V67" s="75">
        <v>11496</v>
      </c>
      <c r="W67" s="83" t="b">
        <f>ROUND(C67/1000,1)='CT-4'!B127</f>
        <v>0</v>
      </c>
      <c r="X67" s="83" t="b">
        <f>ROUND(L67/1000,1)='CT-4'!C127</f>
        <v>1</v>
      </c>
      <c r="Y67" s="83" t="b">
        <f>ROUND(E67/1000,1)='CT-4'!D127</f>
        <v>1</v>
      </c>
      <c r="Z67" s="83" t="b">
        <f>ROUND(I67/1000,1)='CT-4'!F127</f>
        <v>1</v>
      </c>
      <c r="AA67" s="83" t="b">
        <f>ROUND(J67/1000,1)='CT-4'!G127</f>
        <v>1</v>
      </c>
      <c r="AB67" s="83" t="b">
        <f>ROUND(N67/1000,1)='CT-4'!H127</f>
        <v>1</v>
      </c>
      <c r="AC67" s="83" t="b">
        <f>ROUND(V67/1000,1)='CT-4'!J127</f>
        <v>1</v>
      </c>
      <c r="AD67" s="86" t="b">
        <f>IF(H67=0,0,IF(H67&lt;50,"(s)",ROUND(H67/1000,1)))='CT-4'!L127</f>
        <v>1</v>
      </c>
      <c r="AE67" s="86" t="b">
        <f>ROUND(S67/1000,1)='CT-4'!M127</f>
        <v>1</v>
      </c>
      <c r="AF67" s="83" t="b">
        <f>ROUND(G67/1000,1)='CT-4'!O127</f>
        <v>1</v>
      </c>
      <c r="AG67" s="83" t="b">
        <f>ROUND(U67/1000,1)='CT-4'!P127</f>
        <v>1</v>
      </c>
      <c r="AH67">
        <f>ROUND(T67/1000,1)-'CT-4'!T127</f>
        <v>0</v>
      </c>
      <c r="AI67">
        <f>ROUND(K67/1000,1)-'CT-4'!R127</f>
        <v>0</v>
      </c>
      <c r="AJ67">
        <f t="shared" si="0"/>
        <v>0</v>
      </c>
      <c r="AK67">
        <f t="shared" si="1"/>
        <v>-1</v>
      </c>
      <c r="AL67">
        <f t="shared" si="2"/>
        <v>0</v>
      </c>
      <c r="AM67">
        <f t="shared" si="3"/>
        <v>-1</v>
      </c>
      <c r="AN67">
        <f t="shared" si="4"/>
        <v>247871</v>
      </c>
    </row>
    <row r="68" spans="1:40" x14ac:dyDescent="0.25">
      <c r="A68" s="74" t="s">
        <v>1833</v>
      </c>
      <c r="B68" s="75">
        <v>0</v>
      </c>
      <c r="C68" s="75">
        <v>260</v>
      </c>
      <c r="D68" s="79">
        <v>128403</v>
      </c>
      <c r="E68" s="75">
        <v>128403</v>
      </c>
      <c r="F68" s="79">
        <v>128403</v>
      </c>
      <c r="G68" s="75">
        <v>63786</v>
      </c>
      <c r="H68" s="75">
        <v>13</v>
      </c>
      <c r="I68" s="75">
        <v>4462</v>
      </c>
      <c r="J68" s="75">
        <v>721</v>
      </c>
      <c r="K68" s="75">
        <v>137530</v>
      </c>
      <c r="L68" s="75">
        <v>113101</v>
      </c>
      <c r="M68" s="76"/>
      <c r="N68" s="75">
        <v>133586</v>
      </c>
      <c r="O68" s="75">
        <v>133586</v>
      </c>
      <c r="P68" s="76"/>
      <c r="Q68" s="75">
        <v>11831</v>
      </c>
      <c r="R68" s="93">
        <v>40</v>
      </c>
      <c r="S68" s="75">
        <v>149</v>
      </c>
      <c r="T68" s="75">
        <v>460055</v>
      </c>
      <c r="U68" s="75">
        <v>322524</v>
      </c>
      <c r="V68" s="75">
        <v>11670</v>
      </c>
      <c r="W68" s="83" t="b">
        <f>ROUND(C68/1000,1)='CT-4'!B128</f>
        <v>1</v>
      </c>
      <c r="X68" s="83" t="b">
        <f>ROUND(L68/1000,1)='CT-4'!C128</f>
        <v>1</v>
      </c>
      <c r="Y68" s="83" t="b">
        <f>ROUND(E68/1000,1)='CT-4'!D128</f>
        <v>1</v>
      </c>
      <c r="Z68" s="83" t="b">
        <f>ROUND(I68/1000,1)='CT-4'!F128</f>
        <v>1</v>
      </c>
      <c r="AA68" s="83" t="b">
        <f>ROUND(J68/1000,1)='CT-4'!G128</f>
        <v>1</v>
      </c>
      <c r="AB68" s="83" t="b">
        <f>ROUND(N68/1000,1)='CT-4'!H128</f>
        <v>1</v>
      </c>
      <c r="AC68" s="83" t="b">
        <f>ROUND(V68/1000,1)='CT-4'!J128</f>
        <v>1</v>
      </c>
      <c r="AD68" s="86" t="b">
        <f>IF(H68=0,0,IF(H68&lt;50,"(s)",ROUND(H68/1000,1)))='CT-4'!L128</f>
        <v>1</v>
      </c>
      <c r="AE68" s="86" t="b">
        <f>ROUND(S68/1000,1)='CT-4'!M128</f>
        <v>1</v>
      </c>
      <c r="AF68" s="83" t="b">
        <f>ROUND(G68/1000,1)='CT-4'!O128</f>
        <v>1</v>
      </c>
      <c r="AG68" s="83" t="b">
        <f>ROUND(U68/1000,1)='CT-4'!P128</f>
        <v>1</v>
      </c>
      <c r="AH68">
        <f>ROUND(T68/1000,1)-'CT-4'!T128</f>
        <v>0</v>
      </c>
      <c r="AI68">
        <f>ROUND(K68/1000,1)-'CT-4'!R128</f>
        <v>0</v>
      </c>
      <c r="AJ68">
        <f t="shared" si="0"/>
        <v>1</v>
      </c>
      <c r="AK68">
        <f t="shared" si="1"/>
        <v>0</v>
      </c>
      <c r="AL68">
        <f t="shared" si="2"/>
        <v>-1</v>
      </c>
      <c r="AM68">
        <f t="shared" si="3"/>
        <v>1</v>
      </c>
      <c r="AN68">
        <f t="shared" si="4"/>
        <v>246947</v>
      </c>
    </row>
    <row r="69" spans="1:40" x14ac:dyDescent="0.25">
      <c r="A69" s="74" t="s">
        <v>1834</v>
      </c>
      <c r="B69" s="75">
        <v>0</v>
      </c>
      <c r="C69" s="75">
        <v>166</v>
      </c>
      <c r="D69" s="79">
        <v>121126</v>
      </c>
      <c r="E69" s="75">
        <v>121126</v>
      </c>
      <c r="F69" s="79">
        <v>121126</v>
      </c>
      <c r="G69" s="75">
        <v>66844</v>
      </c>
      <c r="H69" s="75">
        <v>17</v>
      </c>
      <c r="I69" s="75">
        <v>6313</v>
      </c>
      <c r="J69" s="75">
        <v>1382</v>
      </c>
      <c r="K69" s="75">
        <v>133154</v>
      </c>
      <c r="L69" s="75">
        <v>129420</v>
      </c>
      <c r="M69" s="76"/>
      <c r="N69" s="75">
        <v>128820</v>
      </c>
      <c r="O69" s="75">
        <v>128820</v>
      </c>
      <c r="P69" s="76"/>
      <c r="Q69" s="75">
        <v>12443</v>
      </c>
      <c r="R69" s="93">
        <v>104</v>
      </c>
      <c r="S69" s="75">
        <v>142</v>
      </c>
      <c r="T69" s="75">
        <v>470742</v>
      </c>
      <c r="U69" s="75">
        <v>337589</v>
      </c>
      <c r="V69" s="75">
        <v>12284</v>
      </c>
      <c r="W69" s="83" t="b">
        <f>ROUND(C69/1000,1)='CT-4'!B129</f>
        <v>1</v>
      </c>
      <c r="X69" s="83" t="b">
        <f>ROUND(L69/1000,1)='CT-4'!C129</f>
        <v>1</v>
      </c>
      <c r="Y69" s="83" t="b">
        <f>ROUND(E69/1000,1)='CT-4'!D129</f>
        <v>1</v>
      </c>
      <c r="Z69" s="83" t="b">
        <f>ROUND(I69/1000,1)='CT-4'!F129</f>
        <v>1</v>
      </c>
      <c r="AA69" s="83" t="b">
        <f>ROUND(J69/1000,1)='CT-4'!G129</f>
        <v>1</v>
      </c>
      <c r="AB69" s="83" t="b">
        <f>ROUND(N69/1000,1)='CT-4'!H129</f>
        <v>1</v>
      </c>
      <c r="AC69" s="83" t="b">
        <f>ROUND(V69/1000,1)='CT-4'!J129</f>
        <v>1</v>
      </c>
      <c r="AD69" s="86" t="b">
        <f>IF(H69=0,0,IF(H69&lt;50,"(s)",ROUND(H69/1000,1)))='CT-4'!L129</f>
        <v>1</v>
      </c>
      <c r="AE69" s="86" t="b">
        <f>ROUND(S69/1000,1)='CT-4'!M129</f>
        <v>1</v>
      </c>
      <c r="AF69" s="83" t="b">
        <f>ROUND(G69/1000,1)='CT-4'!O129</f>
        <v>1</v>
      </c>
      <c r="AG69" s="83" t="b">
        <f>ROUND(U69/1000,1)='CT-4'!P129</f>
        <v>1</v>
      </c>
      <c r="AH69">
        <f>ROUND(T69/1000,1)-'CT-4'!T129</f>
        <v>0</v>
      </c>
      <c r="AI69">
        <f>ROUND(K69/1000,1)-'CT-4'!R129</f>
        <v>0</v>
      </c>
      <c r="AJ69">
        <f t="shared" si="0"/>
        <v>-1</v>
      </c>
      <c r="AK69">
        <f t="shared" si="1"/>
        <v>1</v>
      </c>
      <c r="AL69">
        <f t="shared" si="2"/>
        <v>0</v>
      </c>
      <c r="AM69">
        <f t="shared" si="3"/>
        <v>1</v>
      </c>
      <c r="AN69">
        <f t="shared" si="4"/>
        <v>258407</v>
      </c>
    </row>
    <row r="70" spans="1:40" x14ac:dyDescent="0.25">
      <c r="A70" s="74" t="s">
        <v>1835</v>
      </c>
      <c r="B70" s="75">
        <v>0</v>
      </c>
      <c r="C70" s="75">
        <v>86</v>
      </c>
      <c r="D70" s="79">
        <v>112501</v>
      </c>
      <c r="E70" s="75">
        <v>112501</v>
      </c>
      <c r="F70" s="79">
        <v>112501</v>
      </c>
      <c r="G70" s="75">
        <v>67450</v>
      </c>
      <c r="H70" s="75">
        <v>18</v>
      </c>
      <c r="I70" s="75">
        <v>5344</v>
      </c>
      <c r="J70" s="75">
        <v>1584</v>
      </c>
      <c r="K70" s="75">
        <v>134940</v>
      </c>
      <c r="L70" s="75">
        <v>115980</v>
      </c>
      <c r="M70" s="76"/>
      <c r="N70" s="75">
        <v>119429</v>
      </c>
      <c r="O70" s="75">
        <v>119429</v>
      </c>
      <c r="P70" s="76"/>
      <c r="Q70" s="75">
        <v>12773</v>
      </c>
      <c r="R70" s="93">
        <v>25</v>
      </c>
      <c r="S70" s="75">
        <v>164</v>
      </c>
      <c r="T70" s="75">
        <v>450632</v>
      </c>
      <c r="U70" s="75">
        <v>315693</v>
      </c>
      <c r="V70" s="75">
        <v>12591</v>
      </c>
      <c r="W70" s="83" t="b">
        <f>ROUND(C70/1000,1)='CT-4'!B130</f>
        <v>1</v>
      </c>
      <c r="X70" s="83" t="b">
        <f>ROUND(L70/1000,1)='CT-4'!C130</f>
        <v>1</v>
      </c>
      <c r="Y70" s="83" t="b">
        <f>ROUND(E70/1000,1)='CT-4'!D130</f>
        <v>1</v>
      </c>
      <c r="Z70" s="83" t="b">
        <f>ROUND(I70/1000,1)='CT-4'!F130</f>
        <v>1</v>
      </c>
      <c r="AA70" s="83" t="b">
        <f>ROUND(J70/1000,1)='CT-4'!G130</f>
        <v>1</v>
      </c>
      <c r="AB70" s="83" t="b">
        <f>ROUND(N70/1000,1)='CT-4'!H130</f>
        <v>1</v>
      </c>
      <c r="AC70" s="83" t="b">
        <f>ROUND(V70/1000,1)='CT-4'!J130</f>
        <v>1</v>
      </c>
      <c r="AD70" s="86" t="b">
        <f>IF(H70=0,0,IF(H70&lt;50,"(s)",ROUND(H70/1000,1)))='CT-4'!L130</f>
        <v>1</v>
      </c>
      <c r="AE70" s="86" t="b">
        <f>ROUND(S70/1000,1)='CT-4'!M130</f>
        <v>1</v>
      </c>
      <c r="AF70" s="83" t="b">
        <f>ROUND(G70/1000,1)='CT-4'!O130</f>
        <v>1</v>
      </c>
      <c r="AG70" s="83" t="b">
        <f>ROUND(U70/1000,1)='CT-4'!P130</f>
        <v>1</v>
      </c>
      <c r="AH70">
        <f>ROUND(T70/1000,1)-'CT-4'!T130</f>
        <v>0</v>
      </c>
      <c r="AI70">
        <f>ROUND(K70/1000,1)-'CT-4'!R130</f>
        <v>0</v>
      </c>
      <c r="AJ70">
        <f t="shared" si="0"/>
        <v>-1</v>
      </c>
      <c r="AK70">
        <f t="shared" si="1"/>
        <v>0</v>
      </c>
      <c r="AL70">
        <f t="shared" si="2"/>
        <v>0</v>
      </c>
      <c r="AM70">
        <f t="shared" si="3"/>
        <v>0</v>
      </c>
      <c r="AN70">
        <f t="shared" si="4"/>
        <v>235495</v>
      </c>
    </row>
    <row r="71" spans="1:40" x14ac:dyDescent="0.25">
      <c r="A71" s="74" t="s">
        <v>1836</v>
      </c>
      <c r="B71" s="75">
        <v>0</v>
      </c>
      <c r="C71" s="75">
        <v>86</v>
      </c>
      <c r="D71" s="79">
        <v>107197</v>
      </c>
      <c r="E71" s="75">
        <v>107197</v>
      </c>
      <c r="F71" s="79">
        <v>107197</v>
      </c>
      <c r="G71" s="75">
        <v>70080</v>
      </c>
      <c r="H71" s="75">
        <v>21</v>
      </c>
      <c r="I71" s="75">
        <v>6521</v>
      </c>
      <c r="J71" s="75">
        <v>1696</v>
      </c>
      <c r="K71" s="75">
        <v>135832</v>
      </c>
      <c r="L71" s="75">
        <v>120356</v>
      </c>
      <c r="M71" s="76"/>
      <c r="N71" s="75">
        <v>115415</v>
      </c>
      <c r="O71" s="75">
        <v>115415</v>
      </c>
      <c r="P71" s="76"/>
      <c r="Q71" s="75">
        <v>3765</v>
      </c>
      <c r="R71" s="93">
        <v>15</v>
      </c>
      <c r="S71" s="75">
        <v>167</v>
      </c>
      <c r="T71" s="75">
        <v>445520</v>
      </c>
      <c r="U71" s="75">
        <v>309688</v>
      </c>
      <c r="V71" s="75">
        <v>3578</v>
      </c>
      <c r="W71" s="83" t="b">
        <f>ROUND(C71/1000,1)='CT-4'!B131</f>
        <v>1</v>
      </c>
      <c r="X71" s="83" t="b">
        <f>ROUND(L71/1000,1)='CT-4'!C131</f>
        <v>1</v>
      </c>
      <c r="Y71" s="83" t="b">
        <f>ROUND(E71/1000,1)='CT-4'!D131</f>
        <v>1</v>
      </c>
      <c r="Z71" s="83" t="b">
        <f>ROUND(I71/1000,1)='CT-4'!F131</f>
        <v>1</v>
      </c>
      <c r="AA71" s="83" t="b">
        <f>ROUND(J71/1000,1)='CT-4'!G131</f>
        <v>1</v>
      </c>
      <c r="AB71" s="83" t="b">
        <f>ROUND(N71/1000,1)='CT-4'!H131</f>
        <v>1</v>
      </c>
      <c r="AC71" s="83" t="b">
        <f>ROUND(V71/1000,1)='CT-4'!J131</f>
        <v>1</v>
      </c>
      <c r="AD71" s="86" t="b">
        <f>IF(H71=0,0,IF(H71&lt;50,"(s)",ROUND(H71/1000,1)))='CT-4'!L131</f>
        <v>1</v>
      </c>
      <c r="AE71" s="86" t="b">
        <f>ROUND(S71/1000,1)='CT-4'!M131</f>
        <v>1</v>
      </c>
      <c r="AF71" s="83" t="b">
        <f>ROUND(G71/1000,1)='CT-4'!O131</f>
        <v>1</v>
      </c>
      <c r="AG71" s="83" t="b">
        <f>ROUND(U71/1000,1)='CT-4'!P131</f>
        <v>1</v>
      </c>
      <c r="AH71">
        <f>ROUND(T71/1000,1)-'CT-4'!T131</f>
        <v>0</v>
      </c>
      <c r="AI71">
        <f>ROUND(K71/1000,1)-'CT-4'!R131</f>
        <v>0</v>
      </c>
      <c r="AJ71">
        <f t="shared" si="0"/>
        <v>0</v>
      </c>
      <c r="AK71">
        <f t="shared" si="1"/>
        <v>-1</v>
      </c>
      <c r="AL71">
        <f t="shared" si="2"/>
        <v>-1</v>
      </c>
      <c r="AM71">
        <f t="shared" si="3"/>
        <v>-1</v>
      </c>
      <c r="AN71">
        <f t="shared" si="4"/>
        <v>235856</v>
      </c>
    </row>
    <row r="72" spans="1:40" x14ac:dyDescent="0.25">
      <c r="A72" s="74" t="s">
        <v>1837</v>
      </c>
      <c r="B72" s="75">
        <v>0</v>
      </c>
      <c r="C72" s="75">
        <v>36</v>
      </c>
      <c r="D72" s="79">
        <v>90789</v>
      </c>
      <c r="E72" s="75">
        <v>90789</v>
      </c>
      <c r="F72" s="79">
        <v>90789</v>
      </c>
      <c r="G72" s="75">
        <v>66959</v>
      </c>
      <c r="H72" s="75">
        <v>24</v>
      </c>
      <c r="I72" s="75">
        <v>6665</v>
      </c>
      <c r="J72" s="75">
        <v>1350</v>
      </c>
      <c r="K72" s="75">
        <v>130279</v>
      </c>
      <c r="L72" s="75">
        <v>104894</v>
      </c>
      <c r="M72" s="76"/>
      <c r="N72" s="75">
        <v>98805</v>
      </c>
      <c r="O72" s="75">
        <v>98805</v>
      </c>
      <c r="P72" s="76"/>
      <c r="Q72" s="75">
        <v>3380</v>
      </c>
      <c r="R72" s="93">
        <v>15</v>
      </c>
      <c r="S72" s="75">
        <v>183</v>
      </c>
      <c r="T72" s="75">
        <v>404337</v>
      </c>
      <c r="U72" s="75">
        <v>274058</v>
      </c>
      <c r="V72" s="75">
        <v>3173</v>
      </c>
      <c r="W72" s="83" t="b">
        <f>ROUND(C72/1000,1)='CT-4'!B132</f>
        <v>0</v>
      </c>
      <c r="X72" s="83" t="b">
        <f>ROUND(L72/1000,1)='CT-4'!C132</f>
        <v>1</v>
      </c>
      <c r="Y72" s="83" t="b">
        <f>ROUND(E72/1000,1)='CT-4'!D132</f>
        <v>1</v>
      </c>
      <c r="Z72" s="83" t="b">
        <f>ROUND(I72/1000,1)='CT-4'!F132</f>
        <v>1</v>
      </c>
      <c r="AA72" s="83" t="b">
        <f>ROUND(J72/1000,1)='CT-4'!G132</f>
        <v>1</v>
      </c>
      <c r="AB72" s="83" t="b">
        <f>ROUND(N72/1000,1)='CT-4'!H132</f>
        <v>1</v>
      </c>
      <c r="AC72" s="83" t="b">
        <f>ROUND(V72/1000,1)='CT-4'!J132</f>
        <v>1</v>
      </c>
      <c r="AD72" s="86" t="b">
        <f>IF(H72=0,0,IF(H72&lt;50,"(s)",ROUND(H72/1000,1)))='CT-4'!L132</f>
        <v>1</v>
      </c>
      <c r="AE72" s="86" t="b">
        <f>ROUND(S72/1000,1)='CT-4'!M132</f>
        <v>1</v>
      </c>
      <c r="AF72" s="83" t="b">
        <f>ROUND(G72/1000,1)='CT-4'!O132</f>
        <v>1</v>
      </c>
      <c r="AG72" s="83" t="b">
        <f>ROUND(U72/1000,1)='CT-4'!P132</f>
        <v>1</v>
      </c>
      <c r="AH72">
        <f>ROUND(T72/1000,1)-'CT-4'!T132</f>
        <v>0</v>
      </c>
      <c r="AI72">
        <f>ROUND(K72/1000,1)-'CT-4'!R132</f>
        <v>0</v>
      </c>
      <c r="AJ72">
        <f t="shared" si="0"/>
        <v>0</v>
      </c>
      <c r="AK72">
        <f t="shared" si="1"/>
        <v>-1</v>
      </c>
      <c r="AL72">
        <f t="shared" si="2"/>
        <v>0</v>
      </c>
      <c r="AM72">
        <f t="shared" si="3"/>
        <v>0</v>
      </c>
      <c r="AN72">
        <f t="shared" si="4"/>
        <v>203734</v>
      </c>
    </row>
    <row r="73" spans="1:40" x14ac:dyDescent="0.25">
      <c r="A73" s="74" t="s">
        <v>1838</v>
      </c>
      <c r="B73" s="75">
        <v>0</v>
      </c>
      <c r="C73" s="75">
        <v>58</v>
      </c>
      <c r="D73" s="79">
        <v>91860</v>
      </c>
      <c r="E73" s="75">
        <v>91860</v>
      </c>
      <c r="F73" s="79">
        <v>91860</v>
      </c>
      <c r="G73" s="75">
        <v>68709</v>
      </c>
      <c r="H73" s="75">
        <v>30</v>
      </c>
      <c r="I73" s="75">
        <v>6891</v>
      </c>
      <c r="J73" s="75">
        <v>916</v>
      </c>
      <c r="K73" s="75">
        <v>131219</v>
      </c>
      <c r="L73" s="75">
        <v>116997</v>
      </c>
      <c r="M73" s="76"/>
      <c r="N73" s="75">
        <v>99667</v>
      </c>
      <c r="O73" s="75">
        <v>99667</v>
      </c>
      <c r="P73" s="76"/>
      <c r="Q73" s="75">
        <v>3749</v>
      </c>
      <c r="R73" s="93">
        <v>4</v>
      </c>
      <c r="S73" s="75">
        <v>212</v>
      </c>
      <c r="T73" s="75">
        <v>420395</v>
      </c>
      <c r="U73" s="75">
        <v>289176</v>
      </c>
      <c r="V73" s="75">
        <v>3507</v>
      </c>
      <c r="W73" s="83" t="b">
        <f>ROUND(C73/1000,1)='CT-4'!B133</f>
        <v>1</v>
      </c>
      <c r="X73" s="83" t="b">
        <f>ROUND(L73/1000,1)='CT-4'!C133</f>
        <v>1</v>
      </c>
      <c r="Y73" s="83" t="b">
        <f>ROUND(E73/1000,1)='CT-4'!D133</f>
        <v>1</v>
      </c>
      <c r="Z73" s="83" t="b">
        <f>ROUND(I73/1000,1)='CT-4'!F133</f>
        <v>1</v>
      </c>
      <c r="AA73" s="83" t="b">
        <f>ROUND(J73/1000,1)='CT-4'!G133</f>
        <v>1</v>
      </c>
      <c r="AB73" s="83" t="b">
        <f>ROUND(N73/1000,1)='CT-4'!H133</f>
        <v>1</v>
      </c>
      <c r="AC73" s="83" t="b">
        <f>ROUND(V73/1000,1)='CT-4'!J133</f>
        <v>1</v>
      </c>
      <c r="AD73" s="86" t="b">
        <f>IF(H73=0,0,IF(H73&lt;50,"(s)",ROUND(H73/1000,1)))='CT-4'!L133</f>
        <v>1</v>
      </c>
      <c r="AE73" s="86" t="b">
        <f>ROUND(S73/1000,1)='CT-4'!M133</f>
        <v>1</v>
      </c>
      <c r="AF73" s="83" t="b">
        <f>ROUND(G73/1000,1)='CT-4'!O133</f>
        <v>1</v>
      </c>
      <c r="AG73" s="83" t="b">
        <f>ROUND(U73/1000,1)='CT-4'!P133</f>
        <v>1</v>
      </c>
      <c r="AH73">
        <f>ROUND(T73/1000,1)-'CT-4'!T133</f>
        <v>0</v>
      </c>
      <c r="AI73">
        <f>ROUND(K73/1000,1)-'CT-4'!R133</f>
        <v>0</v>
      </c>
      <c r="AJ73">
        <f t="shared" si="0"/>
        <v>0</v>
      </c>
      <c r="AK73">
        <f t="shared" si="1"/>
        <v>0</v>
      </c>
      <c r="AL73">
        <f t="shared" si="2"/>
        <v>0</v>
      </c>
      <c r="AM73">
        <f t="shared" si="3"/>
        <v>0</v>
      </c>
      <c r="AN73">
        <f t="shared" si="4"/>
        <v>216722</v>
      </c>
    </row>
    <row r="74" spans="1:40" x14ac:dyDescent="0.25">
      <c r="A74" s="74" t="s">
        <v>1839</v>
      </c>
      <c r="B74" s="75">
        <v>0</v>
      </c>
      <c r="C74" s="75">
        <v>0</v>
      </c>
      <c r="D74" s="79">
        <v>91281</v>
      </c>
      <c r="E74" s="75">
        <v>91281</v>
      </c>
      <c r="F74" s="79">
        <v>91281</v>
      </c>
      <c r="G74" s="75">
        <v>67007</v>
      </c>
      <c r="H74" s="75">
        <v>35</v>
      </c>
      <c r="I74" s="75">
        <v>7375</v>
      </c>
      <c r="J74" s="75">
        <v>356</v>
      </c>
      <c r="K74" s="75">
        <v>121637</v>
      </c>
      <c r="L74" s="75">
        <v>134537</v>
      </c>
      <c r="M74" s="76"/>
      <c r="N74" s="75">
        <v>99011</v>
      </c>
      <c r="O74" s="75">
        <v>99011</v>
      </c>
      <c r="P74" s="76"/>
      <c r="Q74" s="75">
        <v>4204</v>
      </c>
      <c r="R74" s="93">
        <v>4</v>
      </c>
      <c r="S74" s="75">
        <v>244</v>
      </c>
      <c r="T74" s="75">
        <v>426391</v>
      </c>
      <c r="U74" s="75">
        <v>304754</v>
      </c>
      <c r="V74" s="75">
        <v>3924</v>
      </c>
      <c r="W74" s="83" t="b">
        <f>ROUND(C74/1000,1)='CT-4'!B134</f>
        <v>1</v>
      </c>
      <c r="X74" s="83" t="b">
        <f>ROUND(L74/1000,1)='CT-4'!C134</f>
        <v>1</v>
      </c>
      <c r="Y74" s="83" t="b">
        <f>ROUND(E74/1000,1)='CT-4'!D134</f>
        <v>1</v>
      </c>
      <c r="Z74" s="83" t="b">
        <f>ROUND(I74/1000,1)='CT-4'!F134</f>
        <v>1</v>
      </c>
      <c r="AA74" s="83" t="b">
        <f>ROUND(J74/1000,1)='CT-4'!G134</f>
        <v>1</v>
      </c>
      <c r="AB74" s="83" t="b">
        <f>ROUND(N74/1000,1)='CT-4'!H134</f>
        <v>1</v>
      </c>
      <c r="AC74" s="83" t="b">
        <f>ROUND(V74/1000,1)='CT-4'!J134</f>
        <v>1</v>
      </c>
      <c r="AD74" s="86" t="b">
        <f>IF(H74=0,0,IF(H74&lt;50,"(s)",ROUND(H74/1000,1)))='CT-4'!L134</f>
        <v>1</v>
      </c>
      <c r="AE74" s="86" t="b">
        <f>ROUND(S74/1000,1)='CT-4'!M134</f>
        <v>1</v>
      </c>
      <c r="AF74" s="83" t="b">
        <f>ROUND(G74/1000,1)='CT-4'!O134</f>
        <v>1</v>
      </c>
      <c r="AG74" s="83" t="b">
        <f>ROUND(U74/1000,1)='CT-4'!P134</f>
        <v>1</v>
      </c>
      <c r="AH74">
        <f>ROUND(T74/1000,1)-'CT-4'!T134</f>
        <v>0</v>
      </c>
      <c r="AI74">
        <f>ROUND(K74/1000,1)-'CT-4'!R134</f>
        <v>0</v>
      </c>
      <c r="AJ74">
        <f t="shared" si="0"/>
        <v>0</v>
      </c>
      <c r="AK74">
        <f t="shared" si="1"/>
        <v>1</v>
      </c>
      <c r="AL74">
        <f t="shared" si="2"/>
        <v>1</v>
      </c>
      <c r="AM74">
        <f t="shared" si="3"/>
        <v>1</v>
      </c>
      <c r="AN74">
        <f t="shared" si="4"/>
        <v>233549</v>
      </c>
    </row>
    <row r="75" spans="1:40" x14ac:dyDescent="0.25">
      <c r="A75" s="74" t="s">
        <v>1840</v>
      </c>
      <c r="B75" s="75">
        <v>0</v>
      </c>
      <c r="C75" s="75">
        <v>0</v>
      </c>
      <c r="D75" s="79">
        <v>82474</v>
      </c>
      <c r="E75" s="75">
        <v>82474</v>
      </c>
      <c r="F75" s="79">
        <v>82474</v>
      </c>
      <c r="G75" s="75">
        <v>66447</v>
      </c>
      <c r="H75" s="75">
        <v>44</v>
      </c>
      <c r="I75" s="75">
        <v>6893</v>
      </c>
      <c r="J75" s="75">
        <v>563</v>
      </c>
      <c r="K75" s="75">
        <v>115243</v>
      </c>
      <c r="L75" s="75">
        <v>136952</v>
      </c>
      <c r="M75" s="76"/>
      <c r="N75" s="75">
        <v>89930</v>
      </c>
      <c r="O75" s="75">
        <v>89930</v>
      </c>
      <c r="P75" s="76"/>
      <c r="Q75" s="75">
        <v>10522</v>
      </c>
      <c r="R75" s="93">
        <v>3</v>
      </c>
      <c r="S75" s="75">
        <v>274</v>
      </c>
      <c r="T75" s="75">
        <v>419092</v>
      </c>
      <c r="U75" s="75">
        <v>303848</v>
      </c>
      <c r="V75" s="75">
        <v>10204</v>
      </c>
      <c r="W75" s="83" t="b">
        <f>ROUND(C75/1000,1)='CT-4'!B135</f>
        <v>1</v>
      </c>
      <c r="X75" s="83" t="b">
        <f>ROUND(L75/1000,1)='CT-4'!C135</f>
        <v>1</v>
      </c>
      <c r="Y75" s="83" t="b">
        <f>ROUND(E75/1000,1)='CT-4'!D135</f>
        <v>1</v>
      </c>
      <c r="Z75" s="83" t="b">
        <f>ROUND(I75/1000,1)='CT-4'!F135</f>
        <v>1</v>
      </c>
      <c r="AA75" s="83" t="b">
        <f>ROUND(J75/1000,1)='CT-4'!G135</f>
        <v>1</v>
      </c>
      <c r="AB75" s="83" t="b">
        <f>ROUND(N75/1000,1)='CT-4'!H135</f>
        <v>1</v>
      </c>
      <c r="AC75" s="83" t="b">
        <f>ROUND(V75/1000,1)='CT-4'!J135</f>
        <v>1</v>
      </c>
      <c r="AD75" s="86" t="b">
        <f>IF(H75=0,0,IF(H75&lt;50,"(s)",ROUND(H75/1000,1)))='CT-4'!L135</f>
        <v>1</v>
      </c>
      <c r="AE75" s="86" t="b">
        <f>ROUND(S75/1000,1)='CT-4'!M135</f>
        <v>1</v>
      </c>
      <c r="AF75" s="83" t="b">
        <f>ROUND(G75/1000,1)='CT-4'!O135</f>
        <v>1</v>
      </c>
      <c r="AG75" s="83" t="b">
        <f>ROUND(U75/1000,1)='CT-4'!P135</f>
        <v>1</v>
      </c>
      <c r="AH75">
        <f>ROUND(T75/1000,1)-'CT-4'!T135</f>
        <v>0</v>
      </c>
      <c r="AI75">
        <f>ROUND(K75/1000,1)-'CT-4'!R135</f>
        <v>0</v>
      </c>
      <c r="AJ75">
        <f t="shared" si="0"/>
        <v>1</v>
      </c>
      <c r="AK75">
        <f t="shared" si="1"/>
        <v>0</v>
      </c>
      <c r="AL75">
        <f t="shared" si="2"/>
        <v>0</v>
      </c>
      <c r="AM75">
        <f t="shared" si="3"/>
        <v>0</v>
      </c>
      <c r="AN75">
        <f t="shared" si="4"/>
        <v>226882</v>
      </c>
    </row>
    <row r="76" spans="1:40" x14ac:dyDescent="0.25">
      <c r="A76" s="74" t="s">
        <v>1841</v>
      </c>
      <c r="B76" s="75">
        <v>0</v>
      </c>
      <c r="C76" s="75">
        <v>0</v>
      </c>
      <c r="D76" s="79">
        <v>84276</v>
      </c>
      <c r="E76" s="75">
        <v>84276</v>
      </c>
      <c r="F76" s="79">
        <v>84276</v>
      </c>
      <c r="G76" s="75">
        <v>73048</v>
      </c>
      <c r="H76" s="75">
        <v>50</v>
      </c>
      <c r="I76" s="75">
        <v>6470</v>
      </c>
      <c r="J76" s="75">
        <v>569</v>
      </c>
      <c r="K76" s="75">
        <v>126029</v>
      </c>
      <c r="L76" s="75">
        <v>129812</v>
      </c>
      <c r="M76" s="76"/>
      <c r="N76" s="75">
        <v>91315</v>
      </c>
      <c r="O76" s="75">
        <v>91315</v>
      </c>
      <c r="P76" s="75">
        <v>6470</v>
      </c>
      <c r="Q76" s="75">
        <v>11283</v>
      </c>
      <c r="R76" s="93">
        <v>0</v>
      </c>
      <c r="S76" s="75">
        <v>288</v>
      </c>
      <c r="T76" s="75">
        <v>431487</v>
      </c>
      <c r="U76" s="75">
        <v>305458</v>
      </c>
      <c r="V76" s="75">
        <v>10944</v>
      </c>
      <c r="W76" s="83" t="b">
        <f>ROUND(C76/1000,1)='CT-4'!B136</f>
        <v>1</v>
      </c>
      <c r="X76" s="83" t="b">
        <f>ROUND(L76/1000,1)='CT-4'!C136</f>
        <v>1</v>
      </c>
      <c r="Y76" s="83" t="b">
        <f>ROUND(E76/1000,1)='CT-4'!D136</f>
        <v>1</v>
      </c>
      <c r="Z76" s="83" t="b">
        <f>ROUND(I76/1000,1)='CT-4'!F136</f>
        <v>1</v>
      </c>
      <c r="AA76" s="83" t="b">
        <f>ROUND(J76/1000,1)='CT-4'!G136</f>
        <v>1</v>
      </c>
      <c r="AB76" s="83" t="b">
        <f>ROUND(N76/1000,1)='CT-4'!H136</f>
        <v>1</v>
      </c>
      <c r="AC76" s="83" t="b">
        <f>ROUND(V76/1000,1)='CT-4'!J136</f>
        <v>1</v>
      </c>
      <c r="AD76" s="86" t="b">
        <f>IF(H76=0,0,IF(H76&lt;50,"(s)",ROUND(H76/1000,1)))='CT-4'!L136</f>
        <v>1</v>
      </c>
      <c r="AE76" s="86" t="b">
        <f>ROUND(S76/1000,1)='CT-4'!M136</f>
        <v>1</v>
      </c>
      <c r="AF76" s="83" t="b">
        <f>ROUND(G76/1000,1)='CT-4'!O136</f>
        <v>1</v>
      </c>
      <c r="AG76" s="83" t="b">
        <f>ROUND(U76/1000,1)='CT-4'!P136</f>
        <v>1</v>
      </c>
      <c r="AH76">
        <f>ROUND(T76/1000,1)-'CT-4'!T136</f>
        <v>0</v>
      </c>
      <c r="AI76">
        <f>ROUND(K76/1000,1)-'CT-4'!R136</f>
        <v>0</v>
      </c>
      <c r="AJ76">
        <f t="shared" si="0"/>
        <v>0</v>
      </c>
      <c r="AK76">
        <f t="shared" si="1"/>
        <v>0</v>
      </c>
      <c r="AL76">
        <f t="shared" si="2"/>
        <v>1</v>
      </c>
      <c r="AM76">
        <f t="shared" si="3"/>
        <v>-1</v>
      </c>
      <c r="AN76">
        <f t="shared" si="4"/>
        <v>221127</v>
      </c>
    </row>
    <row r="77" spans="1:40" x14ac:dyDescent="0.25">
      <c r="A77" s="74" t="s">
        <v>1842</v>
      </c>
      <c r="B77" s="75">
        <v>0</v>
      </c>
      <c r="C77" s="75">
        <v>0</v>
      </c>
      <c r="D77" s="79">
        <v>81990</v>
      </c>
      <c r="E77" s="75">
        <v>81990</v>
      </c>
      <c r="F77" s="79">
        <v>81990</v>
      </c>
      <c r="G77" s="75">
        <v>69852</v>
      </c>
      <c r="H77" s="75">
        <v>49</v>
      </c>
      <c r="I77" s="75">
        <v>7641</v>
      </c>
      <c r="J77" s="75">
        <v>349</v>
      </c>
      <c r="K77" s="75">
        <v>113556</v>
      </c>
      <c r="L77" s="75">
        <v>132932</v>
      </c>
      <c r="M77" s="76"/>
      <c r="N77" s="75">
        <v>89980</v>
      </c>
      <c r="O77" s="75">
        <v>89980</v>
      </c>
      <c r="P77" s="75">
        <v>7641</v>
      </c>
      <c r="Q77" s="75">
        <v>10981</v>
      </c>
      <c r="R77" s="93">
        <v>0</v>
      </c>
      <c r="S77" s="75">
        <v>317</v>
      </c>
      <c r="T77" s="75">
        <v>417301</v>
      </c>
      <c r="U77" s="75">
        <v>303745</v>
      </c>
      <c r="V77" s="75">
        <v>10615</v>
      </c>
      <c r="W77" s="83" t="b">
        <f>ROUND(C77/1000,1)='CT-4'!B137</f>
        <v>1</v>
      </c>
      <c r="X77" s="83" t="b">
        <f>ROUND(L77/1000,1)='CT-4'!C137</f>
        <v>1</v>
      </c>
      <c r="Y77" s="83" t="b">
        <f>ROUND(E77/1000,1)='CT-4'!D137</f>
        <v>1</v>
      </c>
      <c r="Z77" s="83" t="b">
        <f>ROUND(I77/1000,1)='CT-4'!F137</f>
        <v>1</v>
      </c>
      <c r="AA77" s="83" t="b">
        <f>ROUND(J77/1000,1)='CT-4'!G137</f>
        <v>1</v>
      </c>
      <c r="AB77" s="83" t="b">
        <f>ROUND(N77/1000,1)='CT-4'!H137</f>
        <v>1</v>
      </c>
      <c r="AC77" s="83" t="b">
        <f>ROUND(V77/1000,1)='CT-4'!J137</f>
        <v>1</v>
      </c>
      <c r="AD77" s="86" t="b">
        <f>IF(H77=0,0,IF(H77&lt;50,"(s)",ROUND(H77/1000,1)))='CT-4'!L137</f>
        <v>1</v>
      </c>
      <c r="AE77" s="86" t="b">
        <f>ROUND(S77/1000,1)='CT-4'!M137</f>
        <v>1</v>
      </c>
      <c r="AF77" s="83" t="b">
        <f>ROUND(G77/1000,1)='CT-4'!O137</f>
        <v>1</v>
      </c>
      <c r="AG77" s="83" t="b">
        <f>ROUND(U77/1000,1)='CT-4'!P137</f>
        <v>1</v>
      </c>
      <c r="AH77">
        <f>ROUND(T77/1000,1)-'CT-4'!T137</f>
        <v>0</v>
      </c>
      <c r="AI77">
        <f>ROUND(K77/1000,1)-'CT-4'!R137</f>
        <v>0</v>
      </c>
      <c r="AJ77">
        <f t="shared" si="0"/>
        <v>0</v>
      </c>
      <c r="AK77">
        <f t="shared" si="1"/>
        <v>0</v>
      </c>
      <c r="AL77">
        <f t="shared" si="2"/>
        <v>0</v>
      </c>
      <c r="AM77">
        <f t="shared" si="3"/>
        <v>0</v>
      </c>
      <c r="AN77">
        <f t="shared" si="4"/>
        <v>222912</v>
      </c>
    </row>
    <row r="78" spans="1:40" x14ac:dyDescent="0.25">
      <c r="A78" s="74" t="s">
        <v>1843</v>
      </c>
      <c r="B78" s="75">
        <v>0</v>
      </c>
      <c r="C78" s="75">
        <v>0</v>
      </c>
      <c r="D78" s="79">
        <v>68752</v>
      </c>
      <c r="E78" s="75">
        <v>68752</v>
      </c>
      <c r="F78" s="79">
        <v>68752</v>
      </c>
      <c r="G78" s="75">
        <v>69310</v>
      </c>
      <c r="H78" s="75">
        <v>52</v>
      </c>
      <c r="I78" s="75">
        <v>5978</v>
      </c>
      <c r="J78" s="75">
        <v>165</v>
      </c>
      <c r="K78" s="75">
        <v>123083</v>
      </c>
      <c r="L78" s="75">
        <v>119220</v>
      </c>
      <c r="M78" s="76"/>
      <c r="N78" s="75">
        <v>74895</v>
      </c>
      <c r="O78" s="75">
        <v>74895</v>
      </c>
      <c r="P78" s="75">
        <v>5978</v>
      </c>
      <c r="Q78" s="75">
        <v>9301</v>
      </c>
      <c r="R78" s="93">
        <v>0</v>
      </c>
      <c r="S78" s="75">
        <v>378</v>
      </c>
      <c r="T78" s="75">
        <v>395808</v>
      </c>
      <c r="U78" s="75">
        <v>272725</v>
      </c>
      <c r="V78" s="75">
        <v>8870</v>
      </c>
      <c r="W78" s="83" t="b">
        <f>ROUND(C78/1000,1)='CT-4'!B138</f>
        <v>1</v>
      </c>
      <c r="X78" s="83" t="b">
        <f>ROUND(L78/1000,1)='CT-4'!C138</f>
        <v>1</v>
      </c>
      <c r="Y78" s="83" t="b">
        <f>ROUND(E78/1000,1)='CT-4'!D138</f>
        <v>1</v>
      </c>
      <c r="Z78" s="83" t="b">
        <f>ROUND(I78/1000,1)='CT-4'!F138</f>
        <v>1</v>
      </c>
      <c r="AA78" s="83" t="b">
        <f>ROUND(J78/1000,1)='CT-4'!G138</f>
        <v>1</v>
      </c>
      <c r="AB78" s="83" t="b">
        <f>ROUND(N78/1000,1)='CT-4'!H138</f>
        <v>1</v>
      </c>
      <c r="AC78" s="83" t="b">
        <f>ROUND(V78/1000,1)='CT-4'!J138</f>
        <v>1</v>
      </c>
      <c r="AD78" s="86" t="b">
        <f>IF(H78=0,0,IF(H78&lt;50,"(s)",ROUND(H78/1000,1)))='CT-4'!L138</f>
        <v>1</v>
      </c>
      <c r="AE78" s="86" t="b">
        <f>ROUND(S78/1000,1)='CT-4'!M138</f>
        <v>1</v>
      </c>
      <c r="AF78" s="83" t="b">
        <f>ROUND(G78/1000,1)='CT-4'!O138</f>
        <v>1</v>
      </c>
      <c r="AG78" s="83" t="b">
        <f>ROUND(U78/1000,1)='CT-4'!P138</f>
        <v>1</v>
      </c>
      <c r="AH78">
        <f>ROUND(T78/1000,1)-'CT-4'!T138</f>
        <v>0</v>
      </c>
      <c r="AI78">
        <f>ROUND(K78/1000,1)-'CT-4'!R138</f>
        <v>0</v>
      </c>
      <c r="AJ78">
        <f t="shared" si="0"/>
        <v>0</v>
      </c>
      <c r="AK78">
        <f t="shared" si="1"/>
        <v>0</v>
      </c>
      <c r="AL78">
        <f t="shared" si="2"/>
        <v>1</v>
      </c>
      <c r="AM78">
        <f t="shared" si="3"/>
        <v>0</v>
      </c>
      <c r="AN78">
        <f t="shared" si="4"/>
        <v>194115</v>
      </c>
    </row>
    <row r="79" spans="1:40" x14ac:dyDescent="0.25">
      <c r="A79" s="74" t="s">
        <v>1844</v>
      </c>
      <c r="B79" s="75">
        <v>0</v>
      </c>
      <c r="C79" s="75">
        <v>0</v>
      </c>
      <c r="D79" s="79">
        <v>74228</v>
      </c>
      <c r="E79" s="75">
        <v>74228</v>
      </c>
      <c r="F79" s="79">
        <v>74228</v>
      </c>
      <c r="G79" s="75">
        <v>70723</v>
      </c>
      <c r="H79" s="75">
        <v>52</v>
      </c>
      <c r="I79" s="75">
        <v>7160</v>
      </c>
      <c r="J79" s="75">
        <v>170</v>
      </c>
      <c r="K79" s="75">
        <v>126963</v>
      </c>
      <c r="L79" s="75">
        <v>120685</v>
      </c>
      <c r="M79" s="76"/>
      <c r="N79" s="75">
        <v>81558</v>
      </c>
      <c r="O79" s="75">
        <v>81558</v>
      </c>
      <c r="P79" s="75">
        <v>7160</v>
      </c>
      <c r="Q79" s="75">
        <v>12111</v>
      </c>
      <c r="R79" s="93">
        <v>1</v>
      </c>
      <c r="S79" s="75">
        <v>485</v>
      </c>
      <c r="T79" s="75">
        <v>412039</v>
      </c>
      <c r="U79" s="75">
        <v>285076</v>
      </c>
      <c r="V79" s="75">
        <v>11575</v>
      </c>
      <c r="W79" s="83" t="b">
        <f>ROUND(C79/1000,1)='CT-4'!B139</f>
        <v>1</v>
      </c>
      <c r="X79" s="83" t="b">
        <f>ROUND(L79/1000,1)='CT-4'!C139</f>
        <v>1</v>
      </c>
      <c r="Y79" s="84">
        <f>ROUND(E79/1000,1)-'CT-4'!D139</f>
        <v>0.10000000000000853</v>
      </c>
      <c r="Z79" s="83" t="b">
        <f>ROUND(I79/1000,1)='CT-4'!F139</f>
        <v>1</v>
      </c>
      <c r="AA79" s="83" t="b">
        <f>ROUND(J79/1000,1)='CT-4'!G139</f>
        <v>1</v>
      </c>
      <c r="AB79" s="84">
        <f>ROUND(N79/1000,1)-'CT-4'!H139</f>
        <v>0.19999999999998863</v>
      </c>
      <c r="AC79" s="83" t="b">
        <f>ROUND(V79/1000,1)='CT-4'!J139</f>
        <v>1</v>
      </c>
      <c r="AD79" s="86" t="b">
        <f>IF(H79=0,0,IF(H79&lt;50,"(s)",ROUND(H79/1000,1)))='CT-4'!L139</f>
        <v>1</v>
      </c>
      <c r="AE79" s="86" t="b">
        <f>ROUND(S79/1000,1)='CT-4'!M139</f>
        <v>1</v>
      </c>
      <c r="AF79" s="83" t="b">
        <f>ROUND(G79/1000,1)='CT-4'!O139</f>
        <v>1</v>
      </c>
      <c r="AG79" s="84">
        <f>ROUND(U79/1000,1)-'CT-4'!P139</f>
        <v>0.20000000000004547</v>
      </c>
      <c r="AH79" s="84">
        <f>ROUND(T79/1000,1)-'CT-4'!T139</f>
        <v>0.10000000000002274</v>
      </c>
      <c r="AI79">
        <f>ROUND(K79/1000,1)-'CT-4'!R139</f>
        <v>0</v>
      </c>
      <c r="AJ79">
        <f t="shared" si="0"/>
        <v>0</v>
      </c>
      <c r="AK79">
        <f t="shared" si="1"/>
        <v>0</v>
      </c>
      <c r="AL79">
        <f t="shared" si="2"/>
        <v>-1</v>
      </c>
      <c r="AM79">
        <f t="shared" si="3"/>
        <v>1</v>
      </c>
      <c r="AN79">
        <f t="shared" si="4"/>
        <v>202243</v>
      </c>
    </row>
    <row r="80" spans="1:40" x14ac:dyDescent="0.25">
      <c r="A80" s="74" t="s">
        <v>1845</v>
      </c>
      <c r="B80" s="75">
        <v>0</v>
      </c>
      <c r="C80" s="75">
        <v>0</v>
      </c>
      <c r="D80" s="79">
        <v>84196</v>
      </c>
      <c r="E80" s="75">
        <v>84196</v>
      </c>
      <c r="F80" s="79">
        <v>84196</v>
      </c>
      <c r="G80" s="75">
        <v>68483</v>
      </c>
      <c r="H80" s="75">
        <v>52</v>
      </c>
      <c r="I80" s="75">
        <v>8130</v>
      </c>
      <c r="J80" s="75">
        <v>297</v>
      </c>
      <c r="K80" s="75">
        <v>123530</v>
      </c>
      <c r="L80" s="75">
        <v>129937</v>
      </c>
      <c r="M80" s="76"/>
      <c r="N80" s="75">
        <v>92623</v>
      </c>
      <c r="O80" s="75">
        <v>92623</v>
      </c>
      <c r="P80" s="75">
        <v>8130</v>
      </c>
      <c r="Q80" s="75">
        <v>12493</v>
      </c>
      <c r="R80" s="93">
        <v>34</v>
      </c>
      <c r="S80" s="75">
        <v>727</v>
      </c>
      <c r="T80" s="75">
        <v>427032</v>
      </c>
      <c r="U80" s="75">
        <v>303502</v>
      </c>
      <c r="V80" s="75">
        <v>11714</v>
      </c>
      <c r="W80" s="83" t="b">
        <f>ROUND(C80/1000,1)='CT-4'!B140</f>
        <v>1</v>
      </c>
      <c r="X80" s="83" t="b">
        <f>ROUND(L80/1000,1)='CT-4'!C140</f>
        <v>1</v>
      </c>
      <c r="Y80" s="84">
        <f>ROUND(E80/1000,1)-'CT-4'!D140</f>
        <v>0.10000000000000853</v>
      </c>
      <c r="Z80" s="83" t="b">
        <f>ROUND(I80/1000,1)='CT-4'!F140</f>
        <v>1</v>
      </c>
      <c r="AA80" s="83" t="b">
        <f>ROUND(J80/1000,1)='CT-4'!G140</f>
        <v>1</v>
      </c>
      <c r="AB80" s="84">
        <f>ROUND(N80/1000,1)-'CT-4'!H140</f>
        <v>9.9999999999994316E-2</v>
      </c>
      <c r="AC80" s="83" t="b">
        <f>ROUND(V80/1000,1)='CT-4'!J140</f>
        <v>1</v>
      </c>
      <c r="AD80" s="86" t="b">
        <f>IF(H80=0,0,IF(H80&lt;50,"(s)",ROUND(H80/1000,1)))='CT-4'!L140</f>
        <v>1</v>
      </c>
      <c r="AE80" s="86" t="b">
        <f>ROUND(S80/1000,1)='CT-4'!M140</f>
        <v>1</v>
      </c>
      <c r="AF80" s="83" t="b">
        <f>ROUND(G80/1000,1)='CT-4'!O140</f>
        <v>1</v>
      </c>
      <c r="AG80" s="84">
        <f>ROUND(U80/1000,1)-'CT-4'!P140</f>
        <v>0.10000000000002274</v>
      </c>
      <c r="AH80" s="84">
        <f>ROUND(T80/1000,1)-'CT-4'!T140</f>
        <v>0.10000000000002274</v>
      </c>
      <c r="AI80">
        <f>ROUND(K80/1000,1)-'CT-4'!R140</f>
        <v>0</v>
      </c>
      <c r="AJ80">
        <f t="shared" si="0"/>
        <v>0</v>
      </c>
      <c r="AK80">
        <f t="shared" si="1"/>
        <v>0</v>
      </c>
      <c r="AL80">
        <f t="shared" si="2"/>
        <v>0</v>
      </c>
      <c r="AM80">
        <f t="shared" si="3"/>
        <v>0</v>
      </c>
      <c r="AN80">
        <f t="shared" si="4"/>
        <v>222560</v>
      </c>
    </row>
    <row r="81" spans="1:40" x14ac:dyDescent="0.25">
      <c r="A81" s="74" t="s">
        <v>1846</v>
      </c>
      <c r="B81" s="75">
        <v>0</v>
      </c>
      <c r="C81" s="75">
        <v>0</v>
      </c>
      <c r="D81" s="79">
        <v>83506</v>
      </c>
      <c r="E81" s="75">
        <v>83506</v>
      </c>
      <c r="F81" s="79">
        <v>83506</v>
      </c>
      <c r="G81" s="75">
        <v>68838</v>
      </c>
      <c r="H81" s="75">
        <v>52</v>
      </c>
      <c r="I81" s="75">
        <v>7602</v>
      </c>
      <c r="J81" s="75">
        <v>251</v>
      </c>
      <c r="K81" s="75">
        <v>122763</v>
      </c>
      <c r="L81" s="75">
        <v>130373</v>
      </c>
      <c r="M81" s="76"/>
      <c r="N81" s="75">
        <v>91359</v>
      </c>
      <c r="O81" s="75">
        <v>91359</v>
      </c>
      <c r="P81" s="75">
        <v>7602</v>
      </c>
      <c r="Q81" s="75">
        <v>11588</v>
      </c>
      <c r="R81" s="93">
        <v>27</v>
      </c>
      <c r="S81" s="75">
        <v>1015</v>
      </c>
      <c r="T81" s="75">
        <v>424894</v>
      </c>
      <c r="U81" s="75">
        <v>302131</v>
      </c>
      <c r="V81" s="75">
        <v>10521</v>
      </c>
      <c r="W81" s="83" t="b">
        <f>ROUND(C81/1000,1)='CT-4'!B141</f>
        <v>1</v>
      </c>
      <c r="X81" s="83" t="b">
        <f>ROUND(L81/1000,1)='CT-4'!C141</f>
        <v>1</v>
      </c>
      <c r="Y81" s="84">
        <f>ROUND(E81/1000,1)-'CT-4'!D141</f>
        <v>0.20000000000000284</v>
      </c>
      <c r="Z81" s="83" t="b">
        <f>ROUND(I81/1000,1)='CT-4'!F141</f>
        <v>1</v>
      </c>
      <c r="AA81" s="83" t="b">
        <f>ROUND(J81/1000,1)='CT-4'!G141</f>
        <v>1</v>
      </c>
      <c r="AB81" s="84">
        <f>ROUND(N81/1000,1)-'CT-4'!H141</f>
        <v>0.20000000000000284</v>
      </c>
      <c r="AC81" s="83" t="b">
        <f>ROUND(V81/1000,1)='CT-4'!J141</f>
        <v>1</v>
      </c>
      <c r="AD81" s="86" t="b">
        <f>IF(H81=0,0,IF(H81&lt;50,"(s)",ROUND(H81/1000,1)))='CT-4'!L141</f>
        <v>1</v>
      </c>
      <c r="AE81" s="86" t="b">
        <f>ROUND(S81/1000,1)='CT-4'!M141</f>
        <v>1</v>
      </c>
      <c r="AF81" s="83" t="b">
        <f>ROUND(G81/1000,1)='CT-4'!O141</f>
        <v>1</v>
      </c>
      <c r="AG81" s="84">
        <f>ROUND(U81/1000,1)-'CT-4'!P141</f>
        <v>0.10000000000002274</v>
      </c>
      <c r="AH81" s="84">
        <f>ROUND(T81/1000,1)-'CT-4'!T141</f>
        <v>0.19999999999998863</v>
      </c>
      <c r="AI81">
        <f>ROUND(K81/1000,1)-'CT-4'!R141</f>
        <v>0</v>
      </c>
      <c r="AJ81">
        <f t="shared" si="0"/>
        <v>0</v>
      </c>
      <c r="AK81">
        <f t="shared" si="1"/>
        <v>0</v>
      </c>
      <c r="AL81">
        <f t="shared" si="2"/>
        <v>0</v>
      </c>
      <c r="AM81">
        <f t="shared" si="3"/>
        <v>0</v>
      </c>
      <c r="AN81">
        <f t="shared" si="4"/>
        <v>221732</v>
      </c>
    </row>
    <row r="82" spans="1:40" x14ac:dyDescent="0.25">
      <c r="A82" s="74" t="s">
        <v>1847</v>
      </c>
      <c r="B82" s="75">
        <v>0</v>
      </c>
      <c r="C82" s="75">
        <v>0</v>
      </c>
      <c r="D82" s="79">
        <v>64838</v>
      </c>
      <c r="E82" s="75">
        <v>64838</v>
      </c>
      <c r="F82" s="79">
        <v>64838</v>
      </c>
      <c r="G82" s="75">
        <v>67192</v>
      </c>
      <c r="H82" s="75">
        <v>52</v>
      </c>
      <c r="I82" s="75">
        <v>7551</v>
      </c>
      <c r="J82" s="75">
        <v>296</v>
      </c>
      <c r="K82" s="75">
        <v>117517</v>
      </c>
      <c r="L82" s="75">
        <v>115469</v>
      </c>
      <c r="M82" s="76"/>
      <c r="N82" s="75">
        <v>72685</v>
      </c>
      <c r="O82" s="75">
        <v>72685</v>
      </c>
      <c r="P82" s="75">
        <v>7551</v>
      </c>
      <c r="Q82" s="75">
        <v>10156</v>
      </c>
      <c r="R82" s="93">
        <v>16</v>
      </c>
      <c r="S82" s="75">
        <v>1709</v>
      </c>
      <c r="T82" s="75">
        <v>383003</v>
      </c>
      <c r="U82" s="75">
        <v>265486</v>
      </c>
      <c r="V82" s="75">
        <v>8395</v>
      </c>
      <c r="W82" s="83" t="b">
        <f>ROUND(C82/1000,1)='CT-4'!B142</f>
        <v>1</v>
      </c>
      <c r="X82" s="83" t="b">
        <f>ROUND(L82/1000,1)='CT-4'!C142</f>
        <v>1</v>
      </c>
      <c r="Y82" s="84">
        <f>ROUND(E82/1000,1)-'CT-4'!D142</f>
        <v>9.9999999999994316E-2</v>
      </c>
      <c r="Z82" s="83" t="b">
        <f>ROUND(I82/1000,1)='CT-4'!F142</f>
        <v>1</v>
      </c>
      <c r="AA82" s="83" t="b">
        <f>ROUND(J82/1000,1)='CT-4'!G142</f>
        <v>1</v>
      </c>
      <c r="AB82" s="84">
        <f>ROUND(N82/1000,1)-'CT-4'!H142</f>
        <v>0.20000000000000284</v>
      </c>
      <c r="AC82" s="83" t="b">
        <f>ROUND(V82/1000,1)='CT-4'!J142</f>
        <v>1</v>
      </c>
      <c r="AD82" s="86" t="b">
        <f>IF(H82=0,0,IF(H82&lt;50,"(s)",ROUND(H82/1000,1)))='CT-4'!L142</f>
        <v>1</v>
      </c>
      <c r="AE82" s="86" t="b">
        <f>ROUND(S82/1000,1)='CT-4'!M142</f>
        <v>1</v>
      </c>
      <c r="AF82" s="83" t="b">
        <f>ROUND(G82/1000,1)='CT-4'!O142</f>
        <v>1</v>
      </c>
      <c r="AG82" s="84">
        <f>ROUND(U82/1000,1)-'CT-4'!P142</f>
        <v>0.19999999999998863</v>
      </c>
      <c r="AH82" s="84">
        <f>ROUND(T82/1000,1)-'CT-4'!T142</f>
        <v>0.19999999999998863</v>
      </c>
      <c r="AI82">
        <f>ROUND(K82/1000,1)-'CT-4'!R142</f>
        <v>0</v>
      </c>
      <c r="AJ82">
        <f t="shared" si="0"/>
        <v>0</v>
      </c>
      <c r="AK82">
        <f t="shared" si="1"/>
        <v>0</v>
      </c>
      <c r="AL82">
        <f t="shared" si="2"/>
        <v>0</v>
      </c>
      <c r="AM82">
        <f t="shared" si="3"/>
        <v>0</v>
      </c>
      <c r="AN82">
        <f t="shared" si="4"/>
        <v>188154</v>
      </c>
    </row>
    <row r="83" spans="1:40" x14ac:dyDescent="0.25">
      <c r="A83" s="74" t="s">
        <v>1848</v>
      </c>
      <c r="B83" s="75">
        <v>0</v>
      </c>
      <c r="C83" s="75">
        <v>0</v>
      </c>
      <c r="D83" s="79">
        <v>70875</v>
      </c>
      <c r="E83" s="75">
        <v>70875</v>
      </c>
      <c r="F83" s="79">
        <v>70875</v>
      </c>
      <c r="G83" s="75">
        <v>65981</v>
      </c>
      <c r="H83" s="75">
        <v>52</v>
      </c>
      <c r="I83" s="75">
        <v>8136</v>
      </c>
      <c r="J83" s="75">
        <v>206</v>
      </c>
      <c r="K83" s="75">
        <v>112827</v>
      </c>
      <c r="L83" s="75">
        <v>124802</v>
      </c>
      <c r="M83" s="76"/>
      <c r="N83" s="75">
        <v>79218</v>
      </c>
      <c r="O83" s="75">
        <v>79218</v>
      </c>
      <c r="P83" s="75">
        <v>8136</v>
      </c>
      <c r="Q83" s="75">
        <v>10530</v>
      </c>
      <c r="R83" s="93">
        <v>16</v>
      </c>
      <c r="S83" s="75">
        <v>2170</v>
      </c>
      <c r="T83" s="75">
        <v>393342</v>
      </c>
      <c r="U83" s="75">
        <v>280515</v>
      </c>
      <c r="V83" s="75">
        <v>8309</v>
      </c>
      <c r="W83" s="83" t="b">
        <f>ROUND(C83/1000,1)='CT-4'!B143</f>
        <v>1</v>
      </c>
      <c r="X83" s="83" t="b">
        <f>ROUND(L83/1000,1)='CT-4'!C143</f>
        <v>1</v>
      </c>
      <c r="Y83" s="84">
        <f>ROUND(E83/1000,1)-'CT-4'!D143</f>
        <v>0.20000000000000284</v>
      </c>
      <c r="Z83" s="83" t="b">
        <f>ROUND(I83/1000,1)='CT-4'!F143</f>
        <v>1</v>
      </c>
      <c r="AA83" s="83" t="b">
        <f>ROUND(J83/1000,1)='CT-4'!G143</f>
        <v>1</v>
      </c>
      <c r="AB83" s="84">
        <f>ROUND(N83/1000,1)-'CT-4'!H143</f>
        <v>0.20000000000000284</v>
      </c>
      <c r="AC83" s="83" t="b">
        <f>ROUND(V83/1000,1)='CT-4'!J143</f>
        <v>1</v>
      </c>
      <c r="AD83" s="86" t="b">
        <f>IF(H83=0,0,IF(H83&lt;50,"(s)",ROUND(H83/1000,1)))='CT-4'!L143</f>
        <v>1</v>
      </c>
      <c r="AE83" s="86" t="b">
        <f>ROUND(S83/1000,1)='CT-4'!M143</f>
        <v>1</v>
      </c>
      <c r="AF83" s="83" t="b">
        <f>ROUND(G83/1000,1)='CT-4'!O143</f>
        <v>1</v>
      </c>
      <c r="AG83" s="84">
        <f>ROUND(U83/1000,1)-'CT-4'!P143</f>
        <v>0.19999999999998863</v>
      </c>
      <c r="AH83" s="84">
        <f>ROUND(T83/1000,1)-'CT-4'!T143</f>
        <v>0.10000000000002274</v>
      </c>
      <c r="AI83">
        <f>ROUND(K83/1000,1)-'CT-4'!R143</f>
        <v>0</v>
      </c>
      <c r="AJ83">
        <f t="shared" si="0"/>
        <v>0</v>
      </c>
      <c r="AK83">
        <f t="shared" si="1"/>
        <v>-1</v>
      </c>
      <c r="AL83">
        <f t="shared" si="2"/>
        <v>-1</v>
      </c>
      <c r="AM83">
        <f t="shared" si="3"/>
        <v>0</v>
      </c>
      <c r="AN83">
        <f t="shared" si="4"/>
        <v>204019</v>
      </c>
    </row>
    <row r="84" spans="1:40" x14ac:dyDescent="0.25">
      <c r="A84" s="74" t="s">
        <v>1849</v>
      </c>
      <c r="B84" s="75">
        <v>0</v>
      </c>
      <c r="C84" s="75">
        <v>0</v>
      </c>
      <c r="D84" s="79">
        <v>76857</v>
      </c>
      <c r="E84" s="75">
        <v>76857</v>
      </c>
      <c r="F84" s="79">
        <v>76857</v>
      </c>
      <c r="G84" s="75">
        <v>69211</v>
      </c>
      <c r="H84" s="75">
        <v>52</v>
      </c>
      <c r="I84" s="75">
        <v>8643</v>
      </c>
      <c r="J84" s="75">
        <v>200</v>
      </c>
      <c r="K84" s="75">
        <v>113726</v>
      </c>
      <c r="L84" s="75">
        <v>134282</v>
      </c>
      <c r="M84" s="76"/>
      <c r="N84" s="75">
        <v>85699</v>
      </c>
      <c r="O84" s="75">
        <v>85699</v>
      </c>
      <c r="P84" s="75">
        <v>8643</v>
      </c>
      <c r="Q84" s="75">
        <v>11123</v>
      </c>
      <c r="R84" s="93">
        <v>24</v>
      </c>
      <c r="S84" s="75">
        <v>2776</v>
      </c>
      <c r="T84" s="75">
        <v>414017</v>
      </c>
      <c r="U84" s="75">
        <v>300291</v>
      </c>
      <c r="V84" s="75">
        <v>8295</v>
      </c>
      <c r="W84" s="83" t="b">
        <f>ROUND(C84/1000,1)='CT-4'!B144</f>
        <v>1</v>
      </c>
      <c r="X84" s="83" t="b">
        <f>ROUND(L84/1000,1)='CT-4'!C144</f>
        <v>1</v>
      </c>
      <c r="Y84" s="84">
        <f>ROUND(E84/1000,1)-'CT-4'!D144</f>
        <v>0.20000000000000284</v>
      </c>
      <c r="Z84" s="83" t="b">
        <f>ROUND(I84/1000,1)='CT-4'!F144</f>
        <v>1</v>
      </c>
      <c r="AA84" s="83" t="b">
        <f>ROUND(J84/1000,1)='CT-4'!G144</f>
        <v>1</v>
      </c>
      <c r="AB84" s="84">
        <f>ROUND(N84/1000,1)-'CT-4'!H144</f>
        <v>0.20000000000000284</v>
      </c>
      <c r="AC84" s="83" t="b">
        <f>ROUND(V84/1000,1)='CT-4'!J144</f>
        <v>1</v>
      </c>
      <c r="AD84" s="86" t="b">
        <f>IF(H84=0,0,IF(H84&lt;50,"(s)",ROUND(H84/1000,1)))='CT-4'!L144</f>
        <v>1</v>
      </c>
      <c r="AE84" s="86" t="b">
        <f>ROUND(S84/1000,1)='CT-4'!M144</f>
        <v>1</v>
      </c>
      <c r="AF84" s="83" t="b">
        <f>ROUND(G84/1000,1)='CT-4'!O144</f>
        <v>1</v>
      </c>
      <c r="AG84" s="84">
        <f>ROUND(U84/1000,1)-'CT-4'!P144</f>
        <v>0.19999999999998863</v>
      </c>
      <c r="AH84" s="84">
        <f>ROUND(T84/1000,1)-'CT-4'!T144</f>
        <v>0.19999999999998863</v>
      </c>
      <c r="AI84">
        <f>ROUND(K84/1000,1)-'CT-4'!R144</f>
        <v>0</v>
      </c>
      <c r="AJ84">
        <f t="shared" si="0"/>
        <v>0</v>
      </c>
      <c r="AK84">
        <f t="shared" si="1"/>
        <v>1</v>
      </c>
      <c r="AL84">
        <f t="shared" si="2"/>
        <v>0</v>
      </c>
      <c r="AM84">
        <f t="shared" si="3"/>
        <v>1</v>
      </c>
      <c r="AN84">
        <f t="shared" si="4"/>
        <v>219982</v>
      </c>
    </row>
    <row r="85" spans="1:40" x14ac:dyDescent="0.25">
      <c r="A85" s="74" t="s">
        <v>1850</v>
      </c>
      <c r="B85" s="75">
        <v>0</v>
      </c>
      <c r="C85" s="75">
        <v>0</v>
      </c>
      <c r="D85" s="79">
        <v>75951</v>
      </c>
      <c r="E85" s="75">
        <v>75951</v>
      </c>
      <c r="F85" s="79">
        <v>75951</v>
      </c>
      <c r="G85" s="75">
        <v>65901</v>
      </c>
      <c r="H85" s="75">
        <v>52</v>
      </c>
      <c r="I85" s="75">
        <v>10349</v>
      </c>
      <c r="J85" s="75">
        <v>241</v>
      </c>
      <c r="K85" s="75">
        <v>109097</v>
      </c>
      <c r="L85" s="75">
        <v>139345</v>
      </c>
      <c r="M85" s="76"/>
      <c r="N85" s="75">
        <v>86541</v>
      </c>
      <c r="O85" s="75">
        <v>86541</v>
      </c>
      <c r="P85" s="75">
        <v>10349</v>
      </c>
      <c r="Q85" s="75">
        <v>13106</v>
      </c>
      <c r="R85" s="93">
        <v>12</v>
      </c>
      <c r="S85" s="75">
        <v>2893</v>
      </c>
      <c r="T85" s="75">
        <v>413978</v>
      </c>
      <c r="U85" s="75">
        <v>304881</v>
      </c>
      <c r="V85" s="75">
        <v>10161</v>
      </c>
      <c r="W85" s="83" t="b">
        <f>ROUND(C85/1000,1)='CT-4'!B145</f>
        <v>1</v>
      </c>
      <c r="X85" s="83" t="b">
        <f>ROUND(L85/1000,1)='CT-4'!C145</f>
        <v>1</v>
      </c>
      <c r="Y85" s="84">
        <f>ROUND(E85/1000,1)-'CT-4'!D145</f>
        <v>0.20000000000000284</v>
      </c>
      <c r="Z85" s="83" t="b">
        <f>ROUND(I85/1000,1)='CT-4'!F145</f>
        <v>1</v>
      </c>
      <c r="AA85" s="83" t="b">
        <f>ROUND(J85/1000,1)='CT-4'!G145</f>
        <v>1</v>
      </c>
      <c r="AB85" s="84">
        <f>ROUND(N85/1000,1)-'CT-4'!H145</f>
        <v>9.9999999999994316E-2</v>
      </c>
      <c r="AC85" s="83" t="b">
        <f>ROUND(V85/1000,1)='CT-4'!J145</f>
        <v>1</v>
      </c>
      <c r="AD85" s="86" t="b">
        <f>IF(H85=0,0,IF(H85&lt;50,"(s)",ROUND(H85/1000,1)))='CT-4'!L145</f>
        <v>1</v>
      </c>
      <c r="AE85" s="86" t="b">
        <f>ROUND(S85/1000,1)='CT-4'!M145</f>
        <v>1</v>
      </c>
      <c r="AF85" s="83" t="b">
        <f>ROUND(G85/1000,1)='CT-4'!O145</f>
        <v>1</v>
      </c>
      <c r="AG85" s="84">
        <f>ROUND(U85/1000,1)-'CT-4'!P145</f>
        <v>0.19999999999998863</v>
      </c>
      <c r="AH85" s="84">
        <f>ROUND(T85/1000,1)-'CT-4'!T145</f>
        <v>0.19999999999998863</v>
      </c>
      <c r="AI85">
        <f>ROUND(K85/1000,1)-'CT-4'!R145</f>
        <v>0</v>
      </c>
      <c r="AJ85">
        <f t="shared" si="0"/>
        <v>0</v>
      </c>
      <c r="AK85">
        <f t="shared" si="1"/>
        <v>0</v>
      </c>
      <c r="AL85">
        <f t="shared" si="2"/>
        <v>0</v>
      </c>
      <c r="AM85">
        <f t="shared" si="3"/>
        <v>0</v>
      </c>
      <c r="AN85">
        <f t="shared" si="4"/>
        <v>225886</v>
      </c>
    </row>
    <row r="86" spans="1:40" x14ac:dyDescent="0.25">
      <c r="A86" s="74" t="s">
        <v>1851</v>
      </c>
      <c r="B86" s="75">
        <v>0</v>
      </c>
      <c r="C86" s="75">
        <v>0</v>
      </c>
      <c r="D86" s="79">
        <v>68186</v>
      </c>
      <c r="E86" s="75">
        <v>68186</v>
      </c>
      <c r="F86" s="79">
        <v>68186</v>
      </c>
      <c r="G86" s="75">
        <v>69418</v>
      </c>
      <c r="H86" s="75">
        <v>52</v>
      </c>
      <c r="I86" s="75">
        <v>8637</v>
      </c>
      <c r="J86" s="75">
        <v>277</v>
      </c>
      <c r="K86" s="75">
        <v>105463</v>
      </c>
      <c r="L86" s="75">
        <v>123914</v>
      </c>
      <c r="M86" s="76"/>
      <c r="N86" s="75">
        <v>77100</v>
      </c>
      <c r="O86" s="75">
        <v>77100</v>
      </c>
      <c r="P86" s="75">
        <v>8637</v>
      </c>
      <c r="Q86" s="75">
        <v>9285</v>
      </c>
      <c r="R86" s="93">
        <v>3</v>
      </c>
      <c r="S86" s="75">
        <v>3196</v>
      </c>
      <c r="T86" s="75">
        <v>385176</v>
      </c>
      <c r="U86" s="75">
        <v>279714</v>
      </c>
      <c r="V86" s="75">
        <v>6037</v>
      </c>
      <c r="W86" s="83" t="b">
        <f>ROUND(C86/1000,1)='CT-4'!B146</f>
        <v>1</v>
      </c>
      <c r="X86" s="83" t="b">
        <f>ROUND(L86/1000,1)='CT-4'!C146</f>
        <v>1</v>
      </c>
      <c r="Y86" s="84">
        <f>ROUND(E86/1000,1)-'CT-4'!D146</f>
        <v>0.20000000000000284</v>
      </c>
      <c r="Z86" s="83" t="b">
        <f>ROUND(I86/1000,1)='CT-4'!F146</f>
        <v>1</v>
      </c>
      <c r="AA86" s="83" t="b">
        <f>ROUND(J86/1000,1)='CT-4'!G146</f>
        <v>1</v>
      </c>
      <c r="AB86" s="84">
        <f>ROUND(N86/1000,1)-'CT-4'!H146</f>
        <v>0.19999999999998863</v>
      </c>
      <c r="AC86" s="83" t="b">
        <f>ROUND(V86/1000,1)='CT-4'!J146</f>
        <v>1</v>
      </c>
      <c r="AD86" s="86" t="b">
        <f>IF(H86=0,0,IF(H86&lt;50,"(s)",ROUND(H86/1000,1)))='CT-4'!L146</f>
        <v>1</v>
      </c>
      <c r="AE86" s="86" t="b">
        <f>ROUND(S86/1000,1)='CT-4'!M146</f>
        <v>1</v>
      </c>
      <c r="AF86" s="83" t="b">
        <f>ROUND(G86/1000,1)='CT-4'!O146</f>
        <v>1</v>
      </c>
      <c r="AG86" s="84">
        <f>ROUND(U86/1000,1)-'CT-4'!P146</f>
        <v>0.19999999999998863</v>
      </c>
      <c r="AH86" s="84">
        <f>ROUND(T86/1000,1)-'CT-4'!T146</f>
        <v>0.19999999999998863</v>
      </c>
      <c r="AI86">
        <f>ROUND(K86/1000,1)-'CT-4'!R146</f>
        <v>0</v>
      </c>
      <c r="AJ86">
        <f t="shared" si="0"/>
        <v>-1</v>
      </c>
      <c r="AK86">
        <f t="shared" si="1"/>
        <v>0</v>
      </c>
      <c r="AL86">
        <f t="shared" si="2"/>
        <v>0</v>
      </c>
      <c r="AM86">
        <f t="shared" si="3"/>
        <v>0</v>
      </c>
      <c r="AN86">
        <f t="shared" si="4"/>
        <v>201014</v>
      </c>
    </row>
    <row r="87" spans="1:40" x14ac:dyDescent="0.25">
      <c r="A87" s="74" t="s">
        <v>1852</v>
      </c>
      <c r="B87" s="75">
        <v>0</v>
      </c>
      <c r="C87" s="75">
        <v>0</v>
      </c>
      <c r="D87" s="79">
        <v>71735</v>
      </c>
      <c r="E87" s="75">
        <v>71735</v>
      </c>
      <c r="F87" s="79">
        <v>71735</v>
      </c>
      <c r="G87" s="75">
        <v>69282</v>
      </c>
      <c r="H87" s="75">
        <v>52</v>
      </c>
      <c r="I87" s="75">
        <v>8084</v>
      </c>
      <c r="J87" s="75">
        <v>213</v>
      </c>
      <c r="K87" s="75">
        <v>106757</v>
      </c>
      <c r="L87" s="75">
        <v>126511</v>
      </c>
      <c r="M87" s="75">
        <v>0</v>
      </c>
      <c r="N87" s="75">
        <v>80032</v>
      </c>
      <c r="O87" s="75">
        <v>80032</v>
      </c>
      <c r="P87" s="75">
        <v>8084</v>
      </c>
      <c r="Q87" s="75">
        <v>9958</v>
      </c>
      <c r="R87" s="93">
        <v>5</v>
      </c>
      <c r="S87" s="75">
        <v>3285</v>
      </c>
      <c r="T87" s="75">
        <v>392535</v>
      </c>
      <c r="U87" s="75">
        <v>285778</v>
      </c>
      <c r="V87" s="75">
        <v>6621</v>
      </c>
      <c r="W87" s="83" t="b">
        <f>ROUND(C87/1000,1)='CT-4'!B147</f>
        <v>1</v>
      </c>
      <c r="X87" s="83" t="b">
        <f>ROUND(L87/1000,1)='CT-4'!C147</f>
        <v>1</v>
      </c>
      <c r="Y87" s="83" t="b">
        <f>ROUND(E87/1000,1)='CT-4'!D147</f>
        <v>1</v>
      </c>
      <c r="Z87" s="83" t="b">
        <f>ROUND(I87/1000,1)='CT-4'!F147</f>
        <v>1</v>
      </c>
      <c r="AA87" s="83" t="b">
        <f>ROUND(J87/1000,1)='CT-4'!G147</f>
        <v>1</v>
      </c>
      <c r="AB87" s="83" t="b">
        <f>ROUND(N87/1000,1)='CT-4'!H147</f>
        <v>1</v>
      </c>
      <c r="AC87" s="83" t="b">
        <f>ROUND(V87/1000,1)='CT-4'!J147</f>
        <v>1</v>
      </c>
      <c r="AD87" s="86" t="b">
        <f>IF(H87=0,0,IF(H87&lt;50,"(s)",ROUND(H87/1000,1)))='CT-4'!L147</f>
        <v>1</v>
      </c>
      <c r="AE87" s="86" t="b">
        <f>ROUND(S87/1000,1)='CT-4'!M147</f>
        <v>1</v>
      </c>
      <c r="AF87" s="83" t="b">
        <f>ROUND(G87/1000,1)='CT-4'!O147</f>
        <v>1</v>
      </c>
      <c r="AG87" s="84">
        <f>ROUND(U87/1000,1)-'CT-4'!P147</f>
        <v>0.10000000000002274</v>
      </c>
      <c r="AH87">
        <f>ROUND(T87/1000,1)-'CT-4'!T147</f>
        <v>0</v>
      </c>
      <c r="AI87">
        <f>ROUND(K87/1000,1)-'CT-4'!R147</f>
        <v>0</v>
      </c>
      <c r="AJ87">
        <f t="shared" si="0"/>
        <v>0</v>
      </c>
      <c r="AK87">
        <f t="shared" si="1"/>
        <v>0</v>
      </c>
      <c r="AL87">
        <f t="shared" si="2"/>
        <v>0</v>
      </c>
      <c r="AM87">
        <f t="shared" si="3"/>
        <v>0</v>
      </c>
      <c r="AN87">
        <f t="shared" si="4"/>
        <v>206543</v>
      </c>
    </row>
    <row r="88" spans="1:40" x14ac:dyDescent="0.25">
      <c r="A88" s="74" t="s">
        <v>1853</v>
      </c>
      <c r="B88" s="75">
        <v>0</v>
      </c>
      <c r="C88" s="75">
        <v>0</v>
      </c>
      <c r="D88" s="79">
        <v>70784</v>
      </c>
      <c r="E88" s="75">
        <v>70784</v>
      </c>
      <c r="F88" s="79">
        <v>70784</v>
      </c>
      <c r="G88" s="75">
        <v>68264</v>
      </c>
      <c r="H88" s="75">
        <v>52</v>
      </c>
      <c r="I88" s="75">
        <v>7932</v>
      </c>
      <c r="J88" s="75">
        <v>186</v>
      </c>
      <c r="K88" s="75">
        <v>98640</v>
      </c>
      <c r="L88" s="75">
        <v>135495</v>
      </c>
      <c r="M88" s="75">
        <v>0</v>
      </c>
      <c r="N88" s="75">
        <v>78902</v>
      </c>
      <c r="O88" s="75">
        <v>78902</v>
      </c>
      <c r="P88" s="75">
        <v>7932</v>
      </c>
      <c r="Q88" s="75">
        <v>12667</v>
      </c>
      <c r="R88" s="93">
        <v>6</v>
      </c>
      <c r="S88" s="75">
        <v>4864</v>
      </c>
      <c r="T88" s="75">
        <v>393961</v>
      </c>
      <c r="U88" s="75">
        <v>295321</v>
      </c>
      <c r="V88" s="75">
        <v>7751</v>
      </c>
      <c r="W88" s="83" t="b">
        <f>ROUND(C88/1000,1)='CT-4'!B148</f>
        <v>1</v>
      </c>
      <c r="X88" s="83" t="b">
        <f>ROUND(L88/1000,1)='CT-4'!C148</f>
        <v>1</v>
      </c>
      <c r="Y88" s="84">
        <f>ROUND(E88/1000,1)-'CT-4'!D148</f>
        <v>9.9999999999994316E-2</v>
      </c>
      <c r="Z88" s="83" t="b">
        <f>ROUND(I88/1000,1)='CT-4'!F148</f>
        <v>1</v>
      </c>
      <c r="AA88" s="83" t="b">
        <f>ROUND(J88/1000,1)='CT-4'!G148</f>
        <v>1</v>
      </c>
      <c r="AB88" s="84">
        <f>ROUND(N88/1000,1)-'CT-4'!H148</f>
        <v>0.10000000000000853</v>
      </c>
      <c r="AC88" s="83" t="b">
        <f>ROUND(V88/1000,1)='CT-4'!J148</f>
        <v>1</v>
      </c>
      <c r="AD88" s="86" t="b">
        <f>IF(H88=0,0,IF(H88&lt;50,"(s)",ROUND(H88/1000,1)))='CT-4'!L148</f>
        <v>1</v>
      </c>
      <c r="AE88" s="86" t="b">
        <f>ROUND(S88/1000,1)='CT-4'!M148</f>
        <v>1</v>
      </c>
      <c r="AF88" s="83" t="b">
        <f>ROUND(G88/1000,1)='CT-4'!O148</f>
        <v>1</v>
      </c>
      <c r="AG88" s="83" t="b">
        <f>ROUND(U88/1000,1)='CT-4'!P148</f>
        <v>1</v>
      </c>
      <c r="AH88" s="84">
        <f>ROUND(T88/1000,1)-'CT-4'!T148</f>
        <v>0.19999999999998863</v>
      </c>
      <c r="AI88">
        <f>ROUND(K88/1000,1)-'CT-4'!R148</f>
        <v>0</v>
      </c>
      <c r="AJ88">
        <f t="shared" si="0"/>
        <v>0</v>
      </c>
      <c r="AK88">
        <f t="shared" si="1"/>
        <v>0</v>
      </c>
      <c r="AL88">
        <f t="shared" si="2"/>
        <v>0</v>
      </c>
      <c r="AM88">
        <f t="shared" si="3"/>
        <v>1</v>
      </c>
      <c r="AN88">
        <f t="shared" si="4"/>
        <v>214397</v>
      </c>
    </row>
    <row r="89" spans="1:40" x14ac:dyDescent="0.25">
      <c r="A89" s="74" t="s">
        <v>1854</v>
      </c>
      <c r="B89" s="75">
        <v>0</v>
      </c>
      <c r="C89" s="75">
        <v>0</v>
      </c>
      <c r="D89" s="79">
        <v>70970</v>
      </c>
      <c r="E89" s="75">
        <v>70970</v>
      </c>
      <c r="F89" s="79">
        <v>70970</v>
      </c>
      <c r="G89" s="75">
        <v>66076</v>
      </c>
      <c r="H89" s="75">
        <v>52</v>
      </c>
      <c r="I89" s="75">
        <v>7627</v>
      </c>
      <c r="J89" s="75">
        <v>342</v>
      </c>
      <c r="K89" s="76"/>
      <c r="L89" s="75">
        <v>113086</v>
      </c>
      <c r="M89" s="76"/>
      <c r="N89" s="76"/>
      <c r="O89" s="76"/>
      <c r="P89" s="75">
        <v>7627</v>
      </c>
      <c r="Q89" s="76"/>
      <c r="R89" s="93">
        <v>5</v>
      </c>
      <c r="S89" s="75">
        <v>5427</v>
      </c>
      <c r="T89" s="76"/>
      <c r="U89" s="76"/>
      <c r="V89" s="76"/>
      <c r="AH89" s="66"/>
    </row>
    <row r="91" spans="1:40" x14ac:dyDescent="0.25">
      <c r="B91" s="120" t="s">
        <v>1965</v>
      </c>
    </row>
    <row r="92" spans="1:40" x14ac:dyDescent="0.25">
      <c r="B92" s="120" t="s">
        <v>1966</v>
      </c>
    </row>
    <row r="93" spans="1:40" x14ac:dyDescent="0.25">
      <c r="B93" s="120" t="s">
        <v>1949</v>
      </c>
    </row>
    <row r="94" spans="1:40" x14ac:dyDescent="0.25">
      <c r="B94" s="120" t="s">
        <v>1970</v>
      </c>
    </row>
    <row r="95" spans="1:40" x14ac:dyDescent="0.25">
      <c r="B95" s="120" t="s">
        <v>1968</v>
      </c>
    </row>
    <row r="96" spans="1:40" x14ac:dyDescent="0.25">
      <c r="B96" s="120" t="s">
        <v>1969</v>
      </c>
    </row>
  </sheetData>
  <conditionalFormatting sqref="AH26:AH89">
    <cfRule type="cellIs" dxfId="5" priority="2" operator="equal">
      <formula>0</formula>
    </cfRule>
  </conditionalFormatting>
  <conditionalFormatting sqref="AI26:AI88">
    <cfRule type="cellIs" dxfId="4" priority="1" operator="equal">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F68DA-E1D4-494D-9DD3-1122F98C22C9}">
  <dimension ref="A2:BI91"/>
  <sheetViews>
    <sheetView topLeftCell="A10" workbookViewId="0">
      <selection activeCell="AT28" sqref="AT28"/>
    </sheetView>
    <sheetView workbookViewId="1"/>
  </sheetViews>
  <sheetFormatPr defaultRowHeight="15" x14ac:dyDescent="0.25"/>
  <cols>
    <col min="2" max="2" width="104.28515625" bestFit="1" customWidth="1"/>
    <col min="3" max="3" width="20.5703125" bestFit="1" customWidth="1"/>
    <col min="4" max="4" width="7.7109375" bestFit="1" customWidth="1"/>
    <col min="6" max="6" width="7.42578125" bestFit="1" customWidth="1"/>
    <col min="25" max="25" width="11.42578125" customWidth="1"/>
  </cols>
  <sheetData>
    <row r="2" spans="1:6" x14ac:dyDescent="0.25">
      <c r="A2" s="162" t="s">
        <v>19</v>
      </c>
      <c r="B2" s="162" t="s">
        <v>20</v>
      </c>
      <c r="C2" s="162" t="s">
        <v>21</v>
      </c>
      <c r="D2" s="162" t="s">
        <v>2051</v>
      </c>
      <c r="E2" s="162" t="s">
        <v>1784</v>
      </c>
      <c r="F2" s="162" t="s">
        <v>1785</v>
      </c>
    </row>
    <row r="3" spans="1:6" x14ac:dyDescent="0.25">
      <c r="A3" s="164" t="s">
        <v>146</v>
      </c>
      <c r="B3" s="164" t="s">
        <v>145</v>
      </c>
      <c r="C3" s="164" t="s">
        <v>69</v>
      </c>
      <c r="D3" s="164" t="s">
        <v>2052</v>
      </c>
      <c r="E3" s="164" t="s">
        <v>1734</v>
      </c>
      <c r="F3" s="164" t="s">
        <v>1787</v>
      </c>
    </row>
    <row r="4" spans="1:6" x14ac:dyDescent="0.25">
      <c r="A4" s="165" t="s">
        <v>287</v>
      </c>
      <c r="B4" s="165" t="s">
        <v>284</v>
      </c>
      <c r="C4" s="165" t="s">
        <v>256</v>
      </c>
      <c r="D4" s="165" t="s">
        <v>1725</v>
      </c>
      <c r="E4" s="165" t="s">
        <v>1734</v>
      </c>
      <c r="F4" s="165" t="s">
        <v>1787</v>
      </c>
    </row>
    <row r="5" spans="1:6" x14ac:dyDescent="0.25">
      <c r="A5" s="164" t="s">
        <v>373</v>
      </c>
      <c r="B5" s="164" t="s">
        <v>372</v>
      </c>
      <c r="C5" s="164" t="s">
        <v>69</v>
      </c>
      <c r="D5" s="164" t="s">
        <v>2053</v>
      </c>
      <c r="E5" s="164" t="s">
        <v>1734</v>
      </c>
      <c r="F5" s="164" t="s">
        <v>1787</v>
      </c>
    </row>
    <row r="6" spans="1:6" x14ac:dyDescent="0.25">
      <c r="A6" s="165" t="s">
        <v>397</v>
      </c>
      <c r="B6" s="165" t="s">
        <v>394</v>
      </c>
      <c r="C6" s="165" t="s">
        <v>69</v>
      </c>
      <c r="D6" s="165" t="s">
        <v>1723</v>
      </c>
      <c r="E6" s="165" t="s">
        <v>1734</v>
      </c>
      <c r="F6" s="165" t="s">
        <v>1787</v>
      </c>
    </row>
    <row r="7" spans="1:6" x14ac:dyDescent="0.25">
      <c r="A7" s="164" t="s">
        <v>457</v>
      </c>
      <c r="B7" s="164" t="s">
        <v>456</v>
      </c>
      <c r="C7" s="164" t="s">
        <v>69</v>
      </c>
      <c r="D7" s="164" t="s">
        <v>2054</v>
      </c>
      <c r="E7" s="164" t="s">
        <v>1734</v>
      </c>
      <c r="F7" s="164" t="s">
        <v>1787</v>
      </c>
    </row>
    <row r="8" spans="1:6" x14ac:dyDescent="0.25">
      <c r="A8" s="172" t="s">
        <v>519</v>
      </c>
      <c r="B8" s="172" t="s">
        <v>520</v>
      </c>
      <c r="C8" s="172" t="s">
        <v>69</v>
      </c>
      <c r="D8" s="172" t="s">
        <v>2055</v>
      </c>
      <c r="E8" s="172" t="s">
        <v>1734</v>
      </c>
      <c r="F8" s="172" t="s">
        <v>1787</v>
      </c>
    </row>
    <row r="9" spans="1:6" x14ac:dyDescent="0.25">
      <c r="A9" s="165" t="s">
        <v>546</v>
      </c>
      <c r="B9" s="165" t="s">
        <v>543</v>
      </c>
      <c r="C9" s="165" t="s">
        <v>241</v>
      </c>
      <c r="D9" s="165" t="s">
        <v>2056</v>
      </c>
      <c r="E9" s="165" t="s">
        <v>1734</v>
      </c>
      <c r="F9" s="165" t="s">
        <v>1787</v>
      </c>
    </row>
    <row r="10" spans="1:6" x14ac:dyDescent="0.25">
      <c r="A10" s="165" t="s">
        <v>685</v>
      </c>
      <c r="B10" s="165" t="s">
        <v>682</v>
      </c>
      <c r="C10" s="165" t="s">
        <v>69</v>
      </c>
      <c r="D10" s="165" t="s">
        <v>1782</v>
      </c>
      <c r="E10" s="165" t="s">
        <v>1734</v>
      </c>
      <c r="F10" s="165" t="s">
        <v>1787</v>
      </c>
    </row>
    <row r="11" spans="1:6" x14ac:dyDescent="0.25">
      <c r="A11" s="165" t="s">
        <v>734</v>
      </c>
      <c r="B11" s="165" t="s">
        <v>735</v>
      </c>
      <c r="C11" s="165" t="s">
        <v>241</v>
      </c>
      <c r="D11" s="165" t="s">
        <v>2057</v>
      </c>
      <c r="E11" s="165" t="s">
        <v>1734</v>
      </c>
      <c r="F11" s="165" t="s">
        <v>1787</v>
      </c>
    </row>
    <row r="12" spans="1:6" x14ac:dyDescent="0.25">
      <c r="A12" s="165" t="s">
        <v>789</v>
      </c>
      <c r="B12" s="165" t="s">
        <v>786</v>
      </c>
      <c r="C12" s="165" t="s">
        <v>69</v>
      </c>
      <c r="D12" s="165" t="s">
        <v>1724</v>
      </c>
      <c r="E12" s="165" t="s">
        <v>1734</v>
      </c>
      <c r="F12" s="165" t="s">
        <v>1787</v>
      </c>
    </row>
    <row r="13" spans="1:6" x14ac:dyDescent="0.25">
      <c r="A13" s="165" t="s">
        <v>874</v>
      </c>
      <c r="B13" s="165" t="s">
        <v>871</v>
      </c>
      <c r="C13" s="165" t="s">
        <v>69</v>
      </c>
      <c r="D13" s="165" t="s">
        <v>1728</v>
      </c>
      <c r="E13" s="165" t="s">
        <v>1734</v>
      </c>
      <c r="F13" s="165" t="s">
        <v>1787</v>
      </c>
    </row>
    <row r="14" spans="1:6" x14ac:dyDescent="0.25">
      <c r="A14" s="165" t="s">
        <v>938</v>
      </c>
      <c r="B14" s="165" t="s">
        <v>935</v>
      </c>
      <c r="C14" s="165" t="s">
        <v>929</v>
      </c>
      <c r="D14" s="165" t="s">
        <v>1726</v>
      </c>
      <c r="E14" s="165" t="s">
        <v>1734</v>
      </c>
      <c r="F14" s="165" t="s">
        <v>1787</v>
      </c>
    </row>
    <row r="15" spans="1:6" x14ac:dyDescent="0.25">
      <c r="A15" s="174" t="s">
        <v>1047</v>
      </c>
      <c r="B15" s="174" t="s">
        <v>1046</v>
      </c>
      <c r="C15" s="174" t="s">
        <v>69</v>
      </c>
      <c r="D15" s="174" t="s">
        <v>2058</v>
      </c>
      <c r="E15" s="174" t="s">
        <v>1734</v>
      </c>
      <c r="F15" s="174" t="s">
        <v>1787</v>
      </c>
    </row>
    <row r="16" spans="1:6" x14ac:dyDescent="0.25">
      <c r="A16" s="165" t="s">
        <v>1125</v>
      </c>
      <c r="B16" s="165" t="s">
        <v>1120</v>
      </c>
      <c r="C16" s="165" t="s">
        <v>69</v>
      </c>
      <c r="D16" s="165" t="s">
        <v>1940</v>
      </c>
      <c r="E16" s="165" t="s">
        <v>1734</v>
      </c>
      <c r="F16" s="165" t="s">
        <v>1787</v>
      </c>
    </row>
    <row r="17" spans="1:61" ht="31.5" x14ac:dyDescent="0.25">
      <c r="A17" s="164" t="s">
        <v>1186</v>
      </c>
      <c r="B17" s="164" t="s">
        <v>1183</v>
      </c>
      <c r="C17" s="164" t="s">
        <v>69</v>
      </c>
      <c r="D17" s="164" t="s">
        <v>1738</v>
      </c>
      <c r="E17" s="164" t="s">
        <v>1734</v>
      </c>
      <c r="F17" s="164" t="s">
        <v>1787</v>
      </c>
      <c r="V17" s="28" t="s">
        <v>1751</v>
      </c>
      <c r="X17" s="52"/>
      <c r="Y17" s="28" t="s">
        <v>1755</v>
      </c>
      <c r="Z17" s="28"/>
      <c r="AA17" s="28"/>
      <c r="AB17" s="28"/>
      <c r="AC17" s="28"/>
      <c r="AD17" s="28"/>
      <c r="AE17" s="28"/>
      <c r="AF17" s="28"/>
      <c r="AG17" s="52"/>
      <c r="AH17" s="28" t="s">
        <v>1756</v>
      </c>
      <c r="AI17" s="28" t="s">
        <v>2065</v>
      </c>
      <c r="AJ17" s="28" t="s">
        <v>2066</v>
      </c>
      <c r="AK17" s="28"/>
      <c r="AL17" s="28" t="s">
        <v>2067</v>
      </c>
      <c r="AM17" s="52"/>
      <c r="AN17" s="52"/>
      <c r="AO17" s="52"/>
      <c r="AP17" s="52"/>
      <c r="AQ17" s="28" t="s">
        <v>2070</v>
      </c>
      <c r="AR17" s="28"/>
    </row>
    <row r="18" spans="1:61" x14ac:dyDescent="0.25">
      <c r="A18" s="172" t="s">
        <v>1299</v>
      </c>
      <c r="B18" s="172" t="s">
        <v>1296</v>
      </c>
      <c r="C18" s="172" t="s">
        <v>69</v>
      </c>
      <c r="D18" s="172" t="s">
        <v>1722</v>
      </c>
      <c r="E18" s="172" t="s">
        <v>1734</v>
      </c>
      <c r="F18" s="172" t="s">
        <v>1787</v>
      </c>
      <c r="V18" s="28"/>
      <c r="W18" s="28"/>
      <c r="X18" s="52"/>
      <c r="Y18" s="28"/>
      <c r="Z18" s="28"/>
      <c r="AA18" s="28"/>
      <c r="AB18" s="28"/>
      <c r="AC18" s="28"/>
      <c r="AD18" s="28"/>
      <c r="AE18" s="28"/>
      <c r="AF18" s="28"/>
      <c r="AG18" s="28" t="s">
        <v>2062</v>
      </c>
      <c r="AH18" s="28"/>
      <c r="AI18" s="28"/>
      <c r="AJ18" s="28"/>
      <c r="AK18" s="28"/>
      <c r="AL18" s="28"/>
      <c r="AM18" s="52"/>
      <c r="AN18" s="52"/>
      <c r="AO18" s="52"/>
      <c r="AP18" s="52"/>
      <c r="AQ18" s="28"/>
      <c r="AR18" s="28"/>
    </row>
    <row r="19" spans="1:61" x14ac:dyDescent="0.25">
      <c r="A19" s="165" t="s">
        <v>1365</v>
      </c>
      <c r="B19" s="165" t="s">
        <v>1362</v>
      </c>
      <c r="C19" s="165" t="s">
        <v>69</v>
      </c>
      <c r="D19" s="165" t="s">
        <v>1736</v>
      </c>
      <c r="E19" s="165" t="s">
        <v>1734</v>
      </c>
      <c r="F19" s="165" t="s">
        <v>1787</v>
      </c>
      <c r="V19" s="28"/>
      <c r="W19" s="28"/>
      <c r="X19" s="28" t="s">
        <v>1753</v>
      </c>
      <c r="Y19" s="28"/>
      <c r="Z19" s="28"/>
      <c r="AA19" s="28"/>
      <c r="AB19" s="28"/>
      <c r="AC19" s="28"/>
      <c r="AD19" s="28"/>
      <c r="AE19" s="28"/>
      <c r="AF19" s="28"/>
      <c r="AG19" s="28" t="s">
        <v>2063</v>
      </c>
      <c r="AH19" s="28"/>
      <c r="AI19" s="28"/>
      <c r="AJ19" s="28"/>
      <c r="AK19" s="28"/>
      <c r="AL19" s="28"/>
      <c r="AM19" s="52"/>
      <c r="AN19" s="52"/>
      <c r="AO19" s="52"/>
      <c r="AP19" s="52"/>
      <c r="AQ19" s="28"/>
      <c r="AR19" s="28"/>
    </row>
    <row r="20" spans="1:61" ht="30" x14ac:dyDescent="0.25">
      <c r="A20" s="163" t="s">
        <v>1424</v>
      </c>
      <c r="B20" s="163" t="s">
        <v>1425</v>
      </c>
      <c r="C20" s="163" t="s">
        <v>241</v>
      </c>
      <c r="D20" s="163" t="s">
        <v>2059</v>
      </c>
      <c r="E20" s="163" t="s">
        <v>1734</v>
      </c>
      <c r="F20" s="163" t="s">
        <v>1787</v>
      </c>
      <c r="V20" s="28"/>
      <c r="W20" s="28"/>
      <c r="X20" s="28" t="s">
        <v>2061</v>
      </c>
      <c r="Y20" s="28"/>
      <c r="Z20" s="28"/>
      <c r="AA20" s="28"/>
      <c r="AB20" s="28"/>
      <c r="AC20" s="28"/>
      <c r="AD20" s="28"/>
      <c r="AE20" s="28"/>
      <c r="AF20" s="28"/>
      <c r="AG20" s="28" t="s">
        <v>2064</v>
      </c>
      <c r="AH20" s="28"/>
      <c r="AI20" s="28"/>
      <c r="AJ20" s="28"/>
      <c r="AK20" s="28"/>
      <c r="AL20" s="28"/>
      <c r="AM20" s="52"/>
      <c r="AN20" s="52"/>
      <c r="AO20" s="28" t="s">
        <v>1762</v>
      </c>
      <c r="AP20" s="28"/>
      <c r="AQ20" s="28"/>
      <c r="AR20" s="28"/>
    </row>
    <row r="21" spans="1:61" x14ac:dyDescent="0.25">
      <c r="A21" s="163" t="s">
        <v>1617</v>
      </c>
      <c r="B21" s="163" t="s">
        <v>1618</v>
      </c>
      <c r="C21" s="163" t="s">
        <v>241</v>
      </c>
      <c r="D21" s="163" t="s">
        <v>2060</v>
      </c>
      <c r="E21" s="163" t="s">
        <v>1734</v>
      </c>
      <c r="F21" s="163" t="s">
        <v>1787</v>
      </c>
      <c r="V21" s="28"/>
      <c r="W21" s="28"/>
      <c r="X21" s="28"/>
      <c r="Y21" s="28"/>
      <c r="Z21" s="28"/>
      <c r="AA21" s="28"/>
      <c r="AB21" s="28"/>
      <c r="AC21" s="28"/>
      <c r="AD21" s="28"/>
      <c r="AE21" s="28"/>
      <c r="AF21" s="28"/>
      <c r="AG21" s="28"/>
      <c r="AH21" s="28"/>
      <c r="AI21" s="28"/>
      <c r="AJ21" s="28"/>
      <c r="AK21" s="28"/>
      <c r="AL21" s="28"/>
      <c r="AM21" s="52"/>
      <c r="AN21" s="52"/>
      <c r="AO21" s="28" t="s">
        <v>1763</v>
      </c>
      <c r="AP21" s="28"/>
      <c r="AQ21" s="28"/>
      <c r="AR21" s="28"/>
    </row>
    <row r="22" spans="1:61" ht="30" x14ac:dyDescent="0.25">
      <c r="V22" s="28"/>
      <c r="W22" s="28"/>
      <c r="X22" s="28"/>
      <c r="Y22" s="28" t="s">
        <v>1767</v>
      </c>
      <c r="Z22" s="28"/>
      <c r="AA22" s="28" t="s">
        <v>2071</v>
      </c>
      <c r="AB22" s="28" t="s">
        <v>1662</v>
      </c>
      <c r="AC22" s="28" t="s">
        <v>2072</v>
      </c>
      <c r="AD22" s="28" t="s">
        <v>1982</v>
      </c>
      <c r="AE22" s="28" t="s">
        <v>2074</v>
      </c>
      <c r="AF22" s="28"/>
      <c r="AG22" s="28"/>
      <c r="AH22" s="52"/>
      <c r="AI22" s="28"/>
      <c r="AJ22" s="28"/>
      <c r="AK22" s="28"/>
      <c r="AL22" s="28"/>
      <c r="AM22" s="28" t="s">
        <v>1760</v>
      </c>
      <c r="AN22" s="28"/>
      <c r="AO22" s="28" t="s">
        <v>1764</v>
      </c>
      <c r="AP22" s="28"/>
      <c r="AQ22" s="28"/>
      <c r="AR22" s="28"/>
    </row>
    <row r="23" spans="1:61" ht="31.5" x14ac:dyDescent="0.25">
      <c r="V23" s="28"/>
      <c r="W23" s="28"/>
      <c r="X23" s="28"/>
      <c r="Y23" s="28" t="s">
        <v>1768</v>
      </c>
      <c r="Z23" s="28"/>
      <c r="AA23" s="28"/>
      <c r="AB23" s="28"/>
      <c r="AC23" s="28" t="s">
        <v>2073</v>
      </c>
      <c r="AD23" s="28" t="s">
        <v>1768</v>
      </c>
      <c r="AE23" s="28"/>
      <c r="AF23" s="28"/>
      <c r="AG23" s="28"/>
      <c r="AH23" s="52"/>
      <c r="AI23" s="28"/>
      <c r="AJ23" s="28"/>
      <c r="AK23" s="28"/>
      <c r="AL23" s="28"/>
      <c r="AM23" s="28" t="s">
        <v>2068</v>
      </c>
      <c r="AN23" s="28"/>
      <c r="AO23" s="28" t="s">
        <v>2069</v>
      </c>
      <c r="AP23" s="28"/>
      <c r="AQ23" s="28"/>
      <c r="AR23" s="28"/>
    </row>
    <row r="24" spans="1:61" x14ac:dyDescent="0.25">
      <c r="V24" s="28"/>
      <c r="W24" s="28"/>
      <c r="X24" s="28"/>
      <c r="Y24" s="28"/>
      <c r="Z24" s="28"/>
      <c r="AA24" s="28"/>
      <c r="AB24" s="28"/>
      <c r="AC24" s="28"/>
      <c r="AD24" s="28"/>
      <c r="AE24" s="28"/>
      <c r="AF24" s="28"/>
      <c r="AG24" s="28"/>
      <c r="AH24" s="28" t="s">
        <v>2075</v>
      </c>
      <c r="AI24" s="28"/>
      <c r="AJ24" s="28"/>
      <c r="AK24" s="28"/>
      <c r="AL24" s="28"/>
      <c r="AM24" s="28"/>
      <c r="AN24" s="28"/>
      <c r="AO24" s="28"/>
      <c r="AP24" s="28"/>
      <c r="AQ24" s="28"/>
      <c r="AR24" s="28"/>
    </row>
    <row r="25" spans="1:61" x14ac:dyDescent="0.25">
      <c r="V25" s="28"/>
      <c r="W25" s="28" t="s">
        <v>1886</v>
      </c>
      <c r="X25" s="28"/>
      <c r="Y25" s="28"/>
      <c r="Z25" s="28"/>
      <c r="AA25" s="28"/>
      <c r="AB25" s="28"/>
      <c r="AC25" s="28"/>
      <c r="AD25" s="28"/>
      <c r="AE25" s="28"/>
      <c r="AF25" s="28"/>
      <c r="AG25" s="28"/>
      <c r="AH25" s="28" t="s">
        <v>2076</v>
      </c>
      <c r="AI25" s="28"/>
      <c r="AJ25" s="28"/>
      <c r="AK25" s="28"/>
      <c r="AL25" s="28"/>
      <c r="AM25" s="28"/>
      <c r="AN25" s="28"/>
      <c r="AO25" s="28"/>
      <c r="AP25" s="28"/>
      <c r="AQ25" s="28"/>
      <c r="AR25" s="28"/>
    </row>
    <row r="26" spans="1:61" ht="12.75" customHeight="1" x14ac:dyDescent="0.25">
      <c r="V26" s="28"/>
      <c r="W26" s="28" t="s">
        <v>1525</v>
      </c>
      <c r="X26" s="28" t="s">
        <v>1773</v>
      </c>
      <c r="Y26" s="28" t="s">
        <v>69</v>
      </c>
      <c r="Z26" s="28"/>
      <c r="AA26" s="28"/>
      <c r="AB26" s="28"/>
      <c r="AC26" s="28"/>
      <c r="AD26" s="28"/>
      <c r="AE26" s="28"/>
      <c r="AF26" s="28"/>
      <c r="AG26" s="28" t="s">
        <v>1775</v>
      </c>
      <c r="AH26" s="28" t="s">
        <v>2077</v>
      </c>
      <c r="AI26" s="28"/>
      <c r="AJ26" s="28" t="s">
        <v>1775</v>
      </c>
      <c r="AK26" s="28"/>
      <c r="AL26" s="28"/>
      <c r="AM26" s="28"/>
      <c r="AN26" s="28"/>
      <c r="AO26" s="28"/>
      <c r="AP26" s="28"/>
      <c r="AQ26" s="28"/>
      <c r="AR26" s="28"/>
    </row>
    <row r="27" spans="1:61" ht="45.75" customHeight="1" x14ac:dyDescent="0.25">
      <c r="A27" s="159" t="s">
        <v>1751</v>
      </c>
      <c r="B27" s="159" t="s">
        <v>146</v>
      </c>
      <c r="C27" s="168" t="s">
        <v>287</v>
      </c>
      <c r="D27" s="166" t="s">
        <v>373</v>
      </c>
      <c r="E27" s="168" t="s">
        <v>397</v>
      </c>
      <c r="F27" s="170" t="s">
        <v>457</v>
      </c>
      <c r="G27" s="176" t="s">
        <v>519</v>
      </c>
      <c r="H27" s="168" t="s">
        <v>546</v>
      </c>
      <c r="I27" s="168" t="s">
        <v>685</v>
      </c>
      <c r="J27" s="168" t="s">
        <v>734</v>
      </c>
      <c r="K27" s="168" t="s">
        <v>789</v>
      </c>
      <c r="L27" s="168" t="s">
        <v>874</v>
      </c>
      <c r="M27" s="168" t="s">
        <v>938</v>
      </c>
      <c r="N27" s="170" t="s">
        <v>1047</v>
      </c>
      <c r="O27" s="168" t="s">
        <v>1125</v>
      </c>
      <c r="P27" s="170" t="s">
        <v>1186</v>
      </c>
      <c r="Q27" s="176" t="s">
        <v>1299</v>
      </c>
      <c r="R27" s="168" t="s">
        <v>1365</v>
      </c>
      <c r="S27" s="159" t="s">
        <v>1424</v>
      </c>
      <c r="T27" s="159" t="s">
        <v>1617</v>
      </c>
      <c r="U27" s="153" t="s">
        <v>2078</v>
      </c>
      <c r="V27" s="28"/>
      <c r="W27" s="28" t="s">
        <v>1772</v>
      </c>
      <c r="X27" s="28" t="s">
        <v>1774</v>
      </c>
      <c r="Y27" s="28"/>
      <c r="Z27" s="28"/>
      <c r="AA27" s="28"/>
      <c r="AB27" s="28"/>
      <c r="AC27" s="28"/>
      <c r="AD27" s="28"/>
      <c r="AE27" s="28"/>
      <c r="AF27" s="28"/>
      <c r="AG27" s="28" t="s">
        <v>1776</v>
      </c>
      <c r="AH27" s="28"/>
      <c r="AI27" s="28"/>
      <c r="AJ27" s="28" t="s">
        <v>1776</v>
      </c>
      <c r="AK27" s="28"/>
      <c r="AL27" s="28"/>
      <c r="AM27" s="28"/>
      <c r="AN27" s="28"/>
      <c r="AO27" s="28"/>
      <c r="AP27" s="28"/>
      <c r="AQ27" s="28"/>
      <c r="AR27" s="159" t="s">
        <v>287</v>
      </c>
      <c r="AS27" s="159" t="s">
        <v>373</v>
      </c>
      <c r="AT27" s="159" t="s">
        <v>397</v>
      </c>
      <c r="AU27" s="159" t="s">
        <v>457</v>
      </c>
      <c r="AV27" s="159" t="s">
        <v>519</v>
      </c>
      <c r="AW27" s="159" t="s">
        <v>546</v>
      </c>
      <c r="AX27" s="159" t="s">
        <v>685</v>
      </c>
      <c r="AY27" s="159" t="s">
        <v>734</v>
      </c>
      <c r="AZ27" s="159" t="s">
        <v>789</v>
      </c>
      <c r="BA27" s="159" t="s">
        <v>874</v>
      </c>
      <c r="BB27" s="159" t="s">
        <v>938</v>
      </c>
      <c r="BC27" s="159" t="s">
        <v>1047</v>
      </c>
      <c r="BD27" s="159" t="s">
        <v>1125</v>
      </c>
      <c r="BE27" s="159" t="s">
        <v>1186</v>
      </c>
      <c r="BF27" s="159" t="s">
        <v>1299</v>
      </c>
      <c r="BG27" s="159" t="s">
        <v>1365</v>
      </c>
      <c r="BH27" s="159" t="s">
        <v>1424</v>
      </c>
      <c r="BI27" s="159" t="s">
        <v>1617</v>
      </c>
    </row>
    <row r="28" spans="1:61" x14ac:dyDescent="0.25">
      <c r="A28" s="160" t="s">
        <v>1791</v>
      </c>
      <c r="B28" s="161">
        <v>0</v>
      </c>
      <c r="C28" s="169">
        <v>338</v>
      </c>
      <c r="D28" s="167">
        <v>11965</v>
      </c>
      <c r="E28" s="169">
        <v>11965</v>
      </c>
      <c r="F28" s="171">
        <v>11965</v>
      </c>
      <c r="G28" s="177">
        <v>0</v>
      </c>
      <c r="H28" s="169">
        <v>3011</v>
      </c>
      <c r="I28" s="169">
        <v>253</v>
      </c>
      <c r="J28" s="169">
        <v>0</v>
      </c>
      <c r="K28" s="169">
        <v>404</v>
      </c>
      <c r="L28" s="169">
        <v>135</v>
      </c>
      <c r="M28" s="169">
        <v>10238</v>
      </c>
      <c r="N28" s="173"/>
      <c r="O28" s="169">
        <v>22792</v>
      </c>
      <c r="P28" s="171">
        <v>0</v>
      </c>
      <c r="Q28" s="178"/>
      <c r="R28" s="169">
        <v>10036</v>
      </c>
      <c r="S28" s="161">
        <v>0</v>
      </c>
      <c r="T28" s="161">
        <v>0</v>
      </c>
      <c r="U28" s="86">
        <f>SUM(E28,I28,K28,R28,L28)-O28</f>
        <v>1</v>
      </c>
      <c r="V28" s="27">
        <v>1960</v>
      </c>
      <c r="W28" s="27">
        <v>338</v>
      </c>
      <c r="X28" s="27">
        <v>10</v>
      </c>
      <c r="Y28" s="53">
        <v>11965</v>
      </c>
      <c r="Z28" s="27"/>
      <c r="AA28" s="27">
        <v>253</v>
      </c>
      <c r="AB28" s="27">
        <v>404</v>
      </c>
      <c r="AC28" s="27">
        <v>135</v>
      </c>
      <c r="AD28" s="53">
        <v>10036</v>
      </c>
      <c r="AE28" s="53">
        <v>22792</v>
      </c>
      <c r="AF28" s="27"/>
      <c r="AG28" s="27" t="s">
        <v>1685</v>
      </c>
      <c r="AH28" s="27" t="s">
        <v>1777</v>
      </c>
      <c r="AI28" s="27" t="s">
        <v>1777</v>
      </c>
      <c r="AJ28" s="27" t="s">
        <v>1685</v>
      </c>
      <c r="AK28" s="27"/>
      <c r="AL28" s="53">
        <v>3011</v>
      </c>
      <c r="AM28" s="27" t="s">
        <v>1777</v>
      </c>
      <c r="AN28" s="27"/>
      <c r="AO28" s="27" t="s">
        <v>1777</v>
      </c>
      <c r="AP28" s="27"/>
      <c r="AQ28" s="27" t="s">
        <v>1777</v>
      </c>
      <c r="AR28" s="27" t="b">
        <f>W28=C28</f>
        <v>1</v>
      </c>
      <c r="AT28" t="b">
        <f>E28=Y28</f>
        <v>1</v>
      </c>
      <c r="AW28" t="b">
        <f>H28=AL28</f>
        <v>1</v>
      </c>
      <c r="AX28" t="b">
        <f>I28=AA28</f>
        <v>1</v>
      </c>
      <c r="AY28" t="b">
        <f>IF(A28&lt;$A$57,"NA",J28)=AG28</f>
        <v>1</v>
      </c>
      <c r="AZ28" t="b">
        <f>K28=AB28</f>
        <v>1</v>
      </c>
      <c r="BA28" t="b">
        <f>L28=AC28</f>
        <v>1</v>
      </c>
      <c r="BB28" t="b">
        <f>ROUND(M28/1000,0)=X28</f>
        <v>1</v>
      </c>
      <c r="BD28" t="b">
        <f>AE28=O28</f>
        <v>1</v>
      </c>
      <c r="BG28" t="b">
        <f>R28=AD28</f>
        <v>1</v>
      </c>
    </row>
    <row r="29" spans="1:61" x14ac:dyDescent="0.25">
      <c r="A29" s="160" t="s">
        <v>1792</v>
      </c>
      <c r="B29" s="161">
        <v>0</v>
      </c>
      <c r="C29" s="169">
        <v>267</v>
      </c>
      <c r="D29" s="167">
        <v>12309</v>
      </c>
      <c r="E29" s="169">
        <v>12309</v>
      </c>
      <c r="F29" s="171">
        <v>12309</v>
      </c>
      <c r="G29" s="177">
        <v>0</v>
      </c>
      <c r="H29" s="169">
        <v>3259</v>
      </c>
      <c r="I29" s="169">
        <v>224</v>
      </c>
      <c r="J29" s="169">
        <v>0</v>
      </c>
      <c r="K29" s="169">
        <v>392</v>
      </c>
      <c r="L29" s="169">
        <v>140</v>
      </c>
      <c r="M29" s="169">
        <v>11804</v>
      </c>
      <c r="N29" s="173"/>
      <c r="O29" s="169">
        <v>23070</v>
      </c>
      <c r="P29" s="171">
        <v>0</v>
      </c>
      <c r="Q29" s="178"/>
      <c r="R29" s="169">
        <v>10005</v>
      </c>
      <c r="S29" s="161">
        <v>0</v>
      </c>
      <c r="T29" s="161">
        <v>0</v>
      </c>
      <c r="U29" s="86">
        <f t="shared" ref="U29:U91" si="0">SUM(E29,I29,K29,R29,L29)-O29</f>
        <v>0</v>
      </c>
      <c r="V29" s="27">
        <v>1961</v>
      </c>
      <c r="W29" s="27">
        <v>267</v>
      </c>
      <c r="X29" s="27">
        <v>12</v>
      </c>
      <c r="Y29" s="53">
        <v>12309</v>
      </c>
      <c r="Z29" s="27"/>
      <c r="AA29" s="27">
        <v>224</v>
      </c>
      <c r="AB29" s="27">
        <v>392</v>
      </c>
      <c r="AC29" s="27">
        <v>140</v>
      </c>
      <c r="AD29" s="53">
        <v>10005</v>
      </c>
      <c r="AE29" s="53">
        <v>23070</v>
      </c>
      <c r="AF29" s="27"/>
      <c r="AG29" s="27" t="s">
        <v>1685</v>
      </c>
      <c r="AH29" s="27" t="s">
        <v>1777</v>
      </c>
      <c r="AI29" s="27" t="s">
        <v>1777</v>
      </c>
      <c r="AJ29" s="27" t="s">
        <v>1685</v>
      </c>
      <c r="AK29" s="27"/>
      <c r="AL29" s="53">
        <v>3259</v>
      </c>
      <c r="AM29" s="27" t="s">
        <v>1777</v>
      </c>
      <c r="AN29" s="27"/>
      <c r="AO29" s="27" t="s">
        <v>1777</v>
      </c>
      <c r="AP29" s="27"/>
      <c r="AQ29" s="27" t="s">
        <v>1777</v>
      </c>
      <c r="AR29" s="27" t="b">
        <f t="shared" ref="AR29:AR90" si="1">W29=C29</f>
        <v>1</v>
      </c>
      <c r="AT29" t="b">
        <f t="shared" ref="AT29:AT90" si="2">E29=Y29</f>
        <v>1</v>
      </c>
      <c r="AW29" t="b">
        <f t="shared" ref="AW29:AW90" si="3">H29=AL29</f>
        <v>1</v>
      </c>
      <c r="AX29" t="b">
        <f t="shared" ref="AX29:AX90" si="4">I29=AA29</f>
        <v>1</v>
      </c>
      <c r="AY29" t="b">
        <f t="shared" ref="AY29:AY90" si="5">IF(A29&lt;$A$57,"NA",J29)=AG29</f>
        <v>1</v>
      </c>
      <c r="AZ29" t="b">
        <f t="shared" ref="AZ29:AZ90" si="6">K29=AB29</f>
        <v>1</v>
      </c>
      <c r="BA29" t="b">
        <f t="shared" ref="BA29:BA90" si="7">L29=AC29</f>
        <v>1</v>
      </c>
      <c r="BB29" t="b">
        <f t="shared" ref="BB29:BB90" si="8">ROUND(M29/1000,0)=X29</f>
        <v>1</v>
      </c>
      <c r="BD29" t="b">
        <f t="shared" ref="BD29:BD90" si="9">AE29=O29</f>
        <v>1</v>
      </c>
      <c r="BG29" t="b">
        <f t="shared" ref="BG29:BG90" si="10">R29=AD29</f>
        <v>1</v>
      </c>
    </row>
    <row r="30" spans="1:61" ht="16.5" customHeight="1" x14ac:dyDescent="0.25">
      <c r="A30" s="160" t="s">
        <v>1793</v>
      </c>
      <c r="B30" s="161">
        <v>0</v>
      </c>
      <c r="C30" s="169">
        <v>256</v>
      </c>
      <c r="D30" s="167">
        <v>12623</v>
      </c>
      <c r="E30" s="169">
        <v>12623</v>
      </c>
      <c r="F30" s="171">
        <v>12623</v>
      </c>
      <c r="G30" s="177">
        <v>0</v>
      </c>
      <c r="H30" s="169">
        <v>3464</v>
      </c>
      <c r="I30" s="169">
        <v>271</v>
      </c>
      <c r="J30" s="169">
        <v>0</v>
      </c>
      <c r="K30" s="169">
        <v>381</v>
      </c>
      <c r="L30" s="169">
        <v>147</v>
      </c>
      <c r="M30" s="169">
        <v>14305</v>
      </c>
      <c r="N30" s="173"/>
      <c r="O30" s="169">
        <v>23905</v>
      </c>
      <c r="P30" s="171">
        <v>0</v>
      </c>
      <c r="Q30" s="178"/>
      <c r="R30" s="169">
        <v>10483</v>
      </c>
      <c r="S30" s="161">
        <v>0</v>
      </c>
      <c r="T30" s="161">
        <v>0</v>
      </c>
      <c r="U30" s="86">
        <f t="shared" si="0"/>
        <v>0</v>
      </c>
      <c r="V30" s="27">
        <v>1962</v>
      </c>
      <c r="W30" s="27">
        <v>256</v>
      </c>
      <c r="X30" s="27">
        <v>14</v>
      </c>
      <c r="Y30" s="53">
        <v>12623</v>
      </c>
      <c r="Z30" s="27"/>
      <c r="AA30" s="27">
        <v>271</v>
      </c>
      <c r="AB30" s="27">
        <v>381</v>
      </c>
      <c r="AC30" s="27">
        <v>147</v>
      </c>
      <c r="AD30" s="53">
        <v>10483</v>
      </c>
      <c r="AE30" s="53">
        <v>23905</v>
      </c>
      <c r="AF30" s="27"/>
      <c r="AG30" s="27" t="s">
        <v>1685</v>
      </c>
      <c r="AH30" s="27" t="s">
        <v>1777</v>
      </c>
      <c r="AI30" s="27" t="s">
        <v>1777</v>
      </c>
      <c r="AJ30" s="27" t="s">
        <v>1685</v>
      </c>
      <c r="AK30" s="27"/>
      <c r="AL30" s="53">
        <v>3464</v>
      </c>
      <c r="AM30" s="27" t="s">
        <v>1777</v>
      </c>
      <c r="AN30" s="27"/>
      <c r="AO30" s="27" t="s">
        <v>1777</v>
      </c>
      <c r="AP30" s="27"/>
      <c r="AQ30" s="27" t="s">
        <v>1777</v>
      </c>
      <c r="AR30" s="27" t="b">
        <f t="shared" si="1"/>
        <v>1</v>
      </c>
      <c r="AT30" t="b">
        <f t="shared" si="2"/>
        <v>1</v>
      </c>
      <c r="AW30" t="b">
        <f t="shared" si="3"/>
        <v>1</v>
      </c>
      <c r="AX30" t="b">
        <f t="shared" si="4"/>
        <v>1</v>
      </c>
      <c r="AY30" t="b">
        <f t="shared" si="5"/>
        <v>1</v>
      </c>
      <c r="AZ30" t="b">
        <f t="shared" si="6"/>
        <v>1</v>
      </c>
      <c r="BA30" t="b">
        <f t="shared" si="7"/>
        <v>1</v>
      </c>
      <c r="BB30" t="b">
        <f t="shared" si="8"/>
        <v>1</v>
      </c>
      <c r="BD30" t="b">
        <f t="shared" si="9"/>
        <v>1</v>
      </c>
      <c r="BG30" t="b">
        <f t="shared" si="10"/>
        <v>1</v>
      </c>
    </row>
    <row r="31" spans="1:61" ht="15" customHeight="1" x14ac:dyDescent="0.25">
      <c r="A31" s="160" t="s">
        <v>1794</v>
      </c>
      <c r="B31" s="161">
        <v>0</v>
      </c>
      <c r="C31" s="169">
        <v>196</v>
      </c>
      <c r="D31" s="167">
        <v>11955</v>
      </c>
      <c r="E31" s="169">
        <v>11955</v>
      </c>
      <c r="F31" s="171">
        <v>11955</v>
      </c>
      <c r="G31" s="177">
        <v>0</v>
      </c>
      <c r="H31" s="169">
        <v>3687</v>
      </c>
      <c r="I31" s="169">
        <v>279</v>
      </c>
      <c r="J31" s="169">
        <v>0</v>
      </c>
      <c r="K31" s="169">
        <v>340</v>
      </c>
      <c r="L31" s="169">
        <v>92</v>
      </c>
      <c r="M31" s="169">
        <v>14632</v>
      </c>
      <c r="N31" s="173"/>
      <c r="O31" s="169">
        <v>22017</v>
      </c>
      <c r="P31" s="171">
        <v>0</v>
      </c>
      <c r="Q31" s="178"/>
      <c r="R31" s="169">
        <v>9352</v>
      </c>
      <c r="S31" s="161">
        <v>0</v>
      </c>
      <c r="T31" s="161">
        <v>0</v>
      </c>
      <c r="U31" s="86">
        <f t="shared" si="0"/>
        <v>1</v>
      </c>
      <c r="V31" s="27">
        <v>1963</v>
      </c>
      <c r="W31" s="27">
        <v>196</v>
      </c>
      <c r="X31" s="27">
        <v>15</v>
      </c>
      <c r="Y31" s="53">
        <v>11955</v>
      </c>
      <c r="Z31" s="27"/>
      <c r="AA31" s="27">
        <v>279</v>
      </c>
      <c r="AB31" s="27">
        <v>340</v>
      </c>
      <c r="AC31" s="27">
        <v>92</v>
      </c>
      <c r="AD31" s="53">
        <v>9352</v>
      </c>
      <c r="AE31" s="53">
        <v>22017</v>
      </c>
      <c r="AF31" s="27"/>
      <c r="AG31" s="27" t="s">
        <v>1685</v>
      </c>
      <c r="AH31" s="27" t="s">
        <v>1777</v>
      </c>
      <c r="AI31" s="27" t="s">
        <v>1777</v>
      </c>
      <c r="AJ31" s="27" t="s">
        <v>1685</v>
      </c>
      <c r="AK31" s="27"/>
      <c r="AL31" s="53">
        <v>3687</v>
      </c>
      <c r="AM31" s="27" t="s">
        <v>1777</v>
      </c>
      <c r="AN31" s="27"/>
      <c r="AO31" s="27" t="s">
        <v>1777</v>
      </c>
      <c r="AP31" s="27"/>
      <c r="AQ31" s="27" t="s">
        <v>1777</v>
      </c>
      <c r="AR31" s="27" t="b">
        <f t="shared" si="1"/>
        <v>1</v>
      </c>
      <c r="AT31" t="b">
        <f t="shared" si="2"/>
        <v>1</v>
      </c>
      <c r="AW31" t="b">
        <f t="shared" si="3"/>
        <v>1</v>
      </c>
      <c r="AX31" t="b">
        <f t="shared" si="4"/>
        <v>1</v>
      </c>
      <c r="AY31" t="b">
        <f t="shared" si="5"/>
        <v>1</v>
      </c>
      <c r="AZ31" t="b">
        <f t="shared" si="6"/>
        <v>1</v>
      </c>
      <c r="BA31" t="b">
        <f t="shared" si="7"/>
        <v>1</v>
      </c>
      <c r="BB31" t="b">
        <f t="shared" si="8"/>
        <v>1</v>
      </c>
      <c r="BD31" t="b">
        <f t="shared" si="9"/>
        <v>1</v>
      </c>
      <c r="BG31" t="b">
        <f t="shared" si="10"/>
        <v>1</v>
      </c>
    </row>
    <row r="32" spans="1:61" ht="15" customHeight="1" x14ac:dyDescent="0.25">
      <c r="A32" s="160" t="s">
        <v>1795</v>
      </c>
      <c r="B32" s="161">
        <v>0</v>
      </c>
      <c r="C32" s="169">
        <v>186</v>
      </c>
      <c r="D32" s="167">
        <v>11562</v>
      </c>
      <c r="E32" s="169">
        <v>11562</v>
      </c>
      <c r="F32" s="171">
        <v>11562</v>
      </c>
      <c r="G32" s="177">
        <v>0</v>
      </c>
      <c r="H32" s="169">
        <v>3964</v>
      </c>
      <c r="I32" s="169">
        <v>279</v>
      </c>
      <c r="J32" s="169">
        <v>0</v>
      </c>
      <c r="K32" s="169">
        <v>272</v>
      </c>
      <c r="L32" s="169">
        <v>91</v>
      </c>
      <c r="M32" s="169">
        <v>14795</v>
      </c>
      <c r="N32" s="173"/>
      <c r="O32" s="169">
        <v>23281</v>
      </c>
      <c r="P32" s="171">
        <v>0</v>
      </c>
      <c r="Q32" s="178"/>
      <c r="R32" s="169">
        <v>11077</v>
      </c>
      <c r="S32" s="161">
        <v>0</v>
      </c>
      <c r="T32" s="161">
        <v>0</v>
      </c>
      <c r="U32" s="86">
        <f t="shared" si="0"/>
        <v>0</v>
      </c>
      <c r="V32" s="27">
        <v>1964</v>
      </c>
      <c r="W32" s="27">
        <v>186</v>
      </c>
      <c r="X32" s="27">
        <v>15</v>
      </c>
      <c r="Y32" s="53">
        <v>11562</v>
      </c>
      <c r="Z32" s="27"/>
      <c r="AA32" s="27">
        <v>279</v>
      </c>
      <c r="AB32" s="27">
        <v>272</v>
      </c>
      <c r="AC32" s="27">
        <v>91</v>
      </c>
      <c r="AD32" s="53">
        <v>11077</v>
      </c>
      <c r="AE32" s="53">
        <v>23281</v>
      </c>
      <c r="AF32" s="27"/>
      <c r="AG32" s="27" t="s">
        <v>1685</v>
      </c>
      <c r="AH32" s="27" t="s">
        <v>1777</v>
      </c>
      <c r="AI32" s="27" t="s">
        <v>1777</v>
      </c>
      <c r="AJ32" s="27" t="s">
        <v>1685</v>
      </c>
      <c r="AK32" s="27"/>
      <c r="AL32" s="53">
        <v>3964</v>
      </c>
      <c r="AM32" s="27" t="s">
        <v>1777</v>
      </c>
      <c r="AN32" s="27"/>
      <c r="AO32" s="27" t="s">
        <v>1777</v>
      </c>
      <c r="AP32" s="27"/>
      <c r="AQ32" s="27" t="s">
        <v>1777</v>
      </c>
      <c r="AR32" s="27" t="b">
        <f t="shared" si="1"/>
        <v>1</v>
      </c>
      <c r="AT32" t="b">
        <f t="shared" si="2"/>
        <v>1</v>
      </c>
      <c r="AW32" t="b">
        <f t="shared" si="3"/>
        <v>1</v>
      </c>
      <c r="AX32" t="b">
        <f t="shared" si="4"/>
        <v>1</v>
      </c>
      <c r="AY32" t="b">
        <f t="shared" si="5"/>
        <v>1</v>
      </c>
      <c r="AZ32" t="b">
        <f t="shared" si="6"/>
        <v>1</v>
      </c>
      <c r="BA32" t="b">
        <f t="shared" si="7"/>
        <v>1</v>
      </c>
      <c r="BB32" t="b">
        <f t="shared" si="8"/>
        <v>1</v>
      </c>
      <c r="BD32" t="b">
        <f t="shared" si="9"/>
        <v>1</v>
      </c>
      <c r="BG32" t="b">
        <f t="shared" si="10"/>
        <v>1</v>
      </c>
    </row>
    <row r="33" spans="1:59" x14ac:dyDescent="0.25">
      <c r="A33" s="160" t="s">
        <v>1796</v>
      </c>
      <c r="B33" s="161">
        <v>0</v>
      </c>
      <c r="C33" s="169">
        <v>159</v>
      </c>
      <c r="D33" s="167">
        <v>12933</v>
      </c>
      <c r="E33" s="169">
        <v>12933</v>
      </c>
      <c r="F33" s="171">
        <v>12933</v>
      </c>
      <c r="G33" s="177">
        <v>0</v>
      </c>
      <c r="H33" s="169">
        <v>4302</v>
      </c>
      <c r="I33" s="169">
        <v>311</v>
      </c>
      <c r="J33" s="169">
        <v>0</v>
      </c>
      <c r="K33" s="169">
        <v>223</v>
      </c>
      <c r="L33" s="169">
        <v>92</v>
      </c>
      <c r="M33" s="169">
        <v>16301</v>
      </c>
      <c r="N33" s="173"/>
      <c r="O33" s="169">
        <v>28062</v>
      </c>
      <c r="P33" s="171">
        <v>0</v>
      </c>
      <c r="Q33" s="178"/>
      <c r="R33" s="169">
        <v>14503</v>
      </c>
      <c r="S33" s="161">
        <v>0</v>
      </c>
      <c r="T33" s="161">
        <v>0</v>
      </c>
      <c r="U33" s="86">
        <f t="shared" si="0"/>
        <v>0</v>
      </c>
      <c r="V33" s="27">
        <v>1965</v>
      </c>
      <c r="W33" s="27">
        <v>159</v>
      </c>
      <c r="X33" s="27">
        <v>16</v>
      </c>
      <c r="Y33" s="53">
        <v>12933</v>
      </c>
      <c r="Z33" s="27"/>
      <c r="AA33" s="27">
        <v>311</v>
      </c>
      <c r="AB33" s="27">
        <v>223</v>
      </c>
      <c r="AC33" s="27">
        <v>92</v>
      </c>
      <c r="AD33" s="53">
        <v>14503</v>
      </c>
      <c r="AE33" s="53">
        <v>28062</v>
      </c>
      <c r="AF33" s="27"/>
      <c r="AG33" s="27" t="s">
        <v>1685</v>
      </c>
      <c r="AH33" s="27" t="s">
        <v>1777</v>
      </c>
      <c r="AI33" s="27" t="s">
        <v>1777</v>
      </c>
      <c r="AJ33" s="27" t="s">
        <v>1685</v>
      </c>
      <c r="AK33" s="27"/>
      <c r="AL33" s="53">
        <v>4302</v>
      </c>
      <c r="AM33" s="27" t="s">
        <v>1777</v>
      </c>
      <c r="AN33" s="27"/>
      <c r="AO33" s="27" t="s">
        <v>1777</v>
      </c>
      <c r="AP33" s="27"/>
      <c r="AQ33" s="27" t="s">
        <v>1777</v>
      </c>
      <c r="AR33" s="27" t="b">
        <f t="shared" si="1"/>
        <v>1</v>
      </c>
      <c r="AT33" t="b">
        <f t="shared" si="2"/>
        <v>1</v>
      </c>
      <c r="AW33" t="b">
        <f t="shared" si="3"/>
        <v>1</v>
      </c>
      <c r="AX33" t="b">
        <f t="shared" si="4"/>
        <v>1</v>
      </c>
      <c r="AY33" t="b">
        <f t="shared" si="5"/>
        <v>1</v>
      </c>
      <c r="AZ33" t="b">
        <f t="shared" si="6"/>
        <v>1</v>
      </c>
      <c r="BA33" t="b">
        <f t="shared" si="7"/>
        <v>1</v>
      </c>
      <c r="BB33" t="b">
        <f t="shared" si="8"/>
        <v>1</v>
      </c>
      <c r="BD33" t="b">
        <f t="shared" si="9"/>
        <v>1</v>
      </c>
      <c r="BG33" t="b">
        <f t="shared" si="10"/>
        <v>1</v>
      </c>
    </row>
    <row r="34" spans="1:59" x14ac:dyDescent="0.25">
      <c r="A34" s="160" t="s">
        <v>1797</v>
      </c>
      <c r="B34" s="161">
        <v>0</v>
      </c>
      <c r="C34" s="169">
        <v>143</v>
      </c>
      <c r="D34" s="167">
        <v>11554</v>
      </c>
      <c r="E34" s="169">
        <v>11554</v>
      </c>
      <c r="F34" s="171">
        <v>11554</v>
      </c>
      <c r="G34" s="177">
        <v>0</v>
      </c>
      <c r="H34" s="169">
        <v>4690</v>
      </c>
      <c r="I34" s="169">
        <v>273</v>
      </c>
      <c r="J34" s="169">
        <v>0</v>
      </c>
      <c r="K34" s="169">
        <v>158</v>
      </c>
      <c r="L34" s="169">
        <v>96</v>
      </c>
      <c r="M34" s="169">
        <v>18521</v>
      </c>
      <c r="N34" s="173"/>
      <c r="O34" s="169">
        <v>27922</v>
      </c>
      <c r="P34" s="171">
        <v>0</v>
      </c>
      <c r="Q34" s="178"/>
      <c r="R34" s="169">
        <v>15841</v>
      </c>
      <c r="S34" s="161">
        <v>0</v>
      </c>
      <c r="T34" s="161">
        <v>0</v>
      </c>
      <c r="U34" s="86">
        <f t="shared" si="0"/>
        <v>0</v>
      </c>
      <c r="V34" s="27">
        <v>1966</v>
      </c>
      <c r="W34" s="27">
        <v>143</v>
      </c>
      <c r="X34" s="27">
        <v>19</v>
      </c>
      <c r="Y34" s="53">
        <v>11554</v>
      </c>
      <c r="Z34" s="27"/>
      <c r="AA34" s="27">
        <v>273</v>
      </c>
      <c r="AB34" s="27">
        <v>158</v>
      </c>
      <c r="AC34" s="27">
        <v>96</v>
      </c>
      <c r="AD34" s="53">
        <v>15841</v>
      </c>
      <c r="AE34" s="53">
        <v>27922</v>
      </c>
      <c r="AF34" s="27"/>
      <c r="AG34" s="27" t="s">
        <v>1685</v>
      </c>
      <c r="AH34" s="27" t="s">
        <v>1777</v>
      </c>
      <c r="AI34" s="27" t="s">
        <v>1777</v>
      </c>
      <c r="AJ34" s="27" t="s">
        <v>1685</v>
      </c>
      <c r="AK34" s="27"/>
      <c r="AL34" s="53">
        <v>4690</v>
      </c>
      <c r="AM34" s="27" t="s">
        <v>1777</v>
      </c>
      <c r="AN34" s="27"/>
      <c r="AO34" s="27" t="s">
        <v>1777</v>
      </c>
      <c r="AP34" s="27"/>
      <c r="AQ34" s="27" t="s">
        <v>1777</v>
      </c>
      <c r="AR34" s="27" t="b">
        <f t="shared" si="1"/>
        <v>1</v>
      </c>
      <c r="AT34" t="b">
        <f t="shared" si="2"/>
        <v>1</v>
      </c>
      <c r="AW34" t="b">
        <f t="shared" si="3"/>
        <v>1</v>
      </c>
      <c r="AX34" t="b">
        <f t="shared" si="4"/>
        <v>1</v>
      </c>
      <c r="AY34" t="b">
        <f t="shared" si="5"/>
        <v>1</v>
      </c>
      <c r="AZ34" t="b">
        <f t="shared" si="6"/>
        <v>1</v>
      </c>
      <c r="BA34" t="b">
        <f t="shared" si="7"/>
        <v>1</v>
      </c>
      <c r="BB34" t="b">
        <f t="shared" si="8"/>
        <v>1</v>
      </c>
      <c r="BD34" t="b">
        <f t="shared" si="9"/>
        <v>1</v>
      </c>
      <c r="BG34" t="b">
        <f t="shared" si="10"/>
        <v>1</v>
      </c>
    </row>
    <row r="35" spans="1:59" x14ac:dyDescent="0.25">
      <c r="A35" s="160" t="s">
        <v>1798</v>
      </c>
      <c r="B35" s="161">
        <v>0</v>
      </c>
      <c r="C35" s="169">
        <v>131</v>
      </c>
      <c r="D35" s="167">
        <v>12477</v>
      </c>
      <c r="E35" s="169">
        <v>12477</v>
      </c>
      <c r="F35" s="171">
        <v>12477</v>
      </c>
      <c r="G35" s="177">
        <v>0</v>
      </c>
      <c r="H35" s="169">
        <v>5949</v>
      </c>
      <c r="I35" s="169">
        <v>273</v>
      </c>
      <c r="J35" s="169">
        <v>0</v>
      </c>
      <c r="K35" s="169">
        <v>136</v>
      </c>
      <c r="L35" s="169">
        <v>96</v>
      </c>
      <c r="M35" s="169">
        <v>24737</v>
      </c>
      <c r="N35" s="173"/>
      <c r="O35" s="169">
        <v>29131</v>
      </c>
      <c r="P35" s="171">
        <v>0</v>
      </c>
      <c r="Q35" s="178"/>
      <c r="R35" s="169">
        <v>16149</v>
      </c>
      <c r="S35" s="161">
        <v>0</v>
      </c>
      <c r="T35" s="161">
        <v>0</v>
      </c>
      <c r="U35" s="86">
        <f t="shared" si="0"/>
        <v>0</v>
      </c>
      <c r="V35" s="27">
        <v>1967</v>
      </c>
      <c r="W35" s="27">
        <v>131</v>
      </c>
      <c r="X35" s="27">
        <v>25</v>
      </c>
      <c r="Y35" s="53">
        <v>12477</v>
      </c>
      <c r="Z35" s="27"/>
      <c r="AA35" s="27">
        <v>273</v>
      </c>
      <c r="AB35" s="27">
        <v>136</v>
      </c>
      <c r="AC35" s="27">
        <v>96</v>
      </c>
      <c r="AD35" s="53">
        <v>16149</v>
      </c>
      <c r="AE35" s="53">
        <v>29131</v>
      </c>
      <c r="AF35" s="27"/>
      <c r="AG35" s="27" t="s">
        <v>1685</v>
      </c>
      <c r="AH35" s="27" t="s">
        <v>1777</v>
      </c>
      <c r="AI35" s="27" t="s">
        <v>1777</v>
      </c>
      <c r="AJ35" s="27" t="s">
        <v>1685</v>
      </c>
      <c r="AK35" s="27"/>
      <c r="AL35" s="53">
        <v>5949</v>
      </c>
      <c r="AM35" s="27" t="s">
        <v>1777</v>
      </c>
      <c r="AN35" s="27"/>
      <c r="AO35" s="27" t="s">
        <v>1777</v>
      </c>
      <c r="AP35" s="27"/>
      <c r="AQ35" s="27" t="s">
        <v>1777</v>
      </c>
      <c r="AR35" s="27" t="b">
        <f t="shared" si="1"/>
        <v>1</v>
      </c>
      <c r="AT35" t="b">
        <f t="shared" si="2"/>
        <v>1</v>
      </c>
      <c r="AW35" t="b">
        <f t="shared" si="3"/>
        <v>1</v>
      </c>
      <c r="AX35" t="b">
        <f t="shared" si="4"/>
        <v>1</v>
      </c>
      <c r="AY35" t="b">
        <f t="shared" si="5"/>
        <v>1</v>
      </c>
      <c r="AZ35" t="b">
        <f t="shared" si="6"/>
        <v>1</v>
      </c>
      <c r="BA35" t="b">
        <f t="shared" si="7"/>
        <v>1</v>
      </c>
      <c r="BB35" t="b">
        <f t="shared" si="8"/>
        <v>1</v>
      </c>
      <c r="BD35" t="b">
        <f t="shared" si="9"/>
        <v>1</v>
      </c>
      <c r="BG35" t="b">
        <f t="shared" si="10"/>
        <v>1</v>
      </c>
    </row>
    <row r="36" spans="1:59" x14ac:dyDescent="0.25">
      <c r="A36" s="160" t="s">
        <v>1799</v>
      </c>
      <c r="B36" s="161">
        <v>0</v>
      </c>
      <c r="C36" s="169">
        <v>128</v>
      </c>
      <c r="D36" s="167">
        <v>12842</v>
      </c>
      <c r="E36" s="169">
        <v>12842</v>
      </c>
      <c r="F36" s="171">
        <v>12842</v>
      </c>
      <c r="G36" s="177">
        <v>0</v>
      </c>
      <c r="H36" s="169">
        <v>6529</v>
      </c>
      <c r="I36" s="169">
        <v>294</v>
      </c>
      <c r="J36" s="169">
        <v>0</v>
      </c>
      <c r="K36" s="169">
        <v>118</v>
      </c>
      <c r="L36" s="169">
        <v>99</v>
      </c>
      <c r="M36" s="169">
        <v>25396</v>
      </c>
      <c r="N36" s="173"/>
      <c r="O36" s="169">
        <v>29154</v>
      </c>
      <c r="P36" s="171">
        <v>0</v>
      </c>
      <c r="Q36" s="178"/>
      <c r="R36" s="169">
        <v>15801</v>
      </c>
      <c r="S36" s="161">
        <v>0</v>
      </c>
      <c r="T36" s="161">
        <v>0</v>
      </c>
      <c r="U36" s="86">
        <f t="shared" si="0"/>
        <v>0</v>
      </c>
      <c r="V36" s="27">
        <v>1968</v>
      </c>
      <c r="W36" s="27">
        <v>128</v>
      </c>
      <c r="X36" s="27">
        <v>25</v>
      </c>
      <c r="Y36" s="53">
        <v>12842</v>
      </c>
      <c r="Z36" s="27"/>
      <c r="AA36" s="27">
        <v>294</v>
      </c>
      <c r="AB36" s="27">
        <v>118</v>
      </c>
      <c r="AC36" s="27">
        <v>99</v>
      </c>
      <c r="AD36" s="53">
        <v>15801</v>
      </c>
      <c r="AE36" s="53">
        <v>29154</v>
      </c>
      <c r="AF36" s="27"/>
      <c r="AG36" s="27" t="s">
        <v>1685</v>
      </c>
      <c r="AH36" s="27" t="s">
        <v>1777</v>
      </c>
      <c r="AI36" s="27" t="s">
        <v>1777</v>
      </c>
      <c r="AJ36" s="27" t="s">
        <v>1685</v>
      </c>
      <c r="AK36" s="27"/>
      <c r="AL36" s="53">
        <v>6529</v>
      </c>
      <c r="AM36" s="27" t="s">
        <v>1777</v>
      </c>
      <c r="AN36" s="27"/>
      <c r="AO36" s="27" t="s">
        <v>1777</v>
      </c>
      <c r="AP36" s="27"/>
      <c r="AQ36" s="27" t="s">
        <v>1777</v>
      </c>
      <c r="AR36" s="27" t="b">
        <f t="shared" si="1"/>
        <v>1</v>
      </c>
      <c r="AT36" t="b">
        <f t="shared" si="2"/>
        <v>1</v>
      </c>
      <c r="AW36" t="b">
        <f t="shared" si="3"/>
        <v>1</v>
      </c>
      <c r="AX36" t="b">
        <f t="shared" si="4"/>
        <v>1</v>
      </c>
      <c r="AY36" t="b">
        <f t="shared" si="5"/>
        <v>1</v>
      </c>
      <c r="AZ36" t="b">
        <f t="shared" si="6"/>
        <v>1</v>
      </c>
      <c r="BA36" t="b">
        <f t="shared" si="7"/>
        <v>1</v>
      </c>
      <c r="BB36" t="b">
        <f t="shared" si="8"/>
        <v>1</v>
      </c>
      <c r="BD36" t="b">
        <f t="shared" si="9"/>
        <v>1</v>
      </c>
      <c r="BG36" t="b">
        <f t="shared" si="10"/>
        <v>1</v>
      </c>
    </row>
    <row r="37" spans="1:59" x14ac:dyDescent="0.25">
      <c r="A37" s="160" t="s">
        <v>1800</v>
      </c>
      <c r="B37" s="161">
        <v>0</v>
      </c>
      <c r="C37" s="169">
        <v>99</v>
      </c>
      <c r="D37" s="167">
        <v>13230</v>
      </c>
      <c r="E37" s="169">
        <v>13230</v>
      </c>
      <c r="F37" s="171">
        <v>13230</v>
      </c>
      <c r="G37" s="177">
        <v>0</v>
      </c>
      <c r="H37" s="169">
        <v>7075</v>
      </c>
      <c r="I37" s="169">
        <v>329</v>
      </c>
      <c r="J37" s="169">
        <v>0</v>
      </c>
      <c r="K37" s="169">
        <v>118</v>
      </c>
      <c r="L37" s="169">
        <v>100</v>
      </c>
      <c r="M37" s="169">
        <v>29821</v>
      </c>
      <c r="N37" s="173"/>
      <c r="O37" s="169">
        <v>28446</v>
      </c>
      <c r="P37" s="171">
        <v>0</v>
      </c>
      <c r="Q37" s="178"/>
      <c r="R37" s="169">
        <v>14669</v>
      </c>
      <c r="S37" s="161">
        <v>0</v>
      </c>
      <c r="T37" s="161">
        <v>0</v>
      </c>
      <c r="U37" s="86">
        <f t="shared" si="0"/>
        <v>0</v>
      </c>
      <c r="V37" s="27">
        <v>1969</v>
      </c>
      <c r="W37" s="27">
        <v>99</v>
      </c>
      <c r="X37" s="27">
        <v>30</v>
      </c>
      <c r="Y37" s="53">
        <v>13230</v>
      </c>
      <c r="Z37" s="27"/>
      <c r="AA37" s="27">
        <v>329</v>
      </c>
      <c r="AB37" s="27">
        <v>118</v>
      </c>
      <c r="AC37" s="27">
        <v>100</v>
      </c>
      <c r="AD37" s="53">
        <v>14669</v>
      </c>
      <c r="AE37" s="53">
        <v>28446</v>
      </c>
      <c r="AF37" s="27"/>
      <c r="AG37" s="27" t="s">
        <v>1685</v>
      </c>
      <c r="AH37" s="27" t="s">
        <v>1777</v>
      </c>
      <c r="AI37" s="27" t="s">
        <v>1777</v>
      </c>
      <c r="AJ37" s="27" t="s">
        <v>1685</v>
      </c>
      <c r="AK37" s="27"/>
      <c r="AL37" s="53">
        <v>7075</v>
      </c>
      <c r="AM37" s="27" t="s">
        <v>1777</v>
      </c>
      <c r="AN37" s="27"/>
      <c r="AO37" s="27" t="s">
        <v>1777</v>
      </c>
      <c r="AP37" s="27"/>
      <c r="AQ37" s="27" t="s">
        <v>1777</v>
      </c>
      <c r="AR37" s="27" t="b">
        <f t="shared" si="1"/>
        <v>1</v>
      </c>
      <c r="AT37" t="b">
        <f t="shared" si="2"/>
        <v>1</v>
      </c>
      <c r="AW37" t="b">
        <f t="shared" si="3"/>
        <v>1</v>
      </c>
      <c r="AX37" t="b">
        <f t="shared" si="4"/>
        <v>1</v>
      </c>
      <c r="AY37" t="b">
        <f t="shared" si="5"/>
        <v>1</v>
      </c>
      <c r="AZ37" t="b">
        <f t="shared" si="6"/>
        <v>1</v>
      </c>
      <c r="BA37" t="b">
        <f t="shared" si="7"/>
        <v>1</v>
      </c>
      <c r="BB37" t="b">
        <f t="shared" si="8"/>
        <v>1</v>
      </c>
      <c r="BD37" t="b">
        <f t="shared" si="9"/>
        <v>1</v>
      </c>
      <c r="BG37" t="b">
        <f t="shared" si="10"/>
        <v>1</v>
      </c>
    </row>
    <row r="38" spans="1:59" x14ac:dyDescent="0.25">
      <c r="A38" s="160" t="s">
        <v>1801</v>
      </c>
      <c r="B38" s="161">
        <v>0</v>
      </c>
      <c r="C38" s="169">
        <v>82</v>
      </c>
      <c r="D38" s="167">
        <v>13438</v>
      </c>
      <c r="E38" s="169">
        <v>13438</v>
      </c>
      <c r="F38" s="171">
        <v>13438</v>
      </c>
      <c r="G38" s="177">
        <v>0</v>
      </c>
      <c r="H38" s="169">
        <v>7782</v>
      </c>
      <c r="I38" s="169">
        <v>314</v>
      </c>
      <c r="J38" s="169">
        <v>0</v>
      </c>
      <c r="K38" s="169">
        <v>119</v>
      </c>
      <c r="L38" s="169">
        <v>102</v>
      </c>
      <c r="M38" s="169">
        <v>35356</v>
      </c>
      <c r="N38" s="173"/>
      <c r="O38" s="169">
        <v>28845</v>
      </c>
      <c r="P38" s="171">
        <v>0</v>
      </c>
      <c r="Q38" s="178"/>
      <c r="R38" s="169">
        <v>14872</v>
      </c>
      <c r="S38" s="161">
        <v>0</v>
      </c>
      <c r="T38" s="161">
        <v>0</v>
      </c>
      <c r="U38" s="86">
        <f t="shared" si="0"/>
        <v>0</v>
      </c>
      <c r="V38" s="27">
        <v>1970</v>
      </c>
      <c r="W38" s="27">
        <v>82</v>
      </c>
      <c r="X38" s="27">
        <v>35</v>
      </c>
      <c r="Y38" s="53">
        <v>13438</v>
      </c>
      <c r="Z38" s="27"/>
      <c r="AA38" s="27">
        <v>314</v>
      </c>
      <c r="AB38" s="27">
        <v>119</v>
      </c>
      <c r="AC38" s="27">
        <v>102</v>
      </c>
      <c r="AD38" s="53">
        <v>14872</v>
      </c>
      <c r="AE38" s="53">
        <v>28845</v>
      </c>
      <c r="AF38" s="27"/>
      <c r="AG38" s="27" t="s">
        <v>1685</v>
      </c>
      <c r="AH38" s="27" t="s">
        <v>1777</v>
      </c>
      <c r="AI38" s="27" t="s">
        <v>1777</v>
      </c>
      <c r="AJ38" s="27" t="s">
        <v>1685</v>
      </c>
      <c r="AK38" s="27"/>
      <c r="AL38" s="53">
        <v>7782</v>
      </c>
      <c r="AM38" s="27" t="s">
        <v>1777</v>
      </c>
      <c r="AN38" s="27"/>
      <c r="AO38" s="27" t="s">
        <v>1777</v>
      </c>
      <c r="AP38" s="27"/>
      <c r="AQ38" s="27" t="s">
        <v>1777</v>
      </c>
      <c r="AR38" s="27" t="b">
        <f t="shared" si="1"/>
        <v>1</v>
      </c>
      <c r="AT38" t="b">
        <f t="shared" si="2"/>
        <v>1</v>
      </c>
      <c r="AW38" t="b">
        <f t="shared" si="3"/>
        <v>1</v>
      </c>
      <c r="AX38" t="b">
        <f t="shared" si="4"/>
        <v>1</v>
      </c>
      <c r="AY38" t="b">
        <f t="shared" si="5"/>
        <v>1</v>
      </c>
      <c r="AZ38" t="b">
        <f t="shared" si="6"/>
        <v>1</v>
      </c>
      <c r="BA38" t="b">
        <f t="shared" si="7"/>
        <v>1</v>
      </c>
      <c r="BB38" t="b">
        <f t="shared" si="8"/>
        <v>1</v>
      </c>
      <c r="BD38" t="b">
        <f t="shared" si="9"/>
        <v>1</v>
      </c>
      <c r="BG38" t="b">
        <f t="shared" si="10"/>
        <v>1</v>
      </c>
    </row>
    <row r="39" spans="1:59" x14ac:dyDescent="0.25">
      <c r="A39" s="160" t="s">
        <v>1802</v>
      </c>
      <c r="B39" s="161">
        <v>0</v>
      </c>
      <c r="C39" s="169">
        <v>86</v>
      </c>
      <c r="D39" s="167">
        <v>13990</v>
      </c>
      <c r="E39" s="169">
        <v>13990</v>
      </c>
      <c r="F39" s="171">
        <v>13990</v>
      </c>
      <c r="G39" s="177">
        <v>0</v>
      </c>
      <c r="H39" s="169">
        <v>8563</v>
      </c>
      <c r="I39" s="169">
        <v>317</v>
      </c>
      <c r="J39" s="169">
        <v>0</v>
      </c>
      <c r="K39" s="169">
        <v>119</v>
      </c>
      <c r="L39" s="169">
        <v>103</v>
      </c>
      <c r="M39" s="169">
        <v>36994</v>
      </c>
      <c r="N39" s="173"/>
      <c r="O39" s="169">
        <v>28416</v>
      </c>
      <c r="P39" s="171">
        <v>0</v>
      </c>
      <c r="Q39" s="178"/>
      <c r="R39" s="169">
        <v>13887</v>
      </c>
      <c r="S39" s="161">
        <v>0</v>
      </c>
      <c r="T39" s="161">
        <v>0</v>
      </c>
      <c r="U39" s="86">
        <f t="shared" si="0"/>
        <v>0</v>
      </c>
      <c r="V39" s="27">
        <v>1971</v>
      </c>
      <c r="W39" s="27">
        <v>86</v>
      </c>
      <c r="X39" s="27">
        <v>37</v>
      </c>
      <c r="Y39" s="53">
        <v>13990</v>
      </c>
      <c r="Z39" s="27"/>
      <c r="AA39" s="27">
        <v>317</v>
      </c>
      <c r="AB39" s="27">
        <v>119</v>
      </c>
      <c r="AC39" s="27">
        <v>103</v>
      </c>
      <c r="AD39" s="53">
        <v>13887</v>
      </c>
      <c r="AE39" s="53">
        <v>28416</v>
      </c>
      <c r="AF39" s="27"/>
      <c r="AG39" s="27" t="s">
        <v>1685</v>
      </c>
      <c r="AH39" s="27" t="s">
        <v>1777</v>
      </c>
      <c r="AI39" s="27" t="s">
        <v>1777</v>
      </c>
      <c r="AJ39" s="27" t="s">
        <v>1685</v>
      </c>
      <c r="AK39" s="27"/>
      <c r="AL39" s="53">
        <v>8563</v>
      </c>
      <c r="AM39" s="27" t="s">
        <v>1777</v>
      </c>
      <c r="AN39" s="27"/>
      <c r="AO39" s="27" t="s">
        <v>1777</v>
      </c>
      <c r="AP39" s="27"/>
      <c r="AQ39" s="27" t="s">
        <v>1777</v>
      </c>
      <c r="AR39" s="27" t="b">
        <f t="shared" si="1"/>
        <v>1</v>
      </c>
      <c r="AT39" t="b">
        <f t="shared" si="2"/>
        <v>1</v>
      </c>
      <c r="AW39" t="b">
        <f t="shared" si="3"/>
        <v>1</v>
      </c>
      <c r="AX39" t="b">
        <f t="shared" si="4"/>
        <v>1</v>
      </c>
      <c r="AY39" t="b">
        <f t="shared" si="5"/>
        <v>1</v>
      </c>
      <c r="AZ39" t="b">
        <f t="shared" si="6"/>
        <v>1</v>
      </c>
      <c r="BA39" t="b">
        <f t="shared" si="7"/>
        <v>1</v>
      </c>
      <c r="BB39" t="b">
        <f t="shared" si="8"/>
        <v>1</v>
      </c>
      <c r="BD39" t="b">
        <f t="shared" si="9"/>
        <v>1</v>
      </c>
      <c r="BG39" t="b">
        <f t="shared" si="10"/>
        <v>1</v>
      </c>
    </row>
    <row r="40" spans="1:59" x14ac:dyDescent="0.25">
      <c r="A40" s="160" t="s">
        <v>1803</v>
      </c>
      <c r="B40" s="161">
        <v>0</v>
      </c>
      <c r="C40" s="169">
        <v>74</v>
      </c>
      <c r="D40" s="167">
        <v>14441</v>
      </c>
      <c r="E40" s="169">
        <v>14441</v>
      </c>
      <c r="F40" s="171">
        <v>14441</v>
      </c>
      <c r="G40" s="177">
        <v>0</v>
      </c>
      <c r="H40" s="169">
        <v>9372</v>
      </c>
      <c r="I40" s="169">
        <v>353</v>
      </c>
      <c r="J40" s="169">
        <v>0</v>
      </c>
      <c r="K40" s="169">
        <v>126</v>
      </c>
      <c r="L40" s="169">
        <v>104</v>
      </c>
      <c r="M40" s="169">
        <v>36778</v>
      </c>
      <c r="N40" s="173"/>
      <c r="O40" s="169">
        <v>28867</v>
      </c>
      <c r="P40" s="171">
        <v>0</v>
      </c>
      <c r="Q40" s="178"/>
      <c r="R40" s="169">
        <v>13844</v>
      </c>
      <c r="S40" s="161">
        <v>0</v>
      </c>
      <c r="T40" s="161">
        <v>0</v>
      </c>
      <c r="U40" s="86">
        <f t="shared" si="0"/>
        <v>1</v>
      </c>
      <c r="V40" s="27">
        <v>1972</v>
      </c>
      <c r="W40" s="27">
        <v>74</v>
      </c>
      <c r="X40" s="27">
        <v>37</v>
      </c>
      <c r="Y40" s="53">
        <v>14441</v>
      </c>
      <c r="Z40" s="27"/>
      <c r="AA40" s="27">
        <v>353</v>
      </c>
      <c r="AB40" s="27">
        <v>126</v>
      </c>
      <c r="AC40" s="27">
        <v>104</v>
      </c>
      <c r="AD40" s="53">
        <v>13844</v>
      </c>
      <c r="AE40" s="53">
        <v>28867</v>
      </c>
      <c r="AF40" s="27"/>
      <c r="AG40" s="27" t="s">
        <v>1685</v>
      </c>
      <c r="AH40" s="27" t="s">
        <v>1777</v>
      </c>
      <c r="AI40" s="27" t="s">
        <v>1777</v>
      </c>
      <c r="AJ40" s="27" t="s">
        <v>1685</v>
      </c>
      <c r="AK40" s="27"/>
      <c r="AL40" s="53">
        <v>9372</v>
      </c>
      <c r="AM40" s="27" t="s">
        <v>1777</v>
      </c>
      <c r="AN40" s="27"/>
      <c r="AO40" s="27" t="s">
        <v>1777</v>
      </c>
      <c r="AP40" s="27"/>
      <c r="AQ40" s="27" t="s">
        <v>1777</v>
      </c>
      <c r="AR40" s="27" t="b">
        <f t="shared" si="1"/>
        <v>1</v>
      </c>
      <c r="AT40" t="b">
        <f t="shared" si="2"/>
        <v>1</v>
      </c>
      <c r="AW40" t="b">
        <f t="shared" si="3"/>
        <v>1</v>
      </c>
      <c r="AX40" t="b">
        <f t="shared" si="4"/>
        <v>1</v>
      </c>
      <c r="AY40" t="b">
        <f t="shared" si="5"/>
        <v>1</v>
      </c>
      <c r="AZ40" t="b">
        <f t="shared" si="6"/>
        <v>1</v>
      </c>
      <c r="BA40" t="b">
        <f t="shared" si="7"/>
        <v>1</v>
      </c>
      <c r="BB40" t="b">
        <f t="shared" si="8"/>
        <v>1</v>
      </c>
      <c r="BD40" t="b">
        <f t="shared" si="9"/>
        <v>1</v>
      </c>
      <c r="BG40" t="b">
        <f t="shared" si="10"/>
        <v>1</v>
      </c>
    </row>
    <row r="41" spans="1:59" x14ac:dyDescent="0.25">
      <c r="A41" s="160" t="s">
        <v>1804</v>
      </c>
      <c r="B41" s="161">
        <v>0</v>
      </c>
      <c r="C41" s="169">
        <v>89</v>
      </c>
      <c r="D41" s="167">
        <v>14519</v>
      </c>
      <c r="E41" s="169">
        <v>14519</v>
      </c>
      <c r="F41" s="171">
        <v>14519</v>
      </c>
      <c r="G41" s="177">
        <v>0</v>
      </c>
      <c r="H41" s="169">
        <v>10380</v>
      </c>
      <c r="I41" s="169">
        <v>324</v>
      </c>
      <c r="J41" s="169">
        <v>0</v>
      </c>
      <c r="K41" s="169">
        <v>87</v>
      </c>
      <c r="L41" s="169">
        <v>105</v>
      </c>
      <c r="M41" s="169">
        <v>39288</v>
      </c>
      <c r="N41" s="173"/>
      <c r="O41" s="169">
        <v>29022</v>
      </c>
      <c r="P41" s="171">
        <v>0</v>
      </c>
      <c r="Q41" s="178"/>
      <c r="R41" s="169">
        <v>13988</v>
      </c>
      <c r="S41" s="161">
        <v>0</v>
      </c>
      <c r="T41" s="161">
        <v>0</v>
      </c>
      <c r="U41" s="86">
        <f t="shared" si="0"/>
        <v>1</v>
      </c>
      <c r="V41" s="27">
        <v>1973</v>
      </c>
      <c r="W41" s="27">
        <v>89</v>
      </c>
      <c r="X41" s="27">
        <v>39</v>
      </c>
      <c r="Y41" s="53">
        <v>14519</v>
      </c>
      <c r="Z41" s="27"/>
      <c r="AA41" s="27">
        <v>324</v>
      </c>
      <c r="AB41" s="27">
        <v>87</v>
      </c>
      <c r="AC41" s="27">
        <v>105</v>
      </c>
      <c r="AD41" s="53">
        <v>13988</v>
      </c>
      <c r="AE41" s="53">
        <v>29022</v>
      </c>
      <c r="AF41" s="27"/>
      <c r="AG41" s="27" t="s">
        <v>1685</v>
      </c>
      <c r="AH41" s="27" t="s">
        <v>1777</v>
      </c>
      <c r="AI41" s="27" t="s">
        <v>1777</v>
      </c>
      <c r="AJ41" s="27" t="s">
        <v>1685</v>
      </c>
      <c r="AK41" s="27"/>
      <c r="AL41" s="53">
        <v>10380</v>
      </c>
      <c r="AM41" s="27" t="s">
        <v>1777</v>
      </c>
      <c r="AN41" s="27"/>
      <c r="AO41" s="27" t="s">
        <v>1777</v>
      </c>
      <c r="AP41" s="27"/>
      <c r="AQ41" s="27" t="s">
        <v>1777</v>
      </c>
      <c r="AR41" s="27" t="b">
        <f t="shared" si="1"/>
        <v>1</v>
      </c>
      <c r="AT41" t="b">
        <f t="shared" si="2"/>
        <v>1</v>
      </c>
      <c r="AW41" t="b">
        <f t="shared" si="3"/>
        <v>1</v>
      </c>
      <c r="AX41" t="b">
        <f t="shared" si="4"/>
        <v>1</v>
      </c>
      <c r="AY41" t="b">
        <f t="shared" si="5"/>
        <v>1</v>
      </c>
      <c r="AZ41" t="b">
        <f t="shared" si="6"/>
        <v>1</v>
      </c>
      <c r="BA41" t="b">
        <f t="shared" si="7"/>
        <v>1</v>
      </c>
      <c r="BB41" t="b">
        <f t="shared" si="8"/>
        <v>1</v>
      </c>
      <c r="BD41" t="b">
        <f t="shared" si="9"/>
        <v>1</v>
      </c>
      <c r="BG41" t="b">
        <f t="shared" si="10"/>
        <v>1</v>
      </c>
    </row>
    <row r="42" spans="1:59" x14ac:dyDescent="0.25">
      <c r="A42" s="160" t="s">
        <v>1805</v>
      </c>
      <c r="B42" s="161">
        <v>0</v>
      </c>
      <c r="C42" s="169">
        <v>90</v>
      </c>
      <c r="D42" s="167">
        <v>13632</v>
      </c>
      <c r="E42" s="169">
        <v>13632</v>
      </c>
      <c r="F42" s="171">
        <v>13632</v>
      </c>
      <c r="G42" s="177">
        <v>0</v>
      </c>
      <c r="H42" s="169">
        <v>10147</v>
      </c>
      <c r="I42" s="169">
        <v>319</v>
      </c>
      <c r="J42" s="169">
        <v>0</v>
      </c>
      <c r="K42" s="169">
        <v>53</v>
      </c>
      <c r="L42" s="169">
        <v>106</v>
      </c>
      <c r="M42" s="169">
        <v>37384</v>
      </c>
      <c r="N42" s="173"/>
      <c r="O42" s="169">
        <v>25236</v>
      </c>
      <c r="P42" s="171">
        <v>0</v>
      </c>
      <c r="Q42" s="178"/>
      <c r="R42" s="169">
        <v>11127</v>
      </c>
      <c r="S42" s="161">
        <v>0</v>
      </c>
      <c r="T42" s="161">
        <v>0</v>
      </c>
      <c r="U42" s="86">
        <f t="shared" si="0"/>
        <v>1</v>
      </c>
      <c r="V42" s="27">
        <v>1974</v>
      </c>
      <c r="W42" s="27">
        <v>90</v>
      </c>
      <c r="X42" s="27">
        <v>37</v>
      </c>
      <c r="Y42" s="53">
        <v>13632</v>
      </c>
      <c r="Z42" s="27"/>
      <c r="AA42" s="27">
        <v>319</v>
      </c>
      <c r="AB42" s="27">
        <v>53</v>
      </c>
      <c r="AC42" s="27">
        <v>106</v>
      </c>
      <c r="AD42" s="53">
        <v>11127</v>
      </c>
      <c r="AE42" s="53">
        <v>25236</v>
      </c>
      <c r="AF42" s="27"/>
      <c r="AG42" s="27" t="s">
        <v>1685</v>
      </c>
      <c r="AH42" s="27" t="s">
        <v>1777</v>
      </c>
      <c r="AI42" s="27" t="s">
        <v>1777</v>
      </c>
      <c r="AJ42" s="27" t="s">
        <v>1685</v>
      </c>
      <c r="AK42" s="27"/>
      <c r="AL42" s="53">
        <v>10147</v>
      </c>
      <c r="AM42" s="27" t="s">
        <v>1777</v>
      </c>
      <c r="AN42" s="27"/>
      <c r="AO42" s="27" t="s">
        <v>1777</v>
      </c>
      <c r="AP42" s="27"/>
      <c r="AQ42" s="27" t="s">
        <v>1777</v>
      </c>
      <c r="AR42" s="27" t="b">
        <f t="shared" si="1"/>
        <v>1</v>
      </c>
      <c r="AT42" t="b">
        <f t="shared" si="2"/>
        <v>1</v>
      </c>
      <c r="AW42" t="b">
        <f t="shared" si="3"/>
        <v>1</v>
      </c>
      <c r="AX42" t="b">
        <f t="shared" si="4"/>
        <v>1</v>
      </c>
      <c r="AY42" t="b">
        <f t="shared" si="5"/>
        <v>1</v>
      </c>
      <c r="AZ42" t="b">
        <f t="shared" si="6"/>
        <v>1</v>
      </c>
      <c r="BA42" t="b">
        <f t="shared" si="7"/>
        <v>1</v>
      </c>
      <c r="BB42" t="b">
        <f t="shared" si="8"/>
        <v>1</v>
      </c>
      <c r="BD42" t="b">
        <f t="shared" si="9"/>
        <v>1</v>
      </c>
      <c r="BG42" t="b">
        <f t="shared" si="10"/>
        <v>1</v>
      </c>
    </row>
    <row r="43" spans="1:59" x14ac:dyDescent="0.25">
      <c r="A43" s="160" t="s">
        <v>1806</v>
      </c>
      <c r="B43" s="161">
        <v>0</v>
      </c>
      <c r="C43" s="169">
        <v>71</v>
      </c>
      <c r="D43" s="167">
        <v>13204</v>
      </c>
      <c r="E43" s="169">
        <v>13204</v>
      </c>
      <c r="F43" s="171">
        <v>13204</v>
      </c>
      <c r="G43" s="177">
        <v>0</v>
      </c>
      <c r="H43" s="169">
        <v>11397</v>
      </c>
      <c r="I43" s="169">
        <v>338</v>
      </c>
      <c r="J43" s="169">
        <v>0</v>
      </c>
      <c r="K43" s="169">
        <v>49</v>
      </c>
      <c r="L43" s="169">
        <v>109</v>
      </c>
      <c r="M43" s="169">
        <v>37812</v>
      </c>
      <c r="N43" s="173"/>
      <c r="O43" s="169">
        <v>22823</v>
      </c>
      <c r="P43" s="171">
        <v>0</v>
      </c>
      <c r="Q43" s="178"/>
      <c r="R43" s="169">
        <v>9122</v>
      </c>
      <c r="S43" s="161">
        <v>0</v>
      </c>
      <c r="T43" s="161">
        <v>0</v>
      </c>
      <c r="U43" s="86">
        <f t="shared" si="0"/>
        <v>-1</v>
      </c>
      <c r="V43" s="27">
        <v>1975</v>
      </c>
      <c r="W43" s="27">
        <v>71</v>
      </c>
      <c r="X43" s="27">
        <v>38</v>
      </c>
      <c r="Y43" s="53">
        <v>13204</v>
      </c>
      <c r="Z43" s="27"/>
      <c r="AA43" s="27">
        <v>338</v>
      </c>
      <c r="AB43" s="27">
        <v>49</v>
      </c>
      <c r="AC43" s="27">
        <v>109</v>
      </c>
      <c r="AD43" s="53">
        <v>9122</v>
      </c>
      <c r="AE43" s="53">
        <v>22823</v>
      </c>
      <c r="AF43" s="27"/>
      <c r="AG43" s="27" t="s">
        <v>1685</v>
      </c>
      <c r="AH43" s="27" t="s">
        <v>1777</v>
      </c>
      <c r="AI43" s="27" t="s">
        <v>1777</v>
      </c>
      <c r="AJ43" s="27" t="s">
        <v>1685</v>
      </c>
      <c r="AK43" s="27"/>
      <c r="AL43" s="53">
        <v>11397</v>
      </c>
      <c r="AM43" s="27" t="s">
        <v>1777</v>
      </c>
      <c r="AN43" s="27"/>
      <c r="AO43" s="27" t="s">
        <v>1777</v>
      </c>
      <c r="AP43" s="27"/>
      <c r="AQ43" s="27" t="s">
        <v>1777</v>
      </c>
      <c r="AR43" s="27" t="b">
        <f t="shared" si="1"/>
        <v>1</v>
      </c>
      <c r="AT43" t="b">
        <f t="shared" si="2"/>
        <v>1</v>
      </c>
      <c r="AW43" t="b">
        <f t="shared" si="3"/>
        <v>1</v>
      </c>
      <c r="AX43" t="b">
        <f t="shared" si="4"/>
        <v>1</v>
      </c>
      <c r="AY43" t="b">
        <f t="shared" si="5"/>
        <v>1</v>
      </c>
      <c r="AZ43" t="b">
        <f t="shared" si="6"/>
        <v>1</v>
      </c>
      <c r="BA43" t="b">
        <f t="shared" si="7"/>
        <v>1</v>
      </c>
      <c r="BB43" t="b">
        <f t="shared" si="8"/>
        <v>1</v>
      </c>
      <c r="BD43" t="b">
        <f t="shared" si="9"/>
        <v>1</v>
      </c>
      <c r="BG43" t="b">
        <f t="shared" si="10"/>
        <v>1</v>
      </c>
    </row>
    <row r="44" spans="1:59" x14ac:dyDescent="0.25">
      <c r="A44" s="160" t="s">
        <v>1807</v>
      </c>
      <c r="B44" s="161">
        <v>0</v>
      </c>
      <c r="C44" s="169">
        <v>68</v>
      </c>
      <c r="D44" s="167">
        <v>14300</v>
      </c>
      <c r="E44" s="169">
        <v>14300</v>
      </c>
      <c r="F44" s="171">
        <v>14300</v>
      </c>
      <c r="G44" s="177">
        <v>0</v>
      </c>
      <c r="H44" s="169">
        <v>12100</v>
      </c>
      <c r="I44" s="169">
        <v>358</v>
      </c>
      <c r="J44" s="169">
        <v>0</v>
      </c>
      <c r="K44" s="169">
        <v>54</v>
      </c>
      <c r="L44" s="169">
        <v>112</v>
      </c>
      <c r="M44" s="169">
        <v>37763</v>
      </c>
      <c r="N44" s="173"/>
      <c r="O44" s="169">
        <v>24597</v>
      </c>
      <c r="P44" s="171">
        <v>0</v>
      </c>
      <c r="Q44" s="178"/>
      <c r="R44" s="169">
        <v>9774</v>
      </c>
      <c r="S44" s="161">
        <v>0</v>
      </c>
      <c r="T44" s="161">
        <v>0</v>
      </c>
      <c r="U44" s="86">
        <f t="shared" si="0"/>
        <v>1</v>
      </c>
      <c r="V44" s="27">
        <v>1976</v>
      </c>
      <c r="W44" s="27">
        <v>68</v>
      </c>
      <c r="X44" s="27">
        <v>38</v>
      </c>
      <c r="Y44" s="53">
        <v>14300</v>
      </c>
      <c r="Z44" s="27"/>
      <c r="AA44" s="27">
        <v>358</v>
      </c>
      <c r="AB44" s="27">
        <v>54</v>
      </c>
      <c r="AC44" s="27">
        <v>112</v>
      </c>
      <c r="AD44" s="53">
        <v>9774</v>
      </c>
      <c r="AE44" s="53">
        <v>24597</v>
      </c>
      <c r="AF44" s="27"/>
      <c r="AG44" s="27" t="s">
        <v>1685</v>
      </c>
      <c r="AH44" s="27" t="s">
        <v>1777</v>
      </c>
      <c r="AI44" s="27" t="s">
        <v>1777</v>
      </c>
      <c r="AJ44" s="27" t="s">
        <v>1685</v>
      </c>
      <c r="AK44" s="27"/>
      <c r="AL44" s="53">
        <v>12100</v>
      </c>
      <c r="AM44" s="27" t="s">
        <v>1777</v>
      </c>
      <c r="AN44" s="27"/>
      <c r="AO44" s="27" t="s">
        <v>1777</v>
      </c>
      <c r="AP44" s="27"/>
      <c r="AQ44" s="27" t="s">
        <v>1777</v>
      </c>
      <c r="AR44" s="27" t="b">
        <f t="shared" si="1"/>
        <v>1</v>
      </c>
      <c r="AT44" t="b">
        <f t="shared" si="2"/>
        <v>1</v>
      </c>
      <c r="AW44" t="b">
        <f t="shared" si="3"/>
        <v>1</v>
      </c>
      <c r="AX44" t="b">
        <f t="shared" si="4"/>
        <v>1</v>
      </c>
      <c r="AY44" t="b">
        <f t="shared" si="5"/>
        <v>1</v>
      </c>
      <c r="AZ44" t="b">
        <f t="shared" si="6"/>
        <v>1</v>
      </c>
      <c r="BA44" t="b">
        <f t="shared" si="7"/>
        <v>1</v>
      </c>
      <c r="BB44" t="b">
        <f t="shared" si="8"/>
        <v>1</v>
      </c>
      <c r="BD44" t="b">
        <f t="shared" si="9"/>
        <v>1</v>
      </c>
      <c r="BG44" t="b">
        <f t="shared" si="10"/>
        <v>1</v>
      </c>
    </row>
    <row r="45" spans="1:59" x14ac:dyDescent="0.25">
      <c r="A45" s="160" t="s">
        <v>1808</v>
      </c>
      <c r="B45" s="161">
        <v>0</v>
      </c>
      <c r="C45" s="169">
        <v>66</v>
      </c>
      <c r="D45" s="167">
        <v>13912</v>
      </c>
      <c r="E45" s="169">
        <v>13912</v>
      </c>
      <c r="F45" s="171">
        <v>13912</v>
      </c>
      <c r="G45" s="177">
        <v>0</v>
      </c>
      <c r="H45" s="169">
        <v>12353</v>
      </c>
      <c r="I45" s="169">
        <v>396</v>
      </c>
      <c r="J45" s="169">
        <v>0</v>
      </c>
      <c r="K45" s="169">
        <v>56</v>
      </c>
      <c r="L45" s="169">
        <v>112</v>
      </c>
      <c r="M45" s="169">
        <v>40598</v>
      </c>
      <c r="N45" s="173"/>
      <c r="O45" s="169">
        <v>23110</v>
      </c>
      <c r="P45" s="171">
        <v>0</v>
      </c>
      <c r="Q45" s="178"/>
      <c r="R45" s="169">
        <v>8633</v>
      </c>
      <c r="S45" s="161">
        <v>0</v>
      </c>
      <c r="T45" s="161">
        <v>0</v>
      </c>
      <c r="U45" s="86">
        <f t="shared" si="0"/>
        <v>-1</v>
      </c>
      <c r="V45" s="27">
        <v>1977</v>
      </c>
      <c r="W45" s="27">
        <v>66</v>
      </c>
      <c r="X45" s="27">
        <v>41</v>
      </c>
      <c r="Y45" s="53">
        <v>13912</v>
      </c>
      <c r="Z45" s="27"/>
      <c r="AA45" s="27">
        <v>396</v>
      </c>
      <c r="AB45" s="27">
        <v>56</v>
      </c>
      <c r="AC45" s="27">
        <v>112</v>
      </c>
      <c r="AD45" s="53">
        <v>8633</v>
      </c>
      <c r="AE45" s="53">
        <v>23110</v>
      </c>
      <c r="AF45" s="27"/>
      <c r="AG45" s="27" t="s">
        <v>1685</v>
      </c>
      <c r="AH45" s="27" t="s">
        <v>1777</v>
      </c>
      <c r="AI45" s="27" t="s">
        <v>1777</v>
      </c>
      <c r="AJ45" s="27" t="s">
        <v>1685</v>
      </c>
      <c r="AK45" s="27"/>
      <c r="AL45" s="53">
        <v>12353</v>
      </c>
      <c r="AM45" s="27" t="s">
        <v>1777</v>
      </c>
      <c r="AN45" s="27"/>
      <c r="AO45" s="27" t="s">
        <v>1777</v>
      </c>
      <c r="AP45" s="27"/>
      <c r="AQ45" s="27" t="s">
        <v>1777</v>
      </c>
      <c r="AR45" s="27" t="b">
        <f t="shared" si="1"/>
        <v>1</v>
      </c>
      <c r="AT45" t="b">
        <f t="shared" si="2"/>
        <v>1</v>
      </c>
      <c r="AW45" t="b">
        <f t="shared" si="3"/>
        <v>1</v>
      </c>
      <c r="AX45" t="b">
        <f t="shared" si="4"/>
        <v>1</v>
      </c>
      <c r="AY45" t="b">
        <f t="shared" si="5"/>
        <v>1</v>
      </c>
      <c r="AZ45" t="b">
        <f t="shared" si="6"/>
        <v>1</v>
      </c>
      <c r="BA45" t="b">
        <f t="shared" si="7"/>
        <v>1</v>
      </c>
      <c r="BB45" t="b">
        <f t="shared" si="8"/>
        <v>1</v>
      </c>
      <c r="BD45" t="b">
        <f t="shared" si="9"/>
        <v>1</v>
      </c>
      <c r="BG45" t="b">
        <f t="shared" si="10"/>
        <v>1</v>
      </c>
    </row>
    <row r="46" spans="1:59" x14ac:dyDescent="0.25">
      <c r="A46" s="160" t="s">
        <v>1809</v>
      </c>
      <c r="B46" s="161">
        <v>0</v>
      </c>
      <c r="C46" s="169">
        <v>49</v>
      </c>
      <c r="D46" s="167">
        <v>13292</v>
      </c>
      <c r="E46" s="169">
        <v>13292</v>
      </c>
      <c r="F46" s="171">
        <v>13292</v>
      </c>
      <c r="G46" s="177">
        <v>0</v>
      </c>
      <c r="H46" s="169">
        <v>12682</v>
      </c>
      <c r="I46" s="169">
        <v>380</v>
      </c>
      <c r="J46" s="169">
        <v>0</v>
      </c>
      <c r="K46" s="169">
        <v>38</v>
      </c>
      <c r="L46" s="169">
        <v>189</v>
      </c>
      <c r="M46" s="169">
        <v>45657</v>
      </c>
      <c r="N46" s="173"/>
      <c r="O46" s="169">
        <v>21423</v>
      </c>
      <c r="P46" s="171">
        <v>0</v>
      </c>
      <c r="Q46" s="178"/>
      <c r="R46" s="169">
        <v>7524</v>
      </c>
      <c r="S46" s="161">
        <v>0</v>
      </c>
      <c r="T46" s="161">
        <v>0</v>
      </c>
      <c r="U46" s="86">
        <f t="shared" si="0"/>
        <v>0</v>
      </c>
      <c r="V46" s="27">
        <v>1978</v>
      </c>
      <c r="W46" s="27">
        <v>49</v>
      </c>
      <c r="X46" s="27">
        <v>46</v>
      </c>
      <c r="Y46" s="53">
        <v>13292</v>
      </c>
      <c r="Z46" s="27"/>
      <c r="AA46" s="27">
        <v>380</v>
      </c>
      <c r="AB46" s="27">
        <v>38</v>
      </c>
      <c r="AC46" s="27">
        <v>189</v>
      </c>
      <c r="AD46" s="53">
        <v>7524</v>
      </c>
      <c r="AE46" s="53">
        <v>21423</v>
      </c>
      <c r="AF46" s="27"/>
      <c r="AG46" s="27" t="s">
        <v>1685</v>
      </c>
      <c r="AH46" s="27" t="s">
        <v>1777</v>
      </c>
      <c r="AI46" s="27" t="s">
        <v>1777</v>
      </c>
      <c r="AJ46" s="27" t="s">
        <v>1685</v>
      </c>
      <c r="AK46" s="27"/>
      <c r="AL46" s="53">
        <v>12682</v>
      </c>
      <c r="AM46" s="27" t="s">
        <v>1777</v>
      </c>
      <c r="AN46" s="27"/>
      <c r="AO46" s="27" t="s">
        <v>1777</v>
      </c>
      <c r="AP46" s="27"/>
      <c r="AQ46" s="27" t="s">
        <v>1777</v>
      </c>
      <c r="AR46" s="27" t="b">
        <f t="shared" si="1"/>
        <v>1</v>
      </c>
      <c r="AT46" t="b">
        <f t="shared" si="2"/>
        <v>1</v>
      </c>
      <c r="AW46" t="b">
        <f t="shared" si="3"/>
        <v>1</v>
      </c>
      <c r="AX46" t="b">
        <f t="shared" si="4"/>
        <v>1</v>
      </c>
      <c r="AY46" t="b">
        <f t="shared" si="5"/>
        <v>1</v>
      </c>
      <c r="AZ46" t="b">
        <f t="shared" si="6"/>
        <v>1</v>
      </c>
      <c r="BA46" t="b">
        <f t="shared" si="7"/>
        <v>1</v>
      </c>
      <c r="BB46" t="b">
        <f t="shared" si="8"/>
        <v>1</v>
      </c>
      <c r="BD46" t="b">
        <f t="shared" si="9"/>
        <v>1</v>
      </c>
      <c r="BG46" t="b">
        <f t="shared" si="10"/>
        <v>1</v>
      </c>
    </row>
    <row r="47" spans="1:59" x14ac:dyDescent="0.25">
      <c r="A47" s="160" t="s">
        <v>1810</v>
      </c>
      <c r="B47" s="161">
        <v>0</v>
      </c>
      <c r="C47" s="169">
        <v>43</v>
      </c>
      <c r="D47" s="167">
        <v>9163</v>
      </c>
      <c r="E47" s="169">
        <v>9163</v>
      </c>
      <c r="F47" s="171">
        <v>9163</v>
      </c>
      <c r="G47" s="177">
        <v>0</v>
      </c>
      <c r="H47" s="169">
        <v>12963</v>
      </c>
      <c r="I47" s="169">
        <v>217</v>
      </c>
      <c r="J47" s="169">
        <v>0</v>
      </c>
      <c r="K47" s="169">
        <v>36</v>
      </c>
      <c r="L47" s="169">
        <v>190</v>
      </c>
      <c r="M47" s="169">
        <v>46701</v>
      </c>
      <c r="N47" s="173"/>
      <c r="O47" s="169">
        <v>13384</v>
      </c>
      <c r="P47" s="171">
        <v>0</v>
      </c>
      <c r="Q47" s="178"/>
      <c r="R47" s="169">
        <v>3777</v>
      </c>
      <c r="S47" s="161">
        <v>0</v>
      </c>
      <c r="T47" s="161">
        <v>0</v>
      </c>
      <c r="U47" s="86">
        <f t="shared" si="0"/>
        <v>-1</v>
      </c>
      <c r="V47" s="27">
        <v>1979</v>
      </c>
      <c r="W47" s="27">
        <v>43</v>
      </c>
      <c r="X47" s="27">
        <v>47</v>
      </c>
      <c r="Y47" s="53">
        <v>9163</v>
      </c>
      <c r="Z47" s="27"/>
      <c r="AA47" s="27">
        <v>217</v>
      </c>
      <c r="AB47" s="27">
        <v>36</v>
      </c>
      <c r="AC47" s="27">
        <v>190</v>
      </c>
      <c r="AD47" s="53">
        <v>3777</v>
      </c>
      <c r="AE47" s="53">
        <v>13384</v>
      </c>
      <c r="AF47" s="27"/>
      <c r="AG47" s="27" t="s">
        <v>1685</v>
      </c>
      <c r="AH47" s="27" t="s">
        <v>1777</v>
      </c>
      <c r="AI47" s="27" t="s">
        <v>1777</v>
      </c>
      <c r="AJ47" s="27" t="s">
        <v>1685</v>
      </c>
      <c r="AK47" s="27"/>
      <c r="AL47" s="53">
        <v>12963</v>
      </c>
      <c r="AM47" s="27" t="s">
        <v>1777</v>
      </c>
      <c r="AN47" s="27"/>
      <c r="AO47" s="27" t="s">
        <v>1777</v>
      </c>
      <c r="AP47" s="27"/>
      <c r="AQ47" s="27" t="s">
        <v>1777</v>
      </c>
      <c r="AR47" s="27" t="b">
        <f t="shared" si="1"/>
        <v>1</v>
      </c>
      <c r="AT47" t="b">
        <f t="shared" si="2"/>
        <v>1</v>
      </c>
      <c r="AW47" t="b">
        <f t="shared" si="3"/>
        <v>1</v>
      </c>
      <c r="AX47" t="b">
        <f t="shared" si="4"/>
        <v>1</v>
      </c>
      <c r="AY47" t="b">
        <f t="shared" si="5"/>
        <v>1</v>
      </c>
      <c r="AZ47" t="b">
        <f t="shared" si="6"/>
        <v>1</v>
      </c>
      <c r="BA47" t="b">
        <f t="shared" si="7"/>
        <v>1</v>
      </c>
      <c r="BB47" t="b">
        <f t="shared" si="8"/>
        <v>1</v>
      </c>
      <c r="BD47" t="b">
        <f t="shared" si="9"/>
        <v>1</v>
      </c>
      <c r="BG47" t="b">
        <f t="shared" si="10"/>
        <v>1</v>
      </c>
    </row>
    <row r="48" spans="1:59" x14ac:dyDescent="0.25">
      <c r="A48" s="160" t="s">
        <v>1811</v>
      </c>
      <c r="B48" s="161">
        <v>0</v>
      </c>
      <c r="C48" s="169">
        <v>79</v>
      </c>
      <c r="D48" s="167">
        <v>7510</v>
      </c>
      <c r="E48" s="169">
        <v>7510</v>
      </c>
      <c r="F48" s="171">
        <v>7510</v>
      </c>
      <c r="G48" s="177">
        <v>0</v>
      </c>
      <c r="H48" s="169">
        <v>13047</v>
      </c>
      <c r="I48" s="169">
        <v>227</v>
      </c>
      <c r="J48" s="169">
        <v>0</v>
      </c>
      <c r="K48" s="169">
        <v>30</v>
      </c>
      <c r="L48" s="169">
        <v>191</v>
      </c>
      <c r="M48" s="169">
        <v>53462</v>
      </c>
      <c r="N48" s="173"/>
      <c r="O48" s="169">
        <v>12812</v>
      </c>
      <c r="P48" s="171">
        <v>0</v>
      </c>
      <c r="Q48" s="178"/>
      <c r="R48" s="169">
        <v>4854</v>
      </c>
      <c r="S48" s="161">
        <v>0</v>
      </c>
      <c r="T48" s="161">
        <v>0</v>
      </c>
      <c r="U48" s="86">
        <f t="shared" si="0"/>
        <v>0</v>
      </c>
      <c r="V48" s="27">
        <v>1980</v>
      </c>
      <c r="W48" s="27">
        <v>79</v>
      </c>
      <c r="X48" s="27">
        <v>53</v>
      </c>
      <c r="Y48" s="53">
        <v>7510</v>
      </c>
      <c r="Z48" s="27"/>
      <c r="AA48" s="27">
        <v>227</v>
      </c>
      <c r="AB48" s="27">
        <v>30</v>
      </c>
      <c r="AC48" s="27">
        <v>191</v>
      </c>
      <c r="AD48" s="53">
        <v>4854</v>
      </c>
      <c r="AE48" s="53">
        <v>12812</v>
      </c>
      <c r="AF48" s="27"/>
      <c r="AG48" s="27" t="s">
        <v>1685</v>
      </c>
      <c r="AH48" s="27" t="s">
        <v>1777</v>
      </c>
      <c r="AI48" s="27" t="s">
        <v>1777</v>
      </c>
      <c r="AJ48" s="27" t="s">
        <v>1685</v>
      </c>
      <c r="AK48" s="27"/>
      <c r="AL48" s="53">
        <v>13047</v>
      </c>
      <c r="AM48" s="27" t="s">
        <v>1777</v>
      </c>
      <c r="AN48" s="27"/>
      <c r="AO48" s="27" t="s">
        <v>1777</v>
      </c>
      <c r="AP48" s="27"/>
      <c r="AQ48" s="27" t="s">
        <v>1777</v>
      </c>
      <c r="AR48" s="27" t="b">
        <f t="shared" si="1"/>
        <v>1</v>
      </c>
      <c r="AT48" t="b">
        <f t="shared" si="2"/>
        <v>1</v>
      </c>
      <c r="AW48" t="b">
        <f t="shared" si="3"/>
        <v>1</v>
      </c>
      <c r="AX48" t="b">
        <f t="shared" si="4"/>
        <v>1</v>
      </c>
      <c r="AY48" t="b">
        <f t="shared" si="5"/>
        <v>1</v>
      </c>
      <c r="AZ48" t="b">
        <f t="shared" si="6"/>
        <v>1</v>
      </c>
      <c r="BA48" t="b">
        <f t="shared" si="7"/>
        <v>1</v>
      </c>
      <c r="BB48" t="b">
        <f t="shared" si="8"/>
        <v>1</v>
      </c>
      <c r="BD48" t="b">
        <f t="shared" si="9"/>
        <v>1</v>
      </c>
      <c r="BG48" t="b">
        <f t="shared" si="10"/>
        <v>1</v>
      </c>
    </row>
    <row r="49" spans="1:59" x14ac:dyDescent="0.25">
      <c r="A49" s="160" t="s">
        <v>1812</v>
      </c>
      <c r="B49" s="161">
        <v>0</v>
      </c>
      <c r="C49" s="169">
        <v>107</v>
      </c>
      <c r="D49" s="167">
        <v>5759</v>
      </c>
      <c r="E49" s="169">
        <v>5759</v>
      </c>
      <c r="F49" s="171">
        <v>5759</v>
      </c>
      <c r="G49" s="177">
        <v>0</v>
      </c>
      <c r="H49" s="169">
        <v>13389</v>
      </c>
      <c r="I49" s="169">
        <v>240</v>
      </c>
      <c r="J49" s="169">
        <v>0</v>
      </c>
      <c r="K49" s="169">
        <v>9</v>
      </c>
      <c r="L49" s="169">
        <v>206</v>
      </c>
      <c r="M49" s="169">
        <v>50131</v>
      </c>
      <c r="N49" s="173"/>
      <c r="O49" s="169">
        <v>9363</v>
      </c>
      <c r="P49" s="171">
        <v>0</v>
      </c>
      <c r="Q49" s="178"/>
      <c r="R49" s="169">
        <v>3149</v>
      </c>
      <c r="S49" s="161">
        <v>0</v>
      </c>
      <c r="T49" s="161">
        <v>0</v>
      </c>
      <c r="U49" s="86">
        <f t="shared" si="0"/>
        <v>0</v>
      </c>
      <c r="V49" s="27">
        <v>1981</v>
      </c>
      <c r="W49" s="27">
        <v>107</v>
      </c>
      <c r="X49" s="27">
        <v>50</v>
      </c>
      <c r="Y49" s="53">
        <v>5759</v>
      </c>
      <c r="Z49" s="27"/>
      <c r="AA49" s="27">
        <v>240</v>
      </c>
      <c r="AB49" s="27">
        <v>9</v>
      </c>
      <c r="AC49" s="27">
        <v>206</v>
      </c>
      <c r="AD49" s="53">
        <v>3149</v>
      </c>
      <c r="AE49" s="53">
        <v>9363</v>
      </c>
      <c r="AF49" s="27"/>
      <c r="AG49" s="27" t="s">
        <v>1685</v>
      </c>
      <c r="AH49" s="27" t="s">
        <v>1777</v>
      </c>
      <c r="AI49" s="27" t="s">
        <v>1777</v>
      </c>
      <c r="AJ49" s="27" t="s">
        <v>1685</v>
      </c>
      <c r="AK49" s="27"/>
      <c r="AL49" s="53">
        <v>13389</v>
      </c>
      <c r="AM49" s="27" t="s">
        <v>1777</v>
      </c>
      <c r="AN49" s="27"/>
      <c r="AO49" s="27" t="s">
        <v>1777</v>
      </c>
      <c r="AP49" s="27"/>
      <c r="AQ49" s="27" t="s">
        <v>1777</v>
      </c>
      <c r="AR49" s="27" t="b">
        <f t="shared" si="1"/>
        <v>1</v>
      </c>
      <c r="AT49" t="b">
        <f t="shared" si="2"/>
        <v>1</v>
      </c>
      <c r="AW49" t="b">
        <f t="shared" si="3"/>
        <v>1</v>
      </c>
      <c r="AX49" t="b">
        <f t="shared" si="4"/>
        <v>1</v>
      </c>
      <c r="AY49" t="b">
        <f t="shared" si="5"/>
        <v>1</v>
      </c>
      <c r="AZ49" t="b">
        <f t="shared" si="6"/>
        <v>1</v>
      </c>
      <c r="BA49" t="b">
        <f t="shared" si="7"/>
        <v>1</v>
      </c>
      <c r="BB49" t="b">
        <f t="shared" si="8"/>
        <v>1</v>
      </c>
      <c r="BD49" t="b">
        <f t="shared" si="9"/>
        <v>1</v>
      </c>
      <c r="BG49" t="b">
        <f t="shared" si="10"/>
        <v>1</v>
      </c>
    </row>
    <row r="50" spans="1:59" x14ac:dyDescent="0.25">
      <c r="A50" s="160" t="s">
        <v>1813</v>
      </c>
      <c r="B50" s="161">
        <v>0</v>
      </c>
      <c r="C50" s="169">
        <v>126</v>
      </c>
      <c r="D50" s="167">
        <v>5509</v>
      </c>
      <c r="E50" s="169">
        <v>5509</v>
      </c>
      <c r="F50" s="171">
        <v>5509</v>
      </c>
      <c r="G50" s="177">
        <v>0</v>
      </c>
      <c r="H50" s="169">
        <v>13691</v>
      </c>
      <c r="I50" s="169">
        <v>240</v>
      </c>
      <c r="J50" s="169">
        <v>0</v>
      </c>
      <c r="K50" s="169">
        <v>28</v>
      </c>
      <c r="L50" s="169">
        <v>213</v>
      </c>
      <c r="M50" s="169">
        <v>61286</v>
      </c>
      <c r="N50" s="173"/>
      <c r="O50" s="169">
        <v>10217</v>
      </c>
      <c r="P50" s="171">
        <v>0</v>
      </c>
      <c r="Q50" s="178"/>
      <c r="R50" s="169">
        <v>4227</v>
      </c>
      <c r="S50" s="161">
        <v>0</v>
      </c>
      <c r="T50" s="161">
        <v>0</v>
      </c>
      <c r="U50" s="86">
        <f t="shared" si="0"/>
        <v>0</v>
      </c>
      <c r="V50" s="27">
        <v>1982</v>
      </c>
      <c r="W50" s="27">
        <v>126</v>
      </c>
      <c r="X50" s="27">
        <v>61</v>
      </c>
      <c r="Y50" s="53">
        <v>5509</v>
      </c>
      <c r="Z50" s="27"/>
      <c r="AA50" s="27">
        <v>240</v>
      </c>
      <c r="AB50" s="27">
        <v>28</v>
      </c>
      <c r="AC50" s="27">
        <v>213</v>
      </c>
      <c r="AD50" s="53">
        <v>4227</v>
      </c>
      <c r="AE50" s="53">
        <v>10217</v>
      </c>
      <c r="AF50" s="27"/>
      <c r="AG50" s="27" t="s">
        <v>1685</v>
      </c>
      <c r="AH50" s="27" t="s">
        <v>1777</v>
      </c>
      <c r="AI50" s="27" t="s">
        <v>1777</v>
      </c>
      <c r="AJ50" s="27" t="s">
        <v>1685</v>
      </c>
      <c r="AK50" s="27"/>
      <c r="AL50" s="53">
        <v>13691</v>
      </c>
      <c r="AM50" s="27" t="s">
        <v>1777</v>
      </c>
      <c r="AN50" s="27"/>
      <c r="AO50" s="27" t="s">
        <v>1777</v>
      </c>
      <c r="AP50" s="27"/>
      <c r="AQ50" s="27" t="s">
        <v>1777</v>
      </c>
      <c r="AR50" s="27" t="b">
        <f t="shared" si="1"/>
        <v>1</v>
      </c>
      <c r="AT50" t="b">
        <f t="shared" si="2"/>
        <v>1</v>
      </c>
      <c r="AW50" t="b">
        <f t="shared" si="3"/>
        <v>1</v>
      </c>
      <c r="AX50" t="b">
        <f t="shared" si="4"/>
        <v>1</v>
      </c>
      <c r="AY50" t="b">
        <f t="shared" si="5"/>
        <v>1</v>
      </c>
      <c r="AZ50" t="b">
        <f t="shared" si="6"/>
        <v>1</v>
      </c>
      <c r="BA50" t="b">
        <f t="shared" si="7"/>
        <v>1</v>
      </c>
      <c r="BB50" t="b">
        <f t="shared" si="8"/>
        <v>1</v>
      </c>
      <c r="BD50" t="b">
        <f t="shared" si="9"/>
        <v>1</v>
      </c>
      <c r="BG50" t="b">
        <f t="shared" si="10"/>
        <v>1</v>
      </c>
    </row>
    <row r="51" spans="1:59" x14ac:dyDescent="0.25">
      <c r="A51" s="160" t="s">
        <v>1814</v>
      </c>
      <c r="B51" s="161">
        <v>0</v>
      </c>
      <c r="C51" s="169">
        <v>113</v>
      </c>
      <c r="D51" s="167">
        <v>5444</v>
      </c>
      <c r="E51" s="169">
        <v>5444</v>
      </c>
      <c r="F51" s="171">
        <v>5444</v>
      </c>
      <c r="G51" s="177">
        <v>0</v>
      </c>
      <c r="H51" s="169">
        <v>14370</v>
      </c>
      <c r="I51" s="169">
        <v>285</v>
      </c>
      <c r="J51" s="169">
        <v>0</v>
      </c>
      <c r="K51" s="169">
        <v>36</v>
      </c>
      <c r="L51" s="169">
        <v>193</v>
      </c>
      <c r="M51" s="169">
        <v>39640</v>
      </c>
      <c r="N51" s="173"/>
      <c r="O51" s="169">
        <v>8398</v>
      </c>
      <c r="P51" s="171">
        <v>0</v>
      </c>
      <c r="Q51" s="178"/>
      <c r="R51" s="169">
        <v>2440</v>
      </c>
      <c r="S51" s="161">
        <v>0</v>
      </c>
      <c r="T51" s="161">
        <v>0</v>
      </c>
      <c r="U51" s="86">
        <f t="shared" si="0"/>
        <v>0</v>
      </c>
      <c r="V51" s="27">
        <v>1983</v>
      </c>
      <c r="W51" s="27">
        <v>113</v>
      </c>
      <c r="X51" s="27">
        <v>40</v>
      </c>
      <c r="Y51" s="53">
        <v>5444</v>
      </c>
      <c r="Z51" s="27"/>
      <c r="AA51" s="27">
        <v>285</v>
      </c>
      <c r="AB51" s="27">
        <v>36</v>
      </c>
      <c r="AC51" s="27">
        <v>193</v>
      </c>
      <c r="AD51" s="53">
        <v>2440</v>
      </c>
      <c r="AE51" s="53">
        <v>8398</v>
      </c>
      <c r="AF51" s="27"/>
      <c r="AG51" s="27" t="s">
        <v>1685</v>
      </c>
      <c r="AH51" s="27" t="s">
        <v>1777</v>
      </c>
      <c r="AI51" s="27" t="s">
        <v>1777</v>
      </c>
      <c r="AJ51" s="27" t="s">
        <v>1685</v>
      </c>
      <c r="AK51" s="27"/>
      <c r="AL51" s="53">
        <v>14370</v>
      </c>
      <c r="AM51" s="27" t="s">
        <v>1777</v>
      </c>
      <c r="AN51" s="27"/>
      <c r="AO51" s="27" t="s">
        <v>1777</v>
      </c>
      <c r="AP51" s="27"/>
      <c r="AQ51" s="27" t="s">
        <v>1777</v>
      </c>
      <c r="AR51" s="27" t="b">
        <f t="shared" si="1"/>
        <v>1</v>
      </c>
      <c r="AT51" t="b">
        <f t="shared" si="2"/>
        <v>1</v>
      </c>
      <c r="AW51" t="b">
        <f t="shared" si="3"/>
        <v>1</v>
      </c>
      <c r="AX51" t="b">
        <f t="shared" si="4"/>
        <v>1</v>
      </c>
      <c r="AY51" t="b">
        <f t="shared" si="5"/>
        <v>1</v>
      </c>
      <c r="AZ51" t="b">
        <f t="shared" si="6"/>
        <v>1</v>
      </c>
      <c r="BA51" t="b">
        <f t="shared" si="7"/>
        <v>1</v>
      </c>
      <c r="BB51" t="b">
        <f t="shared" si="8"/>
        <v>1</v>
      </c>
      <c r="BD51" t="b">
        <f t="shared" si="9"/>
        <v>1</v>
      </c>
      <c r="BG51" t="b">
        <f t="shared" si="10"/>
        <v>1</v>
      </c>
    </row>
    <row r="52" spans="1:59" x14ac:dyDescent="0.25">
      <c r="A52" s="160" t="s">
        <v>1815</v>
      </c>
      <c r="B52" s="161">
        <v>0</v>
      </c>
      <c r="C52" s="169">
        <v>176</v>
      </c>
      <c r="D52" s="167">
        <v>6403</v>
      </c>
      <c r="E52" s="169">
        <v>6403</v>
      </c>
      <c r="F52" s="171">
        <v>6403</v>
      </c>
      <c r="G52" s="177">
        <v>0</v>
      </c>
      <c r="H52" s="169">
        <v>14883</v>
      </c>
      <c r="I52" s="169">
        <v>289</v>
      </c>
      <c r="J52" s="169">
        <v>0</v>
      </c>
      <c r="K52" s="169">
        <v>58</v>
      </c>
      <c r="L52" s="169">
        <v>168</v>
      </c>
      <c r="M52" s="169">
        <v>41271</v>
      </c>
      <c r="N52" s="173"/>
      <c r="O52" s="169">
        <v>10249</v>
      </c>
      <c r="P52" s="171">
        <v>0</v>
      </c>
      <c r="Q52" s="178"/>
      <c r="R52" s="169">
        <v>3331</v>
      </c>
      <c r="S52" s="161">
        <v>0</v>
      </c>
      <c r="T52" s="161">
        <v>0</v>
      </c>
      <c r="U52" s="86">
        <f t="shared" si="0"/>
        <v>0</v>
      </c>
      <c r="V52" s="27">
        <v>1984</v>
      </c>
      <c r="W52" s="27">
        <v>176</v>
      </c>
      <c r="X52" s="27">
        <v>41</v>
      </c>
      <c r="Y52" s="53">
        <v>6403</v>
      </c>
      <c r="Z52" s="27"/>
      <c r="AA52" s="27">
        <v>289</v>
      </c>
      <c r="AB52" s="27">
        <v>58</v>
      </c>
      <c r="AC52" s="27">
        <v>168</v>
      </c>
      <c r="AD52" s="53">
        <v>3331</v>
      </c>
      <c r="AE52" s="53">
        <v>10249</v>
      </c>
      <c r="AF52" s="27"/>
      <c r="AG52" s="27" t="s">
        <v>1685</v>
      </c>
      <c r="AH52" s="27" t="s">
        <v>1777</v>
      </c>
      <c r="AI52" s="27" t="s">
        <v>1777</v>
      </c>
      <c r="AJ52" s="27" t="s">
        <v>1685</v>
      </c>
      <c r="AK52" s="27"/>
      <c r="AL52" s="53">
        <v>14883</v>
      </c>
      <c r="AM52" s="27" t="s">
        <v>1777</v>
      </c>
      <c r="AN52" s="27"/>
      <c r="AO52" s="27" t="s">
        <v>1777</v>
      </c>
      <c r="AP52" s="27"/>
      <c r="AQ52" s="27" t="s">
        <v>1777</v>
      </c>
      <c r="AR52" s="27" t="b">
        <f t="shared" si="1"/>
        <v>1</v>
      </c>
      <c r="AT52" t="b">
        <f t="shared" si="2"/>
        <v>1</v>
      </c>
      <c r="AW52" t="b">
        <f t="shared" si="3"/>
        <v>1</v>
      </c>
      <c r="AX52" t="b">
        <f t="shared" si="4"/>
        <v>1</v>
      </c>
      <c r="AY52" t="b">
        <f t="shared" si="5"/>
        <v>1</v>
      </c>
      <c r="AZ52" t="b">
        <f t="shared" si="6"/>
        <v>1</v>
      </c>
      <c r="BA52" t="b">
        <f t="shared" si="7"/>
        <v>1</v>
      </c>
      <c r="BB52" t="b">
        <f t="shared" si="8"/>
        <v>1</v>
      </c>
      <c r="BD52" t="b">
        <f t="shared" si="9"/>
        <v>1</v>
      </c>
      <c r="BG52" t="b">
        <f t="shared" si="10"/>
        <v>1</v>
      </c>
    </row>
    <row r="53" spans="1:59" x14ac:dyDescent="0.25">
      <c r="A53" s="160" t="s">
        <v>1816</v>
      </c>
      <c r="B53" s="161">
        <v>0</v>
      </c>
      <c r="C53" s="169">
        <v>107</v>
      </c>
      <c r="D53" s="167">
        <v>6369</v>
      </c>
      <c r="E53" s="169">
        <v>6369</v>
      </c>
      <c r="F53" s="171">
        <v>6369</v>
      </c>
      <c r="G53" s="177">
        <v>0</v>
      </c>
      <c r="H53" s="169">
        <v>15566</v>
      </c>
      <c r="I53" s="169">
        <v>344</v>
      </c>
      <c r="J53" s="169">
        <v>0</v>
      </c>
      <c r="K53" s="169">
        <v>108</v>
      </c>
      <c r="L53" s="169">
        <v>188</v>
      </c>
      <c r="M53" s="169">
        <v>41382</v>
      </c>
      <c r="N53" s="173"/>
      <c r="O53" s="169">
        <v>10165</v>
      </c>
      <c r="P53" s="171">
        <v>0</v>
      </c>
      <c r="Q53" s="178"/>
      <c r="R53" s="169">
        <v>3157</v>
      </c>
      <c r="S53" s="161">
        <v>0</v>
      </c>
      <c r="T53" s="161">
        <v>0</v>
      </c>
      <c r="U53" s="86">
        <f t="shared" si="0"/>
        <v>1</v>
      </c>
      <c r="V53" s="27">
        <v>1985</v>
      </c>
      <c r="W53" s="27">
        <v>107</v>
      </c>
      <c r="X53" s="27">
        <v>41</v>
      </c>
      <c r="Y53" s="53">
        <v>6369</v>
      </c>
      <c r="Z53" s="27"/>
      <c r="AA53" s="27">
        <v>344</v>
      </c>
      <c r="AB53" s="27">
        <v>108</v>
      </c>
      <c r="AC53" s="27">
        <v>188</v>
      </c>
      <c r="AD53" s="53">
        <v>3157</v>
      </c>
      <c r="AE53" s="53">
        <v>10165</v>
      </c>
      <c r="AF53" s="27"/>
      <c r="AG53" s="27" t="s">
        <v>1685</v>
      </c>
      <c r="AH53" s="27" t="s">
        <v>1777</v>
      </c>
      <c r="AI53" s="27" t="s">
        <v>1777</v>
      </c>
      <c r="AJ53" s="27" t="s">
        <v>1685</v>
      </c>
      <c r="AK53" s="27"/>
      <c r="AL53" s="53">
        <v>15566</v>
      </c>
      <c r="AM53" s="27" t="s">
        <v>1777</v>
      </c>
      <c r="AN53" s="27"/>
      <c r="AO53" s="27" t="s">
        <v>1777</v>
      </c>
      <c r="AP53" s="27"/>
      <c r="AQ53" s="27" t="s">
        <v>1777</v>
      </c>
      <c r="AR53" s="27" t="b">
        <f t="shared" si="1"/>
        <v>1</v>
      </c>
      <c r="AT53" t="b">
        <f t="shared" si="2"/>
        <v>1</v>
      </c>
      <c r="AW53" t="b">
        <f t="shared" si="3"/>
        <v>1</v>
      </c>
      <c r="AX53" t="b">
        <f t="shared" si="4"/>
        <v>1</v>
      </c>
      <c r="AY53" t="b">
        <f t="shared" si="5"/>
        <v>1</v>
      </c>
      <c r="AZ53" t="b">
        <f t="shared" si="6"/>
        <v>1</v>
      </c>
      <c r="BA53" t="b">
        <f t="shared" si="7"/>
        <v>1</v>
      </c>
      <c r="BB53" t="b">
        <f t="shared" si="8"/>
        <v>1</v>
      </c>
      <c r="BD53" t="b">
        <f t="shared" si="9"/>
        <v>1</v>
      </c>
      <c r="BG53" t="b">
        <f t="shared" si="10"/>
        <v>1</v>
      </c>
    </row>
    <row r="54" spans="1:59" x14ac:dyDescent="0.25">
      <c r="A54" s="160" t="s">
        <v>1817</v>
      </c>
      <c r="B54" s="161">
        <v>0</v>
      </c>
      <c r="C54" s="169">
        <v>59</v>
      </c>
      <c r="D54" s="167">
        <v>7443</v>
      </c>
      <c r="E54" s="169">
        <v>7443</v>
      </c>
      <c r="F54" s="171">
        <v>7443</v>
      </c>
      <c r="G54" s="177">
        <v>0</v>
      </c>
      <c r="H54" s="169">
        <v>16561</v>
      </c>
      <c r="I54" s="169">
        <v>383</v>
      </c>
      <c r="J54" s="169">
        <v>0</v>
      </c>
      <c r="K54" s="169">
        <v>290</v>
      </c>
      <c r="L54" s="169">
        <v>189</v>
      </c>
      <c r="M54" s="169">
        <v>43661</v>
      </c>
      <c r="N54" s="173"/>
      <c r="O54" s="169">
        <v>11730</v>
      </c>
      <c r="P54" s="171">
        <v>0</v>
      </c>
      <c r="Q54" s="178"/>
      <c r="R54" s="169">
        <v>3426</v>
      </c>
      <c r="S54" s="161">
        <v>0</v>
      </c>
      <c r="T54" s="161">
        <v>0</v>
      </c>
      <c r="U54" s="86">
        <f t="shared" si="0"/>
        <v>1</v>
      </c>
      <c r="V54" s="27">
        <v>1986</v>
      </c>
      <c r="W54" s="27">
        <v>59</v>
      </c>
      <c r="X54" s="27">
        <v>44</v>
      </c>
      <c r="Y54" s="53">
        <v>7443</v>
      </c>
      <c r="Z54" s="27"/>
      <c r="AA54" s="27">
        <v>383</v>
      </c>
      <c r="AB54" s="27">
        <v>290</v>
      </c>
      <c r="AC54" s="27">
        <v>189</v>
      </c>
      <c r="AD54" s="53">
        <v>3426</v>
      </c>
      <c r="AE54" s="53">
        <v>11730</v>
      </c>
      <c r="AF54" s="27"/>
      <c r="AG54" s="27" t="s">
        <v>1685</v>
      </c>
      <c r="AH54" s="27" t="s">
        <v>1777</v>
      </c>
      <c r="AI54" s="27" t="s">
        <v>1777</v>
      </c>
      <c r="AJ54" s="27" t="s">
        <v>1685</v>
      </c>
      <c r="AK54" s="27"/>
      <c r="AL54" s="53">
        <v>16561</v>
      </c>
      <c r="AM54" s="27" t="s">
        <v>1777</v>
      </c>
      <c r="AN54" s="27"/>
      <c r="AO54" s="27" t="s">
        <v>1777</v>
      </c>
      <c r="AP54" s="27"/>
      <c r="AQ54" s="27" t="s">
        <v>1777</v>
      </c>
      <c r="AR54" s="27" t="b">
        <f t="shared" si="1"/>
        <v>1</v>
      </c>
      <c r="AT54" t="b">
        <f t="shared" si="2"/>
        <v>1</v>
      </c>
      <c r="AW54" t="b">
        <f t="shared" si="3"/>
        <v>1</v>
      </c>
      <c r="AX54" t="b">
        <f t="shared" si="4"/>
        <v>1</v>
      </c>
      <c r="AY54" t="b">
        <f t="shared" si="5"/>
        <v>1</v>
      </c>
      <c r="AZ54" t="b">
        <f t="shared" si="6"/>
        <v>1</v>
      </c>
      <c r="BA54" t="b">
        <f t="shared" si="7"/>
        <v>1</v>
      </c>
      <c r="BB54" t="b">
        <f t="shared" si="8"/>
        <v>1</v>
      </c>
      <c r="BD54" t="b">
        <f t="shared" si="9"/>
        <v>1</v>
      </c>
      <c r="BG54" t="b">
        <f t="shared" si="10"/>
        <v>1</v>
      </c>
    </row>
    <row r="55" spans="1:59" x14ac:dyDescent="0.25">
      <c r="A55" s="160" t="s">
        <v>1818</v>
      </c>
      <c r="B55" s="161">
        <v>0</v>
      </c>
      <c r="C55" s="169">
        <v>42</v>
      </c>
      <c r="D55" s="167">
        <v>6935</v>
      </c>
      <c r="E55" s="169">
        <v>6935</v>
      </c>
      <c r="F55" s="171">
        <v>6935</v>
      </c>
      <c r="G55" s="177">
        <v>0</v>
      </c>
      <c r="H55" s="169">
        <v>17666</v>
      </c>
      <c r="I55" s="169">
        <v>457</v>
      </c>
      <c r="J55" s="169">
        <v>0</v>
      </c>
      <c r="K55" s="169">
        <v>50</v>
      </c>
      <c r="L55" s="169">
        <v>194</v>
      </c>
      <c r="M55" s="169">
        <v>46522</v>
      </c>
      <c r="N55" s="173"/>
      <c r="O55" s="169">
        <v>10487</v>
      </c>
      <c r="P55" s="171">
        <v>0</v>
      </c>
      <c r="Q55" s="178"/>
      <c r="R55" s="169">
        <v>2851</v>
      </c>
      <c r="S55" s="161">
        <v>0</v>
      </c>
      <c r="T55" s="161">
        <v>0</v>
      </c>
      <c r="U55" s="86">
        <f t="shared" si="0"/>
        <v>0</v>
      </c>
      <c r="V55" s="27">
        <v>1987</v>
      </c>
      <c r="W55" s="27">
        <v>42</v>
      </c>
      <c r="X55" s="27">
        <v>47</v>
      </c>
      <c r="Y55" s="53">
        <v>6935</v>
      </c>
      <c r="Z55" s="27"/>
      <c r="AA55" s="27">
        <v>457</v>
      </c>
      <c r="AB55" s="27">
        <v>50</v>
      </c>
      <c r="AC55" s="27">
        <v>194</v>
      </c>
      <c r="AD55" s="53">
        <v>2851</v>
      </c>
      <c r="AE55" s="53">
        <v>10487</v>
      </c>
      <c r="AF55" s="27"/>
      <c r="AG55" s="27" t="s">
        <v>1685</v>
      </c>
      <c r="AH55" s="27" t="s">
        <v>1777</v>
      </c>
      <c r="AI55" s="27" t="s">
        <v>1777</v>
      </c>
      <c r="AJ55" s="27" t="s">
        <v>1685</v>
      </c>
      <c r="AK55" s="27"/>
      <c r="AL55" s="53">
        <v>17666</v>
      </c>
      <c r="AM55" s="27" t="s">
        <v>1777</v>
      </c>
      <c r="AN55" s="27"/>
      <c r="AO55" s="27" t="s">
        <v>1777</v>
      </c>
      <c r="AP55" s="27"/>
      <c r="AQ55" s="27" t="s">
        <v>1777</v>
      </c>
      <c r="AR55" s="27" t="b">
        <f t="shared" si="1"/>
        <v>1</v>
      </c>
      <c r="AT55" t="b">
        <f t="shared" si="2"/>
        <v>1</v>
      </c>
      <c r="AW55" t="b">
        <f t="shared" si="3"/>
        <v>1</v>
      </c>
      <c r="AX55" t="b">
        <f t="shared" si="4"/>
        <v>1</v>
      </c>
      <c r="AY55" t="b">
        <f t="shared" si="5"/>
        <v>1</v>
      </c>
      <c r="AZ55" t="b">
        <f t="shared" si="6"/>
        <v>1</v>
      </c>
      <c r="BA55" t="b">
        <f t="shared" si="7"/>
        <v>1</v>
      </c>
      <c r="BB55" t="b">
        <f t="shared" si="8"/>
        <v>1</v>
      </c>
      <c r="BD55" t="b">
        <f t="shared" si="9"/>
        <v>1</v>
      </c>
      <c r="BG55" t="b">
        <f t="shared" si="10"/>
        <v>1</v>
      </c>
    </row>
    <row r="56" spans="1:59" x14ac:dyDescent="0.25">
      <c r="A56" s="160" t="s">
        <v>1819</v>
      </c>
      <c r="B56" s="161">
        <v>0</v>
      </c>
      <c r="C56" s="169">
        <v>49</v>
      </c>
      <c r="D56" s="167">
        <v>7284</v>
      </c>
      <c r="E56" s="169">
        <v>7284</v>
      </c>
      <c r="F56" s="171">
        <v>7284</v>
      </c>
      <c r="G56" s="177">
        <v>0</v>
      </c>
      <c r="H56" s="169">
        <v>18732</v>
      </c>
      <c r="I56" s="169">
        <v>449</v>
      </c>
      <c r="J56" s="169">
        <v>0</v>
      </c>
      <c r="K56" s="169">
        <v>71</v>
      </c>
      <c r="L56" s="169">
        <v>183</v>
      </c>
      <c r="M56" s="169">
        <v>48915</v>
      </c>
      <c r="N56" s="173"/>
      <c r="O56" s="169">
        <v>11413</v>
      </c>
      <c r="P56" s="171">
        <v>0</v>
      </c>
      <c r="Q56" s="178"/>
      <c r="R56" s="169">
        <v>3426</v>
      </c>
      <c r="S56" s="161">
        <v>0</v>
      </c>
      <c r="T56" s="161">
        <v>0</v>
      </c>
      <c r="U56" s="86">
        <f t="shared" si="0"/>
        <v>0</v>
      </c>
      <c r="V56" s="27">
        <v>1988</v>
      </c>
      <c r="W56" s="27">
        <v>49</v>
      </c>
      <c r="X56" s="27">
        <v>49</v>
      </c>
      <c r="Y56" s="53">
        <v>7284</v>
      </c>
      <c r="Z56" s="27"/>
      <c r="AA56" s="27">
        <v>449</v>
      </c>
      <c r="AB56" s="27">
        <v>71</v>
      </c>
      <c r="AC56" s="27">
        <v>183</v>
      </c>
      <c r="AD56" s="53">
        <v>3426</v>
      </c>
      <c r="AE56" s="53">
        <v>11413</v>
      </c>
      <c r="AF56" s="27"/>
      <c r="AG56" s="27" t="s">
        <v>1685</v>
      </c>
      <c r="AH56" s="27" t="s">
        <v>1777</v>
      </c>
      <c r="AI56" s="27" t="s">
        <v>1777</v>
      </c>
      <c r="AJ56" s="27" t="s">
        <v>1685</v>
      </c>
      <c r="AK56" s="27"/>
      <c r="AL56" s="53">
        <v>18732</v>
      </c>
      <c r="AM56" s="27" t="s">
        <v>1777</v>
      </c>
      <c r="AN56" s="27"/>
      <c r="AO56" s="27" t="s">
        <v>1777</v>
      </c>
      <c r="AP56" s="27"/>
      <c r="AQ56" s="27" t="s">
        <v>1777</v>
      </c>
      <c r="AR56" s="27" t="b">
        <f t="shared" si="1"/>
        <v>1</v>
      </c>
      <c r="AT56" t="b">
        <f t="shared" si="2"/>
        <v>1</v>
      </c>
      <c r="AW56" t="b">
        <f t="shared" si="3"/>
        <v>1</v>
      </c>
      <c r="AX56" t="b">
        <f t="shared" si="4"/>
        <v>1</v>
      </c>
      <c r="AY56" t="b">
        <f t="shared" si="5"/>
        <v>1</v>
      </c>
      <c r="AZ56" t="b">
        <f t="shared" si="6"/>
        <v>1</v>
      </c>
      <c r="BA56" t="b">
        <f t="shared" si="7"/>
        <v>1</v>
      </c>
      <c r="BB56" t="b">
        <f t="shared" si="8"/>
        <v>1</v>
      </c>
      <c r="BD56" t="b">
        <f t="shared" si="9"/>
        <v>1</v>
      </c>
      <c r="BG56" t="b">
        <f t="shared" si="10"/>
        <v>1</v>
      </c>
    </row>
    <row r="57" spans="1:59" x14ac:dyDescent="0.25">
      <c r="A57" s="160" t="s">
        <v>1820</v>
      </c>
      <c r="B57" s="161">
        <v>0</v>
      </c>
      <c r="C57" s="169">
        <v>43</v>
      </c>
      <c r="D57" s="167">
        <v>8615</v>
      </c>
      <c r="E57" s="169">
        <v>8615</v>
      </c>
      <c r="F57" s="171">
        <v>8615</v>
      </c>
      <c r="G57" s="177">
        <v>0</v>
      </c>
      <c r="H57" s="169">
        <v>19330</v>
      </c>
      <c r="I57" s="169">
        <v>534</v>
      </c>
      <c r="J57" s="169">
        <v>0</v>
      </c>
      <c r="K57" s="169">
        <v>64</v>
      </c>
      <c r="L57" s="169">
        <v>188</v>
      </c>
      <c r="M57" s="169">
        <v>51508</v>
      </c>
      <c r="N57" s="173"/>
      <c r="O57" s="169">
        <v>13227</v>
      </c>
      <c r="P57" s="171">
        <v>0</v>
      </c>
      <c r="Q57" s="178"/>
      <c r="R57" s="169">
        <v>3826</v>
      </c>
      <c r="S57" s="161">
        <v>0</v>
      </c>
      <c r="T57" s="161">
        <v>0</v>
      </c>
      <c r="U57" s="86">
        <f t="shared" si="0"/>
        <v>0</v>
      </c>
      <c r="V57" s="27">
        <v>1989</v>
      </c>
      <c r="W57" s="27">
        <v>43</v>
      </c>
      <c r="X57" s="27">
        <v>52</v>
      </c>
      <c r="Y57" s="53">
        <v>8615</v>
      </c>
      <c r="Z57" s="27"/>
      <c r="AA57" s="27">
        <v>534</v>
      </c>
      <c r="AB57" s="27">
        <v>64</v>
      </c>
      <c r="AC57" s="27">
        <v>188</v>
      </c>
      <c r="AD57" s="53">
        <v>3826</v>
      </c>
      <c r="AE57" s="53">
        <v>13227</v>
      </c>
      <c r="AF57" s="27"/>
      <c r="AG57" s="27">
        <v>0</v>
      </c>
      <c r="AH57" s="27" t="s">
        <v>1777</v>
      </c>
      <c r="AI57" s="27" t="s">
        <v>1777</v>
      </c>
      <c r="AJ57" s="27" t="s">
        <v>1780</v>
      </c>
      <c r="AK57" s="27"/>
      <c r="AL57" s="53">
        <v>19330</v>
      </c>
      <c r="AM57" s="27" t="s">
        <v>1777</v>
      </c>
      <c r="AN57" s="27"/>
      <c r="AO57" s="27" t="s">
        <v>1777</v>
      </c>
      <c r="AP57" s="27"/>
      <c r="AQ57" s="27" t="s">
        <v>1777</v>
      </c>
      <c r="AR57" s="27" t="b">
        <f t="shared" si="1"/>
        <v>1</v>
      </c>
      <c r="AT57" t="b">
        <f t="shared" si="2"/>
        <v>1</v>
      </c>
      <c r="AW57" t="b">
        <f t="shared" si="3"/>
        <v>1</v>
      </c>
      <c r="AX57" t="b">
        <f t="shared" si="4"/>
        <v>1</v>
      </c>
      <c r="AY57" t="b">
        <f t="shared" si="5"/>
        <v>1</v>
      </c>
      <c r="AZ57" t="b">
        <f t="shared" si="6"/>
        <v>1</v>
      </c>
      <c r="BA57" t="b">
        <f t="shared" si="7"/>
        <v>1</v>
      </c>
      <c r="BB57" t="b">
        <f t="shared" si="8"/>
        <v>1</v>
      </c>
      <c r="BD57" t="b">
        <f t="shared" si="9"/>
        <v>1</v>
      </c>
      <c r="BG57" t="b">
        <f t="shared" si="10"/>
        <v>1</v>
      </c>
    </row>
    <row r="58" spans="1:59" x14ac:dyDescent="0.25">
      <c r="A58" s="160" t="s">
        <v>1821</v>
      </c>
      <c r="B58" s="161">
        <v>0</v>
      </c>
      <c r="C58" s="169">
        <v>50</v>
      </c>
      <c r="D58" s="167">
        <v>7409</v>
      </c>
      <c r="E58" s="169">
        <v>7409</v>
      </c>
      <c r="F58" s="171">
        <v>7409</v>
      </c>
      <c r="G58" s="177">
        <v>0</v>
      </c>
      <c r="H58" s="169">
        <v>19520</v>
      </c>
      <c r="I58" s="169">
        <v>457</v>
      </c>
      <c r="J58" s="169">
        <v>0</v>
      </c>
      <c r="K58" s="169">
        <v>127</v>
      </c>
      <c r="L58" s="169">
        <v>69</v>
      </c>
      <c r="M58" s="169">
        <v>50618</v>
      </c>
      <c r="N58" s="173"/>
      <c r="O58" s="169">
        <v>12535</v>
      </c>
      <c r="P58" s="171">
        <v>0</v>
      </c>
      <c r="Q58" s="178"/>
      <c r="R58" s="169">
        <v>4473</v>
      </c>
      <c r="S58" s="161">
        <v>0</v>
      </c>
      <c r="T58" s="161">
        <v>0</v>
      </c>
      <c r="U58" s="86">
        <f t="shared" si="0"/>
        <v>0</v>
      </c>
      <c r="V58" s="27">
        <v>1990</v>
      </c>
      <c r="W58" s="27">
        <v>50</v>
      </c>
      <c r="X58" s="27">
        <v>51</v>
      </c>
      <c r="Y58" s="53">
        <v>7409</v>
      </c>
      <c r="Z58" s="27"/>
      <c r="AA58" s="27">
        <v>457</v>
      </c>
      <c r="AB58" s="27">
        <v>127</v>
      </c>
      <c r="AC58" s="27">
        <v>69</v>
      </c>
      <c r="AD58" s="53">
        <v>4473</v>
      </c>
      <c r="AE58" s="53">
        <v>12535</v>
      </c>
      <c r="AF58" s="27"/>
      <c r="AG58" s="27">
        <v>0</v>
      </c>
      <c r="AH58" s="27" t="s">
        <v>1777</v>
      </c>
      <c r="AI58" s="27" t="s">
        <v>1777</v>
      </c>
      <c r="AJ58" s="27" t="s">
        <v>1780</v>
      </c>
      <c r="AK58" s="27"/>
      <c r="AL58" s="53">
        <v>19520</v>
      </c>
      <c r="AM58" s="27" t="s">
        <v>1777</v>
      </c>
      <c r="AN58" s="27"/>
      <c r="AO58" s="27" t="s">
        <v>1777</v>
      </c>
      <c r="AP58" s="27"/>
      <c r="AQ58" s="27" t="s">
        <v>1777</v>
      </c>
      <c r="AR58" s="27" t="b">
        <f t="shared" si="1"/>
        <v>1</v>
      </c>
      <c r="AT58" t="b">
        <f t="shared" si="2"/>
        <v>1</v>
      </c>
      <c r="AW58" t="b">
        <f t="shared" si="3"/>
        <v>1</v>
      </c>
      <c r="AX58" t="b">
        <f t="shared" si="4"/>
        <v>1</v>
      </c>
      <c r="AY58" t="b">
        <f t="shared" si="5"/>
        <v>1</v>
      </c>
      <c r="AZ58" t="b">
        <f t="shared" si="6"/>
        <v>1</v>
      </c>
      <c r="BA58" t="b">
        <f t="shared" si="7"/>
        <v>1</v>
      </c>
      <c r="BB58" t="b">
        <f t="shared" si="8"/>
        <v>1</v>
      </c>
      <c r="BD58" t="b">
        <f t="shared" si="9"/>
        <v>1</v>
      </c>
      <c r="BG58" t="b">
        <f t="shared" si="10"/>
        <v>1</v>
      </c>
    </row>
    <row r="59" spans="1:59" x14ac:dyDescent="0.25">
      <c r="A59" s="160" t="s">
        <v>1822</v>
      </c>
      <c r="B59" s="161">
        <v>0</v>
      </c>
      <c r="C59" s="169">
        <v>22</v>
      </c>
      <c r="D59" s="167">
        <v>8809</v>
      </c>
      <c r="E59" s="169">
        <v>8809</v>
      </c>
      <c r="F59" s="171">
        <v>8809</v>
      </c>
      <c r="G59" s="177">
        <v>0</v>
      </c>
      <c r="H59" s="169">
        <v>19421</v>
      </c>
      <c r="I59" s="169">
        <v>414</v>
      </c>
      <c r="J59" s="169">
        <v>0</v>
      </c>
      <c r="K59" s="169">
        <v>200</v>
      </c>
      <c r="L59" s="169">
        <v>182</v>
      </c>
      <c r="M59" s="169">
        <v>53188</v>
      </c>
      <c r="N59" s="173"/>
      <c r="O59" s="169">
        <v>14141</v>
      </c>
      <c r="P59" s="171">
        <v>0</v>
      </c>
      <c r="Q59" s="178"/>
      <c r="R59" s="169">
        <v>4536</v>
      </c>
      <c r="S59" s="161">
        <v>0</v>
      </c>
      <c r="T59" s="161">
        <v>0</v>
      </c>
      <c r="U59" s="86">
        <f t="shared" si="0"/>
        <v>0</v>
      </c>
      <c r="V59" s="27">
        <v>1991</v>
      </c>
      <c r="W59" s="27">
        <v>22</v>
      </c>
      <c r="X59" s="27">
        <v>53</v>
      </c>
      <c r="Y59" s="53">
        <v>8809</v>
      </c>
      <c r="Z59" s="27"/>
      <c r="AA59" s="27">
        <v>414</v>
      </c>
      <c r="AB59" s="27">
        <v>200</v>
      </c>
      <c r="AC59" s="27">
        <v>182</v>
      </c>
      <c r="AD59" s="53">
        <v>4536</v>
      </c>
      <c r="AE59" s="53">
        <v>14141</v>
      </c>
      <c r="AF59" s="27"/>
      <c r="AG59" s="27">
        <v>0</v>
      </c>
      <c r="AH59" s="27" t="s">
        <v>1777</v>
      </c>
      <c r="AI59" s="27" t="s">
        <v>1777</v>
      </c>
      <c r="AJ59" s="27" t="s">
        <v>1780</v>
      </c>
      <c r="AK59" s="27"/>
      <c r="AL59" s="53">
        <v>19421</v>
      </c>
      <c r="AM59" s="27" t="s">
        <v>1777</v>
      </c>
      <c r="AN59" s="27"/>
      <c r="AO59" s="27" t="s">
        <v>1777</v>
      </c>
      <c r="AP59" s="27"/>
      <c r="AQ59" s="27" t="s">
        <v>1777</v>
      </c>
      <c r="AR59" s="27" t="b">
        <f t="shared" si="1"/>
        <v>1</v>
      </c>
      <c r="AT59" t="b">
        <f t="shared" si="2"/>
        <v>1</v>
      </c>
      <c r="AW59" t="b">
        <f t="shared" si="3"/>
        <v>1</v>
      </c>
      <c r="AX59" t="b">
        <f t="shared" si="4"/>
        <v>1</v>
      </c>
      <c r="AY59" t="b">
        <f t="shared" si="5"/>
        <v>1</v>
      </c>
      <c r="AZ59" t="b">
        <f t="shared" si="6"/>
        <v>1</v>
      </c>
      <c r="BA59" t="b">
        <f t="shared" si="7"/>
        <v>1</v>
      </c>
      <c r="BB59" t="b">
        <f t="shared" si="8"/>
        <v>1</v>
      </c>
      <c r="BD59" t="b">
        <f t="shared" si="9"/>
        <v>1</v>
      </c>
      <c r="BG59" t="b">
        <f t="shared" si="10"/>
        <v>1</v>
      </c>
    </row>
    <row r="60" spans="1:59" x14ac:dyDescent="0.25">
      <c r="A60" s="160" t="s">
        <v>1823</v>
      </c>
      <c r="B60" s="161">
        <v>0</v>
      </c>
      <c r="C60" s="169">
        <v>48</v>
      </c>
      <c r="D60" s="167">
        <v>7773</v>
      </c>
      <c r="E60" s="169">
        <v>7773</v>
      </c>
      <c r="F60" s="171">
        <v>7773</v>
      </c>
      <c r="G60" s="177">
        <v>0</v>
      </c>
      <c r="H60" s="169">
        <v>19563</v>
      </c>
      <c r="I60" s="169">
        <v>410</v>
      </c>
      <c r="J60" s="169">
        <v>0</v>
      </c>
      <c r="K60" s="169">
        <v>73</v>
      </c>
      <c r="L60" s="169">
        <v>164</v>
      </c>
      <c r="M60" s="169">
        <v>64352</v>
      </c>
      <c r="N60" s="173"/>
      <c r="O60" s="169">
        <v>12089</v>
      </c>
      <c r="P60" s="171">
        <v>0</v>
      </c>
      <c r="Q60" s="178"/>
      <c r="R60" s="169">
        <v>3670</v>
      </c>
      <c r="S60" s="161">
        <v>0</v>
      </c>
      <c r="T60" s="161">
        <v>0</v>
      </c>
      <c r="U60" s="86">
        <f t="shared" si="0"/>
        <v>1</v>
      </c>
      <c r="V60" s="27">
        <v>1992</v>
      </c>
      <c r="W60" s="27">
        <v>48</v>
      </c>
      <c r="X60" s="27">
        <v>64</v>
      </c>
      <c r="Y60" s="53">
        <v>7773</v>
      </c>
      <c r="Z60" s="27"/>
      <c r="AA60" s="27">
        <v>410</v>
      </c>
      <c r="AB60" s="27">
        <v>73</v>
      </c>
      <c r="AC60" s="27">
        <v>164</v>
      </c>
      <c r="AD60" s="53">
        <v>3670</v>
      </c>
      <c r="AE60" s="53">
        <v>12089</v>
      </c>
      <c r="AF60" s="27"/>
      <c r="AG60" s="27">
        <v>0</v>
      </c>
      <c r="AH60" s="27" t="s">
        <v>1777</v>
      </c>
      <c r="AI60" s="27" t="s">
        <v>1777</v>
      </c>
      <c r="AJ60" s="27" t="s">
        <v>1780</v>
      </c>
      <c r="AK60" s="27"/>
      <c r="AL60" s="53">
        <v>19563</v>
      </c>
      <c r="AM60" s="27" t="s">
        <v>1777</v>
      </c>
      <c r="AN60" s="27"/>
      <c r="AO60" s="27" t="s">
        <v>1777</v>
      </c>
      <c r="AP60" s="27"/>
      <c r="AQ60" s="27" t="s">
        <v>1777</v>
      </c>
      <c r="AR60" s="27" t="b">
        <f t="shared" si="1"/>
        <v>1</v>
      </c>
      <c r="AT60" t="b">
        <f t="shared" si="2"/>
        <v>1</v>
      </c>
      <c r="AW60" t="b">
        <f t="shared" si="3"/>
        <v>1</v>
      </c>
      <c r="AX60" t="b">
        <f t="shared" si="4"/>
        <v>1</v>
      </c>
      <c r="AY60" t="b">
        <f t="shared" si="5"/>
        <v>1</v>
      </c>
      <c r="AZ60" t="b">
        <f t="shared" si="6"/>
        <v>1</v>
      </c>
      <c r="BA60" t="b">
        <f t="shared" si="7"/>
        <v>1</v>
      </c>
      <c r="BB60" t="b">
        <f t="shared" si="8"/>
        <v>1</v>
      </c>
      <c r="BD60" t="b">
        <f t="shared" si="9"/>
        <v>1</v>
      </c>
      <c r="BG60" t="b">
        <f t="shared" si="10"/>
        <v>1</v>
      </c>
    </row>
    <row r="61" spans="1:59" x14ac:dyDescent="0.25">
      <c r="A61" s="160" t="s">
        <v>1824</v>
      </c>
      <c r="B61" s="161">
        <v>0</v>
      </c>
      <c r="C61" s="169">
        <v>36</v>
      </c>
      <c r="D61" s="167">
        <v>6756</v>
      </c>
      <c r="E61" s="169">
        <v>6756</v>
      </c>
      <c r="F61" s="171">
        <v>6756</v>
      </c>
      <c r="G61" s="177">
        <v>0</v>
      </c>
      <c r="H61" s="169">
        <v>19670</v>
      </c>
      <c r="I61" s="169">
        <v>452</v>
      </c>
      <c r="J61" s="169">
        <v>0</v>
      </c>
      <c r="K61" s="169">
        <v>113</v>
      </c>
      <c r="L61" s="169">
        <v>53</v>
      </c>
      <c r="M61" s="169">
        <v>65429</v>
      </c>
      <c r="N61" s="173"/>
      <c r="O61" s="169">
        <v>9933</v>
      </c>
      <c r="P61" s="171">
        <v>0</v>
      </c>
      <c r="Q61" s="178"/>
      <c r="R61" s="169">
        <v>2558</v>
      </c>
      <c r="S61" s="161">
        <v>0</v>
      </c>
      <c r="T61" s="161">
        <v>0</v>
      </c>
      <c r="U61" s="86">
        <f t="shared" si="0"/>
        <v>-1</v>
      </c>
      <c r="V61" s="27">
        <v>1993</v>
      </c>
      <c r="W61" s="27">
        <v>36</v>
      </c>
      <c r="X61" s="27">
        <v>65</v>
      </c>
      <c r="Y61" s="53">
        <v>6756</v>
      </c>
      <c r="Z61" s="27"/>
      <c r="AA61" s="27">
        <v>452</v>
      </c>
      <c r="AB61" s="27">
        <v>113</v>
      </c>
      <c r="AC61" s="27">
        <v>53</v>
      </c>
      <c r="AD61" s="53">
        <v>2558</v>
      </c>
      <c r="AE61" s="53">
        <v>9933</v>
      </c>
      <c r="AF61" s="27"/>
      <c r="AG61" s="27">
        <v>0</v>
      </c>
      <c r="AH61" s="27" t="s">
        <v>1777</v>
      </c>
      <c r="AI61" s="27" t="s">
        <v>1777</v>
      </c>
      <c r="AJ61" s="27" t="s">
        <v>1780</v>
      </c>
      <c r="AK61" s="27"/>
      <c r="AL61" s="53">
        <v>19670</v>
      </c>
      <c r="AM61" s="27" t="s">
        <v>1777</v>
      </c>
      <c r="AN61" s="27"/>
      <c r="AO61" s="27" t="s">
        <v>1777</v>
      </c>
      <c r="AP61" s="27"/>
      <c r="AQ61" s="27" t="s">
        <v>1777</v>
      </c>
      <c r="AR61" s="27" t="b">
        <f t="shared" si="1"/>
        <v>1</v>
      </c>
      <c r="AT61" t="b">
        <f t="shared" si="2"/>
        <v>1</v>
      </c>
      <c r="AW61" t="b">
        <f t="shared" si="3"/>
        <v>1</v>
      </c>
      <c r="AX61" t="b">
        <f t="shared" si="4"/>
        <v>1</v>
      </c>
      <c r="AY61" t="b">
        <f t="shared" si="5"/>
        <v>1</v>
      </c>
      <c r="AZ61" t="b">
        <f t="shared" si="6"/>
        <v>1</v>
      </c>
      <c r="BA61" t="b">
        <f t="shared" si="7"/>
        <v>1</v>
      </c>
      <c r="BB61" t="b">
        <f t="shared" si="8"/>
        <v>1</v>
      </c>
      <c r="BD61" t="b">
        <f t="shared" si="9"/>
        <v>1</v>
      </c>
      <c r="BG61" t="b">
        <f t="shared" si="10"/>
        <v>1</v>
      </c>
    </row>
    <row r="62" spans="1:59" x14ac:dyDescent="0.25">
      <c r="A62" s="160" t="s">
        <v>1825</v>
      </c>
      <c r="B62" s="161">
        <v>0</v>
      </c>
      <c r="C62" s="169">
        <v>19</v>
      </c>
      <c r="D62" s="167">
        <v>6172</v>
      </c>
      <c r="E62" s="169">
        <v>6172</v>
      </c>
      <c r="F62" s="171">
        <v>6172</v>
      </c>
      <c r="G62" s="177">
        <v>0</v>
      </c>
      <c r="H62" s="169">
        <v>20105</v>
      </c>
      <c r="I62" s="169">
        <v>467</v>
      </c>
      <c r="J62" s="169">
        <v>0</v>
      </c>
      <c r="K62" s="169">
        <v>100</v>
      </c>
      <c r="L62" s="169">
        <v>57</v>
      </c>
      <c r="M62" s="169">
        <v>84534</v>
      </c>
      <c r="N62" s="173"/>
      <c r="O62" s="169">
        <v>9749</v>
      </c>
      <c r="P62" s="171">
        <v>0</v>
      </c>
      <c r="Q62" s="178"/>
      <c r="R62" s="169">
        <v>2953</v>
      </c>
      <c r="S62" s="161">
        <v>0</v>
      </c>
      <c r="T62" s="161">
        <v>0</v>
      </c>
      <c r="U62" s="86">
        <f t="shared" si="0"/>
        <v>0</v>
      </c>
      <c r="V62" s="27">
        <v>1994</v>
      </c>
      <c r="W62" s="27">
        <v>19</v>
      </c>
      <c r="X62" s="27">
        <v>85</v>
      </c>
      <c r="Y62" s="53">
        <v>6172</v>
      </c>
      <c r="Z62" s="27"/>
      <c r="AA62" s="27">
        <v>467</v>
      </c>
      <c r="AB62" s="27">
        <v>100</v>
      </c>
      <c r="AC62" s="27">
        <v>57</v>
      </c>
      <c r="AD62" s="53">
        <v>2953</v>
      </c>
      <c r="AE62" s="53">
        <v>9749</v>
      </c>
      <c r="AF62" s="27"/>
      <c r="AG62" s="27">
        <v>0</v>
      </c>
      <c r="AH62" s="27" t="s">
        <v>1777</v>
      </c>
      <c r="AI62" s="27" t="s">
        <v>1777</v>
      </c>
      <c r="AJ62" s="27" t="s">
        <v>1780</v>
      </c>
      <c r="AK62" s="27"/>
      <c r="AL62" s="53">
        <v>20105</v>
      </c>
      <c r="AM62" s="27" t="s">
        <v>1777</v>
      </c>
      <c r="AN62" s="27"/>
      <c r="AO62" s="27" t="s">
        <v>1777</v>
      </c>
      <c r="AP62" s="27"/>
      <c r="AQ62" s="27" t="s">
        <v>1777</v>
      </c>
      <c r="AR62" s="27" t="b">
        <f t="shared" si="1"/>
        <v>1</v>
      </c>
      <c r="AT62" t="b">
        <f t="shared" si="2"/>
        <v>1</v>
      </c>
      <c r="AW62" t="b">
        <f t="shared" si="3"/>
        <v>1</v>
      </c>
      <c r="AX62" t="b">
        <f t="shared" si="4"/>
        <v>1</v>
      </c>
      <c r="AY62" t="b">
        <f t="shared" si="5"/>
        <v>1</v>
      </c>
      <c r="AZ62" t="b">
        <f t="shared" si="6"/>
        <v>1</v>
      </c>
      <c r="BA62" t="b">
        <f t="shared" si="7"/>
        <v>1</v>
      </c>
      <c r="BB62" t="b">
        <f t="shared" si="8"/>
        <v>1</v>
      </c>
      <c r="BD62" t="b">
        <f t="shared" si="9"/>
        <v>1</v>
      </c>
      <c r="BG62" t="b">
        <f t="shared" si="10"/>
        <v>1</v>
      </c>
    </row>
    <row r="63" spans="1:59" x14ac:dyDescent="0.25">
      <c r="A63" s="160" t="s">
        <v>1826</v>
      </c>
      <c r="B63" s="161">
        <v>0</v>
      </c>
      <c r="C63" s="169">
        <v>23</v>
      </c>
      <c r="D63" s="167">
        <v>6478</v>
      </c>
      <c r="E63" s="169">
        <v>6478</v>
      </c>
      <c r="F63" s="171">
        <v>6478</v>
      </c>
      <c r="G63" s="177">
        <v>0</v>
      </c>
      <c r="H63" s="169">
        <v>20255</v>
      </c>
      <c r="I63" s="169">
        <v>488</v>
      </c>
      <c r="J63" s="169">
        <v>0</v>
      </c>
      <c r="K63" s="169">
        <v>110</v>
      </c>
      <c r="L63" s="169">
        <v>65</v>
      </c>
      <c r="M63" s="169">
        <v>82270</v>
      </c>
      <c r="N63" s="173"/>
      <c r="O63" s="169">
        <v>10211</v>
      </c>
      <c r="P63" s="171">
        <v>0</v>
      </c>
      <c r="Q63" s="178"/>
      <c r="R63" s="169">
        <v>3069</v>
      </c>
      <c r="S63" s="161">
        <v>0</v>
      </c>
      <c r="T63" s="161">
        <v>0</v>
      </c>
      <c r="U63" s="86">
        <f t="shared" si="0"/>
        <v>-1</v>
      </c>
      <c r="V63" s="27">
        <v>1995</v>
      </c>
      <c r="W63" s="27">
        <v>23</v>
      </c>
      <c r="X63" s="27">
        <v>82</v>
      </c>
      <c r="Y63" s="53">
        <v>6478</v>
      </c>
      <c r="Z63" s="27"/>
      <c r="AA63" s="27">
        <v>488</v>
      </c>
      <c r="AB63" s="27">
        <v>110</v>
      </c>
      <c r="AC63" s="27">
        <v>65</v>
      </c>
      <c r="AD63" s="53">
        <v>3069</v>
      </c>
      <c r="AE63" s="53">
        <v>10211</v>
      </c>
      <c r="AF63" s="27"/>
      <c r="AG63" s="27">
        <v>0</v>
      </c>
      <c r="AH63" s="27" t="s">
        <v>1777</v>
      </c>
      <c r="AI63" s="27" t="s">
        <v>1777</v>
      </c>
      <c r="AJ63" s="27" t="s">
        <v>1780</v>
      </c>
      <c r="AK63" s="27"/>
      <c r="AL63" s="53">
        <v>20255</v>
      </c>
      <c r="AM63" s="27" t="s">
        <v>1777</v>
      </c>
      <c r="AN63" s="27"/>
      <c r="AO63" s="27" t="s">
        <v>1777</v>
      </c>
      <c r="AP63" s="27"/>
      <c r="AQ63" s="27" t="s">
        <v>1777</v>
      </c>
      <c r="AR63" s="27" t="b">
        <f t="shared" si="1"/>
        <v>1</v>
      </c>
      <c r="AT63" t="b">
        <f t="shared" si="2"/>
        <v>1</v>
      </c>
      <c r="AW63" t="b">
        <f t="shared" si="3"/>
        <v>1</v>
      </c>
      <c r="AX63" t="b">
        <f t="shared" si="4"/>
        <v>1</v>
      </c>
      <c r="AY63" t="b">
        <f t="shared" si="5"/>
        <v>1</v>
      </c>
      <c r="AZ63" t="b">
        <f t="shared" si="6"/>
        <v>1</v>
      </c>
      <c r="BA63" t="b">
        <f t="shared" si="7"/>
        <v>1</v>
      </c>
      <c r="BB63" t="b">
        <f t="shared" si="8"/>
        <v>1</v>
      </c>
      <c r="BD63" t="b">
        <f t="shared" si="9"/>
        <v>1</v>
      </c>
      <c r="BG63" t="b">
        <f t="shared" si="10"/>
        <v>1</v>
      </c>
    </row>
    <row r="64" spans="1:59" x14ac:dyDescent="0.25">
      <c r="A64" s="160" t="s">
        <v>1827</v>
      </c>
      <c r="B64" s="161">
        <v>0</v>
      </c>
      <c r="C64" s="169">
        <v>29</v>
      </c>
      <c r="D64" s="167">
        <v>5637</v>
      </c>
      <c r="E64" s="169">
        <v>5637</v>
      </c>
      <c r="F64" s="171">
        <v>5637</v>
      </c>
      <c r="G64" s="177">
        <v>0</v>
      </c>
      <c r="H64" s="169">
        <v>20711</v>
      </c>
      <c r="I64" s="169">
        <v>579</v>
      </c>
      <c r="J64" s="169">
        <v>0</v>
      </c>
      <c r="K64" s="169">
        <v>47</v>
      </c>
      <c r="L64" s="169">
        <v>65</v>
      </c>
      <c r="M64" s="169">
        <v>96187</v>
      </c>
      <c r="N64" s="173"/>
      <c r="O64" s="169">
        <v>8758</v>
      </c>
      <c r="P64" s="171">
        <v>0</v>
      </c>
      <c r="Q64" s="178"/>
      <c r="R64" s="169">
        <v>2430</v>
      </c>
      <c r="S64" s="161">
        <v>0</v>
      </c>
      <c r="T64" s="161">
        <v>0</v>
      </c>
      <c r="U64" s="86">
        <f t="shared" si="0"/>
        <v>0</v>
      </c>
      <c r="V64" s="27">
        <v>1996</v>
      </c>
      <c r="W64" s="27">
        <v>29</v>
      </c>
      <c r="X64" s="27">
        <v>96</v>
      </c>
      <c r="Y64" s="53">
        <v>5637</v>
      </c>
      <c r="Z64" s="27"/>
      <c r="AA64" s="27">
        <v>579</v>
      </c>
      <c r="AB64" s="27">
        <v>47</v>
      </c>
      <c r="AC64" s="27">
        <v>65</v>
      </c>
      <c r="AD64" s="53">
        <v>2430</v>
      </c>
      <c r="AE64" s="53">
        <v>8758</v>
      </c>
      <c r="AF64" s="27"/>
      <c r="AG64" s="27">
        <v>0</v>
      </c>
      <c r="AH64" s="27" t="s">
        <v>1777</v>
      </c>
      <c r="AI64" s="27" t="s">
        <v>1777</v>
      </c>
      <c r="AJ64" s="27" t="s">
        <v>1780</v>
      </c>
      <c r="AK64" s="27"/>
      <c r="AL64" s="53">
        <v>20711</v>
      </c>
      <c r="AM64" s="27" t="s">
        <v>1777</v>
      </c>
      <c r="AN64" s="27"/>
      <c r="AO64" s="27" t="s">
        <v>1777</v>
      </c>
      <c r="AP64" s="27"/>
      <c r="AQ64" s="27" t="s">
        <v>1777</v>
      </c>
      <c r="AR64" s="27" t="b">
        <f t="shared" si="1"/>
        <v>1</v>
      </c>
      <c r="AT64" t="b">
        <f t="shared" si="2"/>
        <v>1</v>
      </c>
      <c r="AW64" t="b">
        <f t="shared" si="3"/>
        <v>1</v>
      </c>
      <c r="AX64" t="b">
        <f t="shared" si="4"/>
        <v>1</v>
      </c>
      <c r="AY64" t="b">
        <f t="shared" si="5"/>
        <v>1</v>
      </c>
      <c r="AZ64" t="b">
        <f t="shared" si="6"/>
        <v>1</v>
      </c>
      <c r="BA64" t="b">
        <f t="shared" si="7"/>
        <v>1</v>
      </c>
      <c r="BB64" t="b">
        <f t="shared" si="8"/>
        <v>1</v>
      </c>
      <c r="BD64" t="b">
        <f t="shared" si="9"/>
        <v>1</v>
      </c>
      <c r="BG64" t="b">
        <f t="shared" si="10"/>
        <v>1</v>
      </c>
    </row>
    <row r="65" spans="1:59" x14ac:dyDescent="0.25">
      <c r="A65" s="160" t="s">
        <v>1828</v>
      </c>
      <c r="B65" s="161">
        <v>0</v>
      </c>
      <c r="C65" s="169">
        <v>26</v>
      </c>
      <c r="D65" s="167">
        <v>5678</v>
      </c>
      <c r="E65" s="169">
        <v>5678</v>
      </c>
      <c r="F65" s="171">
        <v>5678</v>
      </c>
      <c r="G65" s="177">
        <v>0</v>
      </c>
      <c r="H65" s="169">
        <v>21203</v>
      </c>
      <c r="I65" s="169">
        <v>543</v>
      </c>
      <c r="J65" s="169">
        <v>0</v>
      </c>
      <c r="K65" s="169">
        <v>47</v>
      </c>
      <c r="L65" s="169">
        <v>48</v>
      </c>
      <c r="M65" s="169">
        <v>105813</v>
      </c>
      <c r="N65" s="173"/>
      <c r="O65" s="169">
        <v>8555</v>
      </c>
      <c r="P65" s="171">
        <v>0</v>
      </c>
      <c r="Q65" s="178"/>
      <c r="R65" s="169">
        <v>2239</v>
      </c>
      <c r="S65" s="161">
        <v>1</v>
      </c>
      <c r="T65" s="161">
        <v>0</v>
      </c>
      <c r="U65" s="86">
        <f t="shared" si="0"/>
        <v>0</v>
      </c>
      <c r="V65" s="27">
        <v>1997</v>
      </c>
      <c r="W65" s="27">
        <v>26</v>
      </c>
      <c r="X65" s="27">
        <v>106</v>
      </c>
      <c r="Y65" s="53">
        <v>5678</v>
      </c>
      <c r="Z65" s="27"/>
      <c r="AA65" s="27">
        <v>543</v>
      </c>
      <c r="AB65" s="27">
        <v>47</v>
      </c>
      <c r="AC65" s="27">
        <v>48</v>
      </c>
      <c r="AD65" s="53">
        <v>2239</v>
      </c>
      <c r="AE65" s="53">
        <v>8555</v>
      </c>
      <c r="AF65" s="27"/>
      <c r="AG65" s="27">
        <v>0</v>
      </c>
      <c r="AH65" s="27" t="s">
        <v>1777</v>
      </c>
      <c r="AI65" s="27" t="s">
        <v>1777</v>
      </c>
      <c r="AJ65" s="27">
        <v>1</v>
      </c>
      <c r="AK65" s="27"/>
      <c r="AL65" s="53">
        <v>21203</v>
      </c>
      <c r="AM65" s="27" t="s">
        <v>1777</v>
      </c>
      <c r="AN65" s="27"/>
      <c r="AO65" s="27" t="s">
        <v>1777</v>
      </c>
      <c r="AP65" s="27"/>
      <c r="AQ65" s="27" t="s">
        <v>1777</v>
      </c>
      <c r="AR65" s="27" t="b">
        <f t="shared" si="1"/>
        <v>1</v>
      </c>
      <c r="AT65" t="b">
        <f t="shared" si="2"/>
        <v>1</v>
      </c>
      <c r="AW65" t="b">
        <f t="shared" si="3"/>
        <v>1</v>
      </c>
      <c r="AX65" t="b">
        <f t="shared" si="4"/>
        <v>1</v>
      </c>
      <c r="AY65" t="b">
        <f t="shared" si="5"/>
        <v>1</v>
      </c>
      <c r="AZ65" t="b">
        <f t="shared" si="6"/>
        <v>1</v>
      </c>
      <c r="BA65" t="b">
        <f t="shared" si="7"/>
        <v>1</v>
      </c>
      <c r="BB65" t="b">
        <f t="shared" si="8"/>
        <v>1</v>
      </c>
      <c r="BD65" t="b">
        <f t="shared" si="9"/>
        <v>1</v>
      </c>
      <c r="BG65" t="b">
        <f t="shared" si="10"/>
        <v>1</v>
      </c>
    </row>
    <row r="66" spans="1:59" x14ac:dyDescent="0.25">
      <c r="A66" s="160" t="s">
        <v>1829</v>
      </c>
      <c r="B66" s="161">
        <v>0</v>
      </c>
      <c r="C66" s="169">
        <v>23</v>
      </c>
      <c r="D66" s="167">
        <v>5404</v>
      </c>
      <c r="E66" s="169">
        <v>5404</v>
      </c>
      <c r="F66" s="171">
        <v>5404</v>
      </c>
      <c r="G66" s="177">
        <v>0</v>
      </c>
      <c r="H66" s="169">
        <v>21773</v>
      </c>
      <c r="I66" s="169">
        <v>497</v>
      </c>
      <c r="J66" s="169">
        <v>0</v>
      </c>
      <c r="K66" s="169">
        <v>70</v>
      </c>
      <c r="L66" s="169">
        <v>66</v>
      </c>
      <c r="M66" s="169">
        <v>90092</v>
      </c>
      <c r="N66" s="173"/>
      <c r="O66" s="169">
        <v>7454</v>
      </c>
      <c r="P66" s="171">
        <v>0</v>
      </c>
      <c r="Q66" s="178"/>
      <c r="R66" s="169">
        <v>1417</v>
      </c>
      <c r="S66" s="161">
        <v>1</v>
      </c>
      <c r="T66" s="161">
        <v>0</v>
      </c>
      <c r="U66" s="86">
        <f t="shared" si="0"/>
        <v>0</v>
      </c>
      <c r="V66" s="27">
        <v>1998</v>
      </c>
      <c r="W66" s="27">
        <v>23</v>
      </c>
      <c r="X66" s="27">
        <v>90</v>
      </c>
      <c r="Y66" s="53">
        <v>5404</v>
      </c>
      <c r="Z66" s="27"/>
      <c r="AA66" s="27">
        <v>497</v>
      </c>
      <c r="AB66" s="27">
        <v>70</v>
      </c>
      <c r="AC66" s="27">
        <v>66</v>
      </c>
      <c r="AD66" s="53">
        <v>1417</v>
      </c>
      <c r="AE66" s="53">
        <v>7454</v>
      </c>
      <c r="AF66" s="27"/>
      <c r="AG66" s="27">
        <v>0</v>
      </c>
      <c r="AH66" s="27" t="s">
        <v>1777</v>
      </c>
      <c r="AI66" s="27" t="s">
        <v>1777</v>
      </c>
      <c r="AJ66" s="27">
        <v>1</v>
      </c>
      <c r="AK66" s="27"/>
      <c r="AL66" s="53">
        <v>21773</v>
      </c>
      <c r="AM66" s="27" t="s">
        <v>1777</v>
      </c>
      <c r="AN66" s="27"/>
      <c r="AO66" s="27" t="s">
        <v>1777</v>
      </c>
      <c r="AP66" s="27"/>
      <c r="AQ66" s="27" t="s">
        <v>1777</v>
      </c>
      <c r="AR66" s="27" t="b">
        <f t="shared" si="1"/>
        <v>1</v>
      </c>
      <c r="AT66" t="b">
        <f t="shared" si="2"/>
        <v>1</v>
      </c>
      <c r="AW66" t="b">
        <f t="shared" si="3"/>
        <v>1</v>
      </c>
      <c r="AX66" t="b">
        <f t="shared" si="4"/>
        <v>1</v>
      </c>
      <c r="AY66" t="b">
        <f t="shared" si="5"/>
        <v>1</v>
      </c>
      <c r="AZ66" t="b">
        <f t="shared" si="6"/>
        <v>1</v>
      </c>
      <c r="BA66" t="b">
        <f t="shared" si="7"/>
        <v>1</v>
      </c>
      <c r="BB66" t="b">
        <f t="shared" si="8"/>
        <v>1</v>
      </c>
      <c r="BD66" t="b">
        <f t="shared" si="9"/>
        <v>1</v>
      </c>
      <c r="BG66" t="b">
        <f t="shared" si="10"/>
        <v>1</v>
      </c>
    </row>
    <row r="67" spans="1:59" x14ac:dyDescent="0.25">
      <c r="A67" s="160" t="s">
        <v>1830</v>
      </c>
      <c r="B67" s="161">
        <v>0</v>
      </c>
      <c r="C67" s="169">
        <v>33</v>
      </c>
      <c r="D67" s="167">
        <v>3830</v>
      </c>
      <c r="E67" s="169">
        <v>3830</v>
      </c>
      <c r="F67" s="171">
        <v>3830</v>
      </c>
      <c r="G67" s="177">
        <v>0</v>
      </c>
      <c r="H67" s="169">
        <v>21815</v>
      </c>
      <c r="I67" s="169">
        <v>512</v>
      </c>
      <c r="J67" s="169">
        <v>0</v>
      </c>
      <c r="K67" s="169">
        <v>225</v>
      </c>
      <c r="L67" s="169">
        <v>63</v>
      </c>
      <c r="M67" s="169">
        <v>65136</v>
      </c>
      <c r="N67" s="173"/>
      <c r="O67" s="169">
        <v>5815</v>
      </c>
      <c r="P67" s="171">
        <v>0</v>
      </c>
      <c r="Q67" s="178"/>
      <c r="R67" s="169">
        <v>1184</v>
      </c>
      <c r="S67" s="161">
        <v>1</v>
      </c>
      <c r="T67" s="161">
        <v>0</v>
      </c>
      <c r="U67" s="86">
        <f t="shared" si="0"/>
        <v>-1</v>
      </c>
      <c r="V67" s="27">
        <v>1999</v>
      </c>
      <c r="W67" s="27">
        <v>33</v>
      </c>
      <c r="X67" s="27">
        <v>65</v>
      </c>
      <c r="Y67" s="53">
        <v>3830</v>
      </c>
      <c r="Z67" s="27"/>
      <c r="AA67" s="27">
        <v>512</v>
      </c>
      <c r="AB67" s="27">
        <v>225</v>
      </c>
      <c r="AC67" s="27">
        <v>63</v>
      </c>
      <c r="AD67" s="53">
        <v>1184</v>
      </c>
      <c r="AE67" s="53">
        <v>5815</v>
      </c>
      <c r="AF67" s="27"/>
      <c r="AG67" s="27">
        <v>0</v>
      </c>
      <c r="AH67" s="27" t="s">
        <v>1777</v>
      </c>
      <c r="AI67" s="27" t="s">
        <v>1777</v>
      </c>
      <c r="AJ67" s="27">
        <v>1</v>
      </c>
      <c r="AK67" s="27"/>
      <c r="AL67" s="53">
        <v>21815</v>
      </c>
      <c r="AM67" s="27" t="s">
        <v>1777</v>
      </c>
      <c r="AN67" s="27"/>
      <c r="AO67" s="27" t="s">
        <v>1777</v>
      </c>
      <c r="AP67" s="27"/>
      <c r="AQ67" s="27" t="s">
        <v>1777</v>
      </c>
      <c r="AR67" s="27" t="b">
        <f t="shared" si="1"/>
        <v>1</v>
      </c>
      <c r="AT67" t="b">
        <f t="shared" si="2"/>
        <v>1</v>
      </c>
      <c r="AW67" t="b">
        <f t="shared" si="3"/>
        <v>1</v>
      </c>
      <c r="AX67" t="b">
        <f t="shared" si="4"/>
        <v>1</v>
      </c>
      <c r="AY67" t="b">
        <f t="shared" si="5"/>
        <v>1</v>
      </c>
      <c r="AZ67" t="b">
        <f t="shared" si="6"/>
        <v>1</v>
      </c>
      <c r="BA67" t="b">
        <f t="shared" si="7"/>
        <v>1</v>
      </c>
      <c r="BB67" t="b">
        <f t="shared" si="8"/>
        <v>1</v>
      </c>
      <c r="BD67" t="b">
        <f t="shared" si="9"/>
        <v>1</v>
      </c>
      <c r="BG67" t="b">
        <f t="shared" si="10"/>
        <v>1</v>
      </c>
    </row>
    <row r="68" spans="1:59" x14ac:dyDescent="0.25">
      <c r="A68" s="160" t="s">
        <v>1831</v>
      </c>
      <c r="B68" s="161">
        <v>0</v>
      </c>
      <c r="C68" s="169">
        <v>14</v>
      </c>
      <c r="D68" s="167">
        <v>5205</v>
      </c>
      <c r="E68" s="169">
        <v>5205</v>
      </c>
      <c r="F68" s="171">
        <v>5205</v>
      </c>
      <c r="G68" s="177">
        <v>0</v>
      </c>
      <c r="H68" s="169">
        <v>23439</v>
      </c>
      <c r="I68" s="169">
        <v>634</v>
      </c>
      <c r="J68" s="169">
        <v>0</v>
      </c>
      <c r="K68" s="169">
        <v>107</v>
      </c>
      <c r="L68" s="169">
        <v>279</v>
      </c>
      <c r="M68" s="169">
        <v>63793</v>
      </c>
      <c r="N68" s="173"/>
      <c r="O68" s="169">
        <v>7613</v>
      </c>
      <c r="P68" s="171">
        <v>0</v>
      </c>
      <c r="Q68" s="178"/>
      <c r="R68" s="169">
        <v>1388</v>
      </c>
      <c r="S68" s="161">
        <v>1</v>
      </c>
      <c r="T68" s="161">
        <v>0</v>
      </c>
      <c r="U68" s="86">
        <f t="shared" si="0"/>
        <v>0</v>
      </c>
      <c r="V68" s="27">
        <v>2000</v>
      </c>
      <c r="W68" s="27">
        <v>14</v>
      </c>
      <c r="X68" s="27">
        <v>64</v>
      </c>
      <c r="Y68" s="53">
        <v>5205</v>
      </c>
      <c r="Z68" s="27"/>
      <c r="AA68" s="27">
        <v>634</v>
      </c>
      <c r="AB68" s="27">
        <v>107</v>
      </c>
      <c r="AC68" s="27">
        <v>279</v>
      </c>
      <c r="AD68" s="53">
        <v>1388</v>
      </c>
      <c r="AE68" s="53">
        <v>7613</v>
      </c>
      <c r="AF68" s="27"/>
      <c r="AG68" s="27">
        <v>0</v>
      </c>
      <c r="AH68" s="27" t="s">
        <v>1777</v>
      </c>
      <c r="AI68" s="27" t="s">
        <v>1777</v>
      </c>
      <c r="AJ68" s="27">
        <v>1</v>
      </c>
      <c r="AK68" s="27"/>
      <c r="AL68" s="53">
        <v>23439</v>
      </c>
      <c r="AM68" s="27" t="s">
        <v>1777</v>
      </c>
      <c r="AN68" s="27"/>
      <c r="AO68" s="27" t="s">
        <v>1777</v>
      </c>
      <c r="AP68" s="27"/>
      <c r="AQ68" s="27" t="s">
        <v>1777</v>
      </c>
      <c r="AR68" s="27" t="b">
        <f t="shared" si="1"/>
        <v>1</v>
      </c>
      <c r="AT68" t="b">
        <f t="shared" si="2"/>
        <v>1</v>
      </c>
      <c r="AW68" t="b">
        <f t="shared" si="3"/>
        <v>1</v>
      </c>
      <c r="AX68" t="b">
        <f t="shared" si="4"/>
        <v>1</v>
      </c>
      <c r="AY68" t="b">
        <f t="shared" si="5"/>
        <v>1</v>
      </c>
      <c r="AZ68" t="b">
        <f t="shared" si="6"/>
        <v>1</v>
      </c>
      <c r="BA68" t="b">
        <f t="shared" si="7"/>
        <v>1</v>
      </c>
      <c r="BB68" t="b">
        <f t="shared" si="8"/>
        <v>1</v>
      </c>
      <c r="BD68" t="b">
        <f t="shared" si="9"/>
        <v>1</v>
      </c>
      <c r="BG68" t="b">
        <f t="shared" si="10"/>
        <v>1</v>
      </c>
    </row>
    <row r="69" spans="1:59" x14ac:dyDescent="0.25">
      <c r="A69" s="160" t="s">
        <v>1832</v>
      </c>
      <c r="B69" s="161">
        <v>0</v>
      </c>
      <c r="C69" s="169">
        <v>14</v>
      </c>
      <c r="D69" s="167">
        <v>4218</v>
      </c>
      <c r="E69" s="169">
        <v>4218</v>
      </c>
      <c r="F69" s="171">
        <v>4218</v>
      </c>
      <c r="G69" s="177">
        <v>0</v>
      </c>
      <c r="H69" s="169">
        <v>24510</v>
      </c>
      <c r="I69" s="169">
        <v>575</v>
      </c>
      <c r="J69" s="169">
        <v>0</v>
      </c>
      <c r="K69" s="169">
        <v>156</v>
      </c>
      <c r="L69" s="169">
        <v>84</v>
      </c>
      <c r="M69" s="169">
        <v>61677</v>
      </c>
      <c r="N69" s="173"/>
      <c r="O69" s="169">
        <v>5555</v>
      </c>
      <c r="P69" s="171">
        <v>0</v>
      </c>
      <c r="Q69" s="178"/>
      <c r="R69" s="169">
        <v>523</v>
      </c>
      <c r="S69" s="161">
        <v>1</v>
      </c>
      <c r="T69" s="161">
        <v>0</v>
      </c>
      <c r="U69" s="86">
        <f t="shared" si="0"/>
        <v>1</v>
      </c>
      <c r="V69" s="27">
        <v>2001</v>
      </c>
      <c r="W69" s="27">
        <v>14</v>
      </c>
      <c r="X69" s="27">
        <v>62</v>
      </c>
      <c r="Y69" s="53">
        <v>4218</v>
      </c>
      <c r="Z69" s="27"/>
      <c r="AA69" s="27">
        <v>575</v>
      </c>
      <c r="AB69" s="27">
        <v>156</v>
      </c>
      <c r="AC69" s="27">
        <v>84</v>
      </c>
      <c r="AD69" s="27">
        <v>523</v>
      </c>
      <c r="AE69" s="53">
        <v>5555</v>
      </c>
      <c r="AF69" s="27"/>
      <c r="AG69" s="27">
        <v>0</v>
      </c>
      <c r="AH69" s="27" t="s">
        <v>1777</v>
      </c>
      <c r="AI69" s="27" t="s">
        <v>1777</v>
      </c>
      <c r="AJ69" s="27">
        <v>1</v>
      </c>
      <c r="AK69" s="27"/>
      <c r="AL69" s="53">
        <v>24510</v>
      </c>
      <c r="AM69" s="27" t="s">
        <v>1777</v>
      </c>
      <c r="AN69" s="27"/>
      <c r="AO69" s="27" t="s">
        <v>1777</v>
      </c>
      <c r="AP69" s="27"/>
      <c r="AQ69" s="27" t="s">
        <v>1777</v>
      </c>
      <c r="AR69" s="27" t="b">
        <f t="shared" si="1"/>
        <v>1</v>
      </c>
      <c r="AT69" t="b">
        <f t="shared" si="2"/>
        <v>1</v>
      </c>
      <c r="AW69" t="b">
        <f t="shared" si="3"/>
        <v>1</v>
      </c>
      <c r="AX69" t="b">
        <f t="shared" si="4"/>
        <v>1</v>
      </c>
      <c r="AY69" t="b">
        <f t="shared" si="5"/>
        <v>1</v>
      </c>
      <c r="AZ69" t="b">
        <f t="shared" si="6"/>
        <v>1</v>
      </c>
      <c r="BA69" t="b">
        <f t="shared" si="7"/>
        <v>1</v>
      </c>
      <c r="BB69" t="b">
        <f t="shared" si="8"/>
        <v>1</v>
      </c>
      <c r="BD69" t="b">
        <f t="shared" si="9"/>
        <v>1</v>
      </c>
      <c r="BG69" t="b">
        <f t="shared" si="10"/>
        <v>1</v>
      </c>
    </row>
    <row r="70" spans="1:59" x14ac:dyDescent="0.25">
      <c r="A70" s="160" t="s">
        <v>1833</v>
      </c>
      <c r="B70" s="161">
        <v>0</v>
      </c>
      <c r="C70" s="169">
        <v>77</v>
      </c>
      <c r="D70" s="167">
        <v>3835</v>
      </c>
      <c r="E70" s="169">
        <v>3835</v>
      </c>
      <c r="F70" s="171">
        <v>3835</v>
      </c>
      <c r="G70" s="177">
        <v>0</v>
      </c>
      <c r="H70" s="169">
        <v>24685</v>
      </c>
      <c r="I70" s="169">
        <v>465</v>
      </c>
      <c r="J70" s="169">
        <v>4</v>
      </c>
      <c r="K70" s="169">
        <v>59</v>
      </c>
      <c r="L70" s="169">
        <v>117</v>
      </c>
      <c r="M70" s="169">
        <v>64763</v>
      </c>
      <c r="N70" s="173"/>
      <c r="O70" s="169">
        <v>5117</v>
      </c>
      <c r="P70" s="171">
        <v>0</v>
      </c>
      <c r="Q70" s="178"/>
      <c r="R70" s="169">
        <v>642</v>
      </c>
      <c r="S70" s="161">
        <v>1</v>
      </c>
      <c r="T70" s="161">
        <v>0</v>
      </c>
      <c r="U70" s="86">
        <f t="shared" si="0"/>
        <v>1</v>
      </c>
      <c r="V70" s="27">
        <v>2002</v>
      </c>
      <c r="W70" s="27">
        <v>77</v>
      </c>
      <c r="X70" s="27">
        <v>65</v>
      </c>
      <c r="Y70" s="53">
        <v>3835</v>
      </c>
      <c r="Z70" s="27"/>
      <c r="AA70" s="27">
        <v>465</v>
      </c>
      <c r="AB70" s="27">
        <v>59</v>
      </c>
      <c r="AC70" s="27">
        <v>117</v>
      </c>
      <c r="AD70" s="27">
        <v>642</v>
      </c>
      <c r="AE70" s="53">
        <v>5117</v>
      </c>
      <c r="AF70" s="27"/>
      <c r="AG70" s="27">
        <v>4</v>
      </c>
      <c r="AH70" s="27" t="s">
        <v>1777</v>
      </c>
      <c r="AI70" s="27" t="s">
        <v>1777</v>
      </c>
      <c r="AJ70" s="27">
        <v>1</v>
      </c>
      <c r="AK70" s="27"/>
      <c r="AL70" s="53">
        <v>24685</v>
      </c>
      <c r="AM70" s="27" t="s">
        <v>1777</v>
      </c>
      <c r="AN70" s="27"/>
      <c r="AO70" s="27" t="s">
        <v>1777</v>
      </c>
      <c r="AP70" s="27"/>
      <c r="AQ70" s="27" t="s">
        <v>1777</v>
      </c>
      <c r="AR70" s="27" t="b">
        <f t="shared" si="1"/>
        <v>1</v>
      </c>
      <c r="AT70" t="b">
        <f t="shared" si="2"/>
        <v>1</v>
      </c>
      <c r="AW70" t="b">
        <f t="shared" si="3"/>
        <v>1</v>
      </c>
      <c r="AX70" t="b">
        <f t="shared" si="4"/>
        <v>1</v>
      </c>
      <c r="AY70" t="b">
        <f t="shared" si="5"/>
        <v>1</v>
      </c>
      <c r="AZ70" t="b">
        <f t="shared" si="6"/>
        <v>1</v>
      </c>
      <c r="BA70" t="b">
        <f t="shared" si="7"/>
        <v>1</v>
      </c>
      <c r="BB70" t="b">
        <f t="shared" si="8"/>
        <v>1</v>
      </c>
      <c r="BD70" t="b">
        <f t="shared" si="9"/>
        <v>1</v>
      </c>
      <c r="BG70" t="b">
        <f t="shared" si="10"/>
        <v>1</v>
      </c>
    </row>
    <row r="71" spans="1:59" x14ac:dyDescent="0.25">
      <c r="A71" s="160" t="s">
        <v>1834</v>
      </c>
      <c r="B71" s="161">
        <v>0</v>
      </c>
      <c r="C71" s="169">
        <v>44</v>
      </c>
      <c r="D71" s="167">
        <v>5738</v>
      </c>
      <c r="E71" s="169">
        <v>5738</v>
      </c>
      <c r="F71" s="171">
        <v>5738</v>
      </c>
      <c r="G71" s="177">
        <v>0</v>
      </c>
      <c r="H71" s="169">
        <v>25648</v>
      </c>
      <c r="I71" s="169">
        <v>735</v>
      </c>
      <c r="J71" s="169">
        <v>6</v>
      </c>
      <c r="K71" s="169">
        <v>72</v>
      </c>
      <c r="L71" s="169">
        <v>104</v>
      </c>
      <c r="M71" s="169">
        <v>62590</v>
      </c>
      <c r="N71" s="173"/>
      <c r="O71" s="169">
        <v>8460</v>
      </c>
      <c r="P71" s="171">
        <v>0</v>
      </c>
      <c r="Q71" s="178"/>
      <c r="R71" s="169">
        <v>1811</v>
      </c>
      <c r="S71" s="161">
        <v>1</v>
      </c>
      <c r="T71" s="161">
        <v>0</v>
      </c>
      <c r="U71" s="86">
        <f t="shared" si="0"/>
        <v>0</v>
      </c>
      <c r="V71" s="27">
        <v>2003</v>
      </c>
      <c r="W71" s="27">
        <v>44</v>
      </c>
      <c r="X71" s="27">
        <v>63</v>
      </c>
      <c r="Y71" s="53">
        <v>5738</v>
      </c>
      <c r="Z71" s="27"/>
      <c r="AA71" s="27">
        <v>735</v>
      </c>
      <c r="AB71" s="27">
        <v>72</v>
      </c>
      <c r="AC71" s="27">
        <v>104</v>
      </c>
      <c r="AD71" s="53">
        <v>1811</v>
      </c>
      <c r="AE71" s="53">
        <v>8460</v>
      </c>
      <c r="AF71" s="27"/>
      <c r="AG71" s="27">
        <v>6</v>
      </c>
      <c r="AH71" s="27" t="s">
        <v>1777</v>
      </c>
      <c r="AI71" s="27" t="s">
        <v>1777</v>
      </c>
      <c r="AJ71" s="27">
        <v>1</v>
      </c>
      <c r="AK71" s="27"/>
      <c r="AL71" s="53">
        <v>25648</v>
      </c>
      <c r="AM71" s="27" t="s">
        <v>1777</v>
      </c>
      <c r="AN71" s="27"/>
      <c r="AO71" s="27" t="s">
        <v>1777</v>
      </c>
      <c r="AP71" s="27"/>
      <c r="AQ71" s="27" t="s">
        <v>1777</v>
      </c>
      <c r="AR71" s="27" t="b">
        <f t="shared" si="1"/>
        <v>1</v>
      </c>
      <c r="AT71" t="b">
        <f t="shared" si="2"/>
        <v>1</v>
      </c>
      <c r="AW71" t="b">
        <f t="shared" si="3"/>
        <v>1</v>
      </c>
      <c r="AX71" t="b">
        <f t="shared" si="4"/>
        <v>1</v>
      </c>
      <c r="AY71" t="b">
        <f t="shared" si="5"/>
        <v>1</v>
      </c>
      <c r="AZ71" t="b">
        <f t="shared" si="6"/>
        <v>1</v>
      </c>
      <c r="BA71" t="b">
        <f t="shared" si="7"/>
        <v>1</v>
      </c>
      <c r="BB71" t="b">
        <f t="shared" si="8"/>
        <v>1</v>
      </c>
      <c r="BD71" t="b">
        <f t="shared" si="9"/>
        <v>1</v>
      </c>
      <c r="BG71" t="b">
        <f t="shared" si="10"/>
        <v>1</v>
      </c>
    </row>
    <row r="72" spans="1:59" x14ac:dyDescent="0.25">
      <c r="A72" s="160" t="s">
        <v>1835</v>
      </c>
      <c r="B72" s="161">
        <v>0</v>
      </c>
      <c r="C72" s="169">
        <v>32</v>
      </c>
      <c r="D72" s="167">
        <v>4312</v>
      </c>
      <c r="E72" s="169">
        <v>4312</v>
      </c>
      <c r="F72" s="171">
        <v>4312</v>
      </c>
      <c r="G72" s="177">
        <v>0</v>
      </c>
      <c r="H72" s="169">
        <v>26020</v>
      </c>
      <c r="I72" s="169">
        <v>471</v>
      </c>
      <c r="J72" s="169">
        <v>3</v>
      </c>
      <c r="K72" s="169">
        <v>91</v>
      </c>
      <c r="L72" s="169">
        <v>70</v>
      </c>
      <c r="M72" s="169">
        <v>56879</v>
      </c>
      <c r="N72" s="173"/>
      <c r="O72" s="169">
        <v>7714</v>
      </c>
      <c r="P72" s="171">
        <v>0</v>
      </c>
      <c r="Q72" s="178"/>
      <c r="R72" s="169">
        <v>2771</v>
      </c>
      <c r="S72" s="161">
        <v>2</v>
      </c>
      <c r="T72" s="161">
        <v>0</v>
      </c>
      <c r="U72" s="86">
        <f t="shared" si="0"/>
        <v>1</v>
      </c>
      <c r="V72" s="27">
        <v>2004</v>
      </c>
      <c r="W72" s="27">
        <v>32</v>
      </c>
      <c r="X72" s="27">
        <v>57</v>
      </c>
      <c r="Y72" s="53">
        <v>4312</v>
      </c>
      <c r="Z72" s="27"/>
      <c r="AA72" s="27">
        <v>471</v>
      </c>
      <c r="AB72" s="27">
        <v>91</v>
      </c>
      <c r="AC72" s="27">
        <v>70</v>
      </c>
      <c r="AD72" s="53">
        <v>2771</v>
      </c>
      <c r="AE72" s="53">
        <v>7714</v>
      </c>
      <c r="AF72" s="27"/>
      <c r="AG72" s="27">
        <v>3</v>
      </c>
      <c r="AH72" s="27" t="s">
        <v>1777</v>
      </c>
      <c r="AI72" s="27" t="s">
        <v>1777</v>
      </c>
      <c r="AJ72" s="27">
        <v>2</v>
      </c>
      <c r="AK72" s="27"/>
      <c r="AL72" s="53">
        <v>26020</v>
      </c>
      <c r="AM72" s="27" t="s">
        <v>1777</v>
      </c>
      <c r="AN72" s="27"/>
      <c r="AO72" s="27" t="s">
        <v>1777</v>
      </c>
      <c r="AP72" s="27"/>
      <c r="AQ72" s="27" t="s">
        <v>1777</v>
      </c>
      <c r="AR72" s="27" t="b">
        <f t="shared" si="1"/>
        <v>1</v>
      </c>
      <c r="AT72" t="b">
        <f t="shared" si="2"/>
        <v>1</v>
      </c>
      <c r="AW72" t="b">
        <f t="shared" si="3"/>
        <v>1</v>
      </c>
      <c r="AX72" t="b">
        <f t="shared" si="4"/>
        <v>1</v>
      </c>
      <c r="AY72" t="b">
        <f t="shared" si="5"/>
        <v>1</v>
      </c>
      <c r="AZ72" t="b">
        <f t="shared" si="6"/>
        <v>1</v>
      </c>
      <c r="BA72" t="b">
        <f t="shared" si="7"/>
        <v>1</v>
      </c>
      <c r="BB72" t="b">
        <f t="shared" si="8"/>
        <v>1</v>
      </c>
      <c r="BD72" t="b">
        <f t="shared" si="9"/>
        <v>1</v>
      </c>
      <c r="BG72" t="b">
        <f t="shared" si="10"/>
        <v>1</v>
      </c>
    </row>
    <row r="73" spans="1:59" x14ac:dyDescent="0.25">
      <c r="A73" s="160" t="s">
        <v>1836</v>
      </c>
      <c r="B73" s="161">
        <v>0</v>
      </c>
      <c r="C73" s="169">
        <v>40</v>
      </c>
      <c r="D73" s="167">
        <v>4712</v>
      </c>
      <c r="E73" s="169">
        <v>4712</v>
      </c>
      <c r="F73" s="171">
        <v>4712</v>
      </c>
      <c r="G73" s="177">
        <v>2</v>
      </c>
      <c r="H73" s="169">
        <v>26415</v>
      </c>
      <c r="I73" s="169">
        <v>766</v>
      </c>
      <c r="J73" s="169">
        <v>0</v>
      </c>
      <c r="K73" s="169">
        <v>78</v>
      </c>
      <c r="L73" s="169">
        <v>58</v>
      </c>
      <c r="M73" s="169">
        <v>56665</v>
      </c>
      <c r="N73" s="173"/>
      <c r="O73" s="169">
        <v>8277</v>
      </c>
      <c r="P73" s="171">
        <v>0</v>
      </c>
      <c r="Q73" s="178"/>
      <c r="R73" s="169">
        <v>2663</v>
      </c>
      <c r="S73" s="161">
        <v>2</v>
      </c>
      <c r="T73" s="161">
        <v>0</v>
      </c>
      <c r="U73" s="86">
        <f t="shared" si="0"/>
        <v>0</v>
      </c>
      <c r="V73" s="27">
        <v>2005</v>
      </c>
      <c r="W73" s="27">
        <v>40</v>
      </c>
      <c r="X73" s="27">
        <v>57</v>
      </c>
      <c r="Y73" s="53">
        <v>4712</v>
      </c>
      <c r="Z73" s="27"/>
      <c r="AA73" s="27">
        <v>766</v>
      </c>
      <c r="AB73" s="27">
        <v>78</v>
      </c>
      <c r="AC73" s="27">
        <v>58</v>
      </c>
      <c r="AD73" s="53">
        <v>2663</v>
      </c>
      <c r="AE73" s="53">
        <v>8277</v>
      </c>
      <c r="AF73" s="27"/>
      <c r="AG73" s="27" t="s">
        <v>1780</v>
      </c>
      <c r="AH73" s="27" t="s">
        <v>1777</v>
      </c>
      <c r="AI73" s="27" t="s">
        <v>1777</v>
      </c>
      <c r="AJ73" s="27">
        <v>2</v>
      </c>
      <c r="AK73" s="27"/>
      <c r="AL73" s="53">
        <v>26415</v>
      </c>
      <c r="AM73" s="27" t="s">
        <v>1777</v>
      </c>
      <c r="AN73" s="27"/>
      <c r="AO73" s="27" t="s">
        <v>1777</v>
      </c>
      <c r="AP73" s="27"/>
      <c r="AQ73" s="27" t="s">
        <v>1777</v>
      </c>
      <c r="AR73" s="27" t="b">
        <f t="shared" si="1"/>
        <v>1</v>
      </c>
      <c r="AT73" t="b">
        <f t="shared" si="2"/>
        <v>1</v>
      </c>
      <c r="AW73" t="b">
        <f t="shared" si="3"/>
        <v>1</v>
      </c>
      <c r="AX73" t="b">
        <f t="shared" si="4"/>
        <v>1</v>
      </c>
      <c r="AY73" t="b">
        <f t="shared" si="5"/>
        <v>0</v>
      </c>
      <c r="AZ73" t="b">
        <f t="shared" si="6"/>
        <v>1</v>
      </c>
      <c r="BA73" t="b">
        <f t="shared" si="7"/>
        <v>1</v>
      </c>
      <c r="BB73" t="b">
        <f t="shared" si="8"/>
        <v>1</v>
      </c>
      <c r="BD73" t="b">
        <f t="shared" si="9"/>
        <v>1</v>
      </c>
      <c r="BG73" t="b">
        <f t="shared" si="10"/>
        <v>1</v>
      </c>
    </row>
    <row r="74" spans="1:59" x14ac:dyDescent="0.25">
      <c r="A74" s="160" t="s">
        <v>1837</v>
      </c>
      <c r="B74" s="161">
        <v>0</v>
      </c>
      <c r="C74" s="169">
        <v>15</v>
      </c>
      <c r="D74" s="167">
        <v>3265</v>
      </c>
      <c r="E74" s="169">
        <v>3265</v>
      </c>
      <c r="F74" s="171">
        <v>3265</v>
      </c>
      <c r="G74" s="177">
        <v>5</v>
      </c>
      <c r="H74" s="169">
        <v>26237</v>
      </c>
      <c r="I74" s="169">
        <v>726</v>
      </c>
      <c r="J74" s="169">
        <v>5</v>
      </c>
      <c r="K74" s="169">
        <v>39</v>
      </c>
      <c r="L74" s="169">
        <v>73</v>
      </c>
      <c r="M74" s="169">
        <v>52283</v>
      </c>
      <c r="N74" s="173"/>
      <c r="O74" s="169">
        <v>5272</v>
      </c>
      <c r="P74" s="171">
        <v>0</v>
      </c>
      <c r="Q74" s="178"/>
      <c r="R74" s="169">
        <v>1170</v>
      </c>
      <c r="S74" s="161">
        <v>3</v>
      </c>
      <c r="T74" s="161">
        <v>0</v>
      </c>
      <c r="U74" s="86">
        <f t="shared" si="0"/>
        <v>1</v>
      </c>
      <c r="V74" s="27">
        <v>2006</v>
      </c>
      <c r="W74" s="27">
        <v>15</v>
      </c>
      <c r="X74" s="27">
        <v>52</v>
      </c>
      <c r="Y74" s="53">
        <v>3265</v>
      </c>
      <c r="Z74" s="27"/>
      <c r="AA74" s="27">
        <v>726</v>
      </c>
      <c r="AB74" s="27">
        <v>39</v>
      </c>
      <c r="AC74" s="27">
        <v>73</v>
      </c>
      <c r="AD74" s="53">
        <v>1170</v>
      </c>
      <c r="AE74" s="53">
        <v>5272</v>
      </c>
      <c r="AF74" s="27"/>
      <c r="AG74" s="27">
        <v>5</v>
      </c>
      <c r="AH74" s="27" t="s">
        <v>1777</v>
      </c>
      <c r="AI74" s="27" t="s">
        <v>1777</v>
      </c>
      <c r="AJ74" s="27">
        <v>3</v>
      </c>
      <c r="AK74" s="27"/>
      <c r="AL74" s="53">
        <v>26237</v>
      </c>
      <c r="AM74" s="27" t="s">
        <v>1777</v>
      </c>
      <c r="AN74" s="27"/>
      <c r="AO74" s="27" t="s">
        <v>1777</v>
      </c>
      <c r="AP74" s="27"/>
      <c r="AQ74" s="27" t="s">
        <v>1777</v>
      </c>
      <c r="AR74" s="27" t="b">
        <f t="shared" si="1"/>
        <v>1</v>
      </c>
      <c r="AT74" t="b">
        <f t="shared" si="2"/>
        <v>1</v>
      </c>
      <c r="AW74" t="b">
        <f t="shared" si="3"/>
        <v>1</v>
      </c>
      <c r="AX74" t="b">
        <f t="shared" si="4"/>
        <v>1</v>
      </c>
      <c r="AY74" t="b">
        <f t="shared" si="5"/>
        <v>1</v>
      </c>
      <c r="AZ74" t="b">
        <f t="shared" si="6"/>
        <v>1</v>
      </c>
      <c r="BA74" t="b">
        <f t="shared" si="7"/>
        <v>1</v>
      </c>
      <c r="BB74" t="b">
        <f t="shared" si="8"/>
        <v>1</v>
      </c>
      <c r="BD74" t="b">
        <f t="shared" si="9"/>
        <v>1</v>
      </c>
      <c r="BG74" t="b">
        <f t="shared" si="10"/>
        <v>1</v>
      </c>
    </row>
    <row r="75" spans="1:59" x14ac:dyDescent="0.25">
      <c r="A75" s="160" t="s">
        <v>1838</v>
      </c>
      <c r="B75" s="161">
        <v>0</v>
      </c>
      <c r="C75" s="169">
        <v>21</v>
      </c>
      <c r="D75" s="167">
        <v>3253</v>
      </c>
      <c r="E75" s="169">
        <v>3253</v>
      </c>
      <c r="F75" s="171">
        <v>3253</v>
      </c>
      <c r="G75" s="177">
        <v>7</v>
      </c>
      <c r="H75" s="169">
        <v>27148</v>
      </c>
      <c r="I75" s="169">
        <v>647</v>
      </c>
      <c r="J75" s="169">
        <v>6</v>
      </c>
      <c r="K75" s="169">
        <v>25</v>
      </c>
      <c r="L75" s="169">
        <v>80</v>
      </c>
      <c r="M75" s="169">
        <v>61504</v>
      </c>
      <c r="N75" s="173"/>
      <c r="O75" s="169">
        <v>4840</v>
      </c>
      <c r="P75" s="171">
        <v>0</v>
      </c>
      <c r="Q75" s="178"/>
      <c r="R75" s="169">
        <v>835</v>
      </c>
      <c r="S75" s="161">
        <v>4</v>
      </c>
      <c r="T75" s="161">
        <v>0</v>
      </c>
      <c r="U75" s="86">
        <f t="shared" si="0"/>
        <v>0</v>
      </c>
      <c r="V75" s="27">
        <v>2007</v>
      </c>
      <c r="W75" s="27">
        <v>21</v>
      </c>
      <c r="X75" s="27">
        <v>62</v>
      </c>
      <c r="Y75" s="53">
        <v>3253</v>
      </c>
      <c r="Z75" s="27"/>
      <c r="AA75" s="27">
        <v>647</v>
      </c>
      <c r="AB75" s="27">
        <v>25</v>
      </c>
      <c r="AC75" s="27">
        <v>80</v>
      </c>
      <c r="AD75" s="27">
        <v>835</v>
      </c>
      <c r="AE75" s="53">
        <v>4840</v>
      </c>
      <c r="AF75" s="27"/>
      <c r="AG75" s="27">
        <v>6</v>
      </c>
      <c r="AH75" s="27" t="s">
        <v>1777</v>
      </c>
      <c r="AI75" s="27" t="s">
        <v>1777</v>
      </c>
      <c r="AJ75" s="27">
        <v>4</v>
      </c>
      <c r="AK75" s="27"/>
      <c r="AL75" s="53">
        <v>27148</v>
      </c>
      <c r="AM75" s="27" t="s">
        <v>1777</v>
      </c>
      <c r="AN75" s="27"/>
      <c r="AO75" s="27" t="s">
        <v>1777</v>
      </c>
      <c r="AP75" s="27"/>
      <c r="AQ75" s="27" t="s">
        <v>1777</v>
      </c>
      <c r="AR75" s="27" t="b">
        <f t="shared" si="1"/>
        <v>1</v>
      </c>
      <c r="AT75" t="b">
        <f t="shared" si="2"/>
        <v>1</v>
      </c>
      <c r="AW75" t="b">
        <f t="shared" si="3"/>
        <v>1</v>
      </c>
      <c r="AX75" t="b">
        <f t="shared" si="4"/>
        <v>1</v>
      </c>
      <c r="AY75" t="b">
        <f t="shared" si="5"/>
        <v>1</v>
      </c>
      <c r="AZ75" t="b">
        <f t="shared" si="6"/>
        <v>1</v>
      </c>
      <c r="BA75" t="b">
        <f t="shared" si="7"/>
        <v>1</v>
      </c>
      <c r="BB75" t="b">
        <f t="shared" si="8"/>
        <v>1</v>
      </c>
      <c r="BD75" t="b">
        <f t="shared" si="9"/>
        <v>1</v>
      </c>
      <c r="BG75" t="b">
        <f t="shared" si="10"/>
        <v>1</v>
      </c>
    </row>
    <row r="76" spans="1:59" x14ac:dyDescent="0.25">
      <c r="A76" s="160" t="s">
        <v>1839</v>
      </c>
      <c r="B76" s="161">
        <v>0</v>
      </c>
      <c r="C76" s="169">
        <v>0</v>
      </c>
      <c r="D76" s="167">
        <v>2434</v>
      </c>
      <c r="E76" s="169">
        <v>2434</v>
      </c>
      <c r="F76" s="171">
        <v>2434</v>
      </c>
      <c r="G76" s="177">
        <v>6</v>
      </c>
      <c r="H76" s="169">
        <v>26582</v>
      </c>
      <c r="I76" s="169">
        <v>750</v>
      </c>
      <c r="J76" s="169">
        <v>6</v>
      </c>
      <c r="K76" s="169">
        <v>20</v>
      </c>
      <c r="L76" s="169">
        <v>79</v>
      </c>
      <c r="M76" s="169">
        <v>72303</v>
      </c>
      <c r="N76" s="173"/>
      <c r="O76" s="169">
        <v>4236</v>
      </c>
      <c r="P76" s="171">
        <v>0</v>
      </c>
      <c r="Q76" s="178"/>
      <c r="R76" s="169">
        <v>953</v>
      </c>
      <c r="S76" s="161">
        <v>6</v>
      </c>
      <c r="T76" s="161">
        <v>0</v>
      </c>
      <c r="U76" s="86">
        <f t="shared" si="0"/>
        <v>0</v>
      </c>
      <c r="V76" s="27">
        <v>2008</v>
      </c>
      <c r="W76" s="27">
        <v>0</v>
      </c>
      <c r="X76" s="27">
        <v>72</v>
      </c>
      <c r="Y76" s="53">
        <v>2434</v>
      </c>
      <c r="Z76" s="27"/>
      <c r="AA76" s="27">
        <v>750</v>
      </c>
      <c r="AB76" s="27">
        <v>20</v>
      </c>
      <c r="AC76" s="27">
        <v>79</v>
      </c>
      <c r="AD76" s="27">
        <v>953</v>
      </c>
      <c r="AE76" s="53">
        <v>4236</v>
      </c>
      <c r="AF76" s="27"/>
      <c r="AG76" s="27">
        <v>6</v>
      </c>
      <c r="AH76" s="27" t="s">
        <v>1777</v>
      </c>
      <c r="AI76" s="27" t="s">
        <v>1777</v>
      </c>
      <c r="AJ76" s="27">
        <v>6</v>
      </c>
      <c r="AK76" s="27"/>
      <c r="AL76" s="53">
        <v>26582</v>
      </c>
      <c r="AM76" s="27" t="s">
        <v>1777</v>
      </c>
      <c r="AN76" s="27"/>
      <c r="AO76" s="27" t="s">
        <v>1777</v>
      </c>
      <c r="AP76" s="27"/>
      <c r="AQ76" s="27" t="s">
        <v>1777</v>
      </c>
      <c r="AR76" s="27" t="b">
        <f t="shared" si="1"/>
        <v>1</v>
      </c>
      <c r="AT76" t="b">
        <f t="shared" si="2"/>
        <v>1</v>
      </c>
      <c r="AW76" t="b">
        <f t="shared" si="3"/>
        <v>1</v>
      </c>
      <c r="AX76" t="b">
        <f t="shared" si="4"/>
        <v>1</v>
      </c>
      <c r="AY76" t="b">
        <f t="shared" si="5"/>
        <v>1</v>
      </c>
      <c r="AZ76" t="b">
        <f t="shared" si="6"/>
        <v>1</v>
      </c>
      <c r="BA76" t="b">
        <f t="shared" si="7"/>
        <v>1</v>
      </c>
      <c r="BB76" t="b">
        <f t="shared" si="8"/>
        <v>1</v>
      </c>
      <c r="BD76" t="b">
        <f t="shared" si="9"/>
        <v>1</v>
      </c>
      <c r="BG76" t="b">
        <f t="shared" si="10"/>
        <v>1</v>
      </c>
    </row>
    <row r="77" spans="1:59" x14ac:dyDescent="0.25">
      <c r="A77" s="160" t="s">
        <v>1840</v>
      </c>
      <c r="B77" s="161">
        <v>0</v>
      </c>
      <c r="C77" s="169">
        <v>0</v>
      </c>
      <c r="D77" s="167">
        <v>3167</v>
      </c>
      <c r="E77" s="169">
        <v>3167</v>
      </c>
      <c r="F77" s="171">
        <v>3167</v>
      </c>
      <c r="G77" s="177">
        <v>7</v>
      </c>
      <c r="H77" s="169">
        <v>17775</v>
      </c>
      <c r="I77" s="169">
        <v>647</v>
      </c>
      <c r="J77" s="169">
        <v>6</v>
      </c>
      <c r="K77" s="169">
        <v>17</v>
      </c>
      <c r="L77" s="169">
        <v>81</v>
      </c>
      <c r="M77" s="169">
        <v>71546</v>
      </c>
      <c r="N77" s="173"/>
      <c r="O77" s="169">
        <v>4616</v>
      </c>
      <c r="P77" s="171">
        <v>0</v>
      </c>
      <c r="Q77" s="178"/>
      <c r="R77" s="169">
        <v>704</v>
      </c>
      <c r="S77" s="161">
        <v>12</v>
      </c>
      <c r="T77" s="161">
        <v>0</v>
      </c>
      <c r="U77" s="86">
        <f t="shared" si="0"/>
        <v>0</v>
      </c>
      <c r="V77" s="27">
        <v>2009</v>
      </c>
      <c r="W77" s="27">
        <v>0</v>
      </c>
      <c r="X77" s="27">
        <v>72</v>
      </c>
      <c r="Y77" s="53">
        <v>3167</v>
      </c>
      <c r="Z77" s="27"/>
      <c r="AA77" s="27">
        <v>647</v>
      </c>
      <c r="AB77" s="27">
        <v>17</v>
      </c>
      <c r="AC77" s="27">
        <v>81</v>
      </c>
      <c r="AD77" s="27">
        <v>704</v>
      </c>
      <c r="AE77" s="53">
        <v>4616</v>
      </c>
      <c r="AF77" s="27"/>
      <c r="AG77" s="27">
        <v>6</v>
      </c>
      <c r="AH77" s="27" t="s">
        <v>1777</v>
      </c>
      <c r="AI77" s="27" t="s">
        <v>1777</v>
      </c>
      <c r="AJ77" s="27">
        <v>12</v>
      </c>
      <c r="AK77" s="27"/>
      <c r="AL77" s="53">
        <v>17775</v>
      </c>
      <c r="AM77" s="27" t="s">
        <v>1777</v>
      </c>
      <c r="AN77" s="27"/>
      <c r="AO77" s="27" t="s">
        <v>1777</v>
      </c>
      <c r="AP77" s="27"/>
      <c r="AQ77" s="27" t="s">
        <v>1777</v>
      </c>
      <c r="AR77" s="27" t="b">
        <f t="shared" si="1"/>
        <v>1</v>
      </c>
      <c r="AT77" t="b">
        <f t="shared" si="2"/>
        <v>1</v>
      </c>
      <c r="AW77" t="b">
        <f t="shared" si="3"/>
        <v>1</v>
      </c>
      <c r="AX77" t="b">
        <f t="shared" si="4"/>
        <v>1</v>
      </c>
      <c r="AY77" t="b">
        <f t="shared" si="5"/>
        <v>1</v>
      </c>
      <c r="AZ77" t="b">
        <f t="shared" si="6"/>
        <v>1</v>
      </c>
      <c r="BA77" t="b">
        <f t="shared" si="7"/>
        <v>1</v>
      </c>
      <c r="BB77" t="b">
        <f t="shared" si="8"/>
        <v>1</v>
      </c>
      <c r="BD77" t="b">
        <f t="shared" si="9"/>
        <v>1</v>
      </c>
      <c r="BG77" t="b">
        <f t="shared" si="10"/>
        <v>1</v>
      </c>
    </row>
    <row r="78" spans="1:59" x14ac:dyDescent="0.25">
      <c r="A78" s="160" t="s">
        <v>1841</v>
      </c>
      <c r="B78" s="161">
        <v>0</v>
      </c>
      <c r="C78" s="169">
        <v>0</v>
      </c>
      <c r="D78" s="167">
        <v>5438</v>
      </c>
      <c r="E78" s="169">
        <v>5438</v>
      </c>
      <c r="F78" s="171">
        <v>5438</v>
      </c>
      <c r="G78" s="177">
        <v>5</v>
      </c>
      <c r="H78" s="169">
        <v>18243</v>
      </c>
      <c r="I78" s="169">
        <v>582</v>
      </c>
      <c r="J78" s="169">
        <v>5</v>
      </c>
      <c r="K78" s="169">
        <v>47</v>
      </c>
      <c r="L78" s="169">
        <v>48</v>
      </c>
      <c r="M78" s="169">
        <v>72053</v>
      </c>
      <c r="N78" s="173"/>
      <c r="O78" s="169">
        <v>6666</v>
      </c>
      <c r="P78" s="171">
        <v>0</v>
      </c>
      <c r="Q78" s="177">
        <v>582</v>
      </c>
      <c r="R78" s="169">
        <v>552</v>
      </c>
      <c r="S78" s="161">
        <v>30</v>
      </c>
      <c r="T78" s="161">
        <v>2</v>
      </c>
      <c r="U78" s="86">
        <f t="shared" si="0"/>
        <v>1</v>
      </c>
      <c r="V78" s="27">
        <v>2010</v>
      </c>
      <c r="W78" s="27">
        <v>0</v>
      </c>
      <c r="X78" s="27">
        <v>72</v>
      </c>
      <c r="Y78" s="53">
        <v>5438</v>
      </c>
      <c r="Z78" s="27"/>
      <c r="AA78" s="27">
        <v>582</v>
      </c>
      <c r="AB78" s="27">
        <v>47</v>
      </c>
      <c r="AC78" s="27">
        <v>48</v>
      </c>
      <c r="AD78" s="27">
        <v>552</v>
      </c>
      <c r="AE78" s="53">
        <v>6666</v>
      </c>
      <c r="AF78" s="27"/>
      <c r="AG78" s="27">
        <v>5</v>
      </c>
      <c r="AH78" s="27" t="s">
        <v>1777</v>
      </c>
      <c r="AI78" s="27" t="s">
        <v>1777</v>
      </c>
      <c r="AJ78" s="27">
        <v>30</v>
      </c>
      <c r="AK78" s="27"/>
      <c r="AL78" s="53">
        <v>18243</v>
      </c>
      <c r="AM78" s="27" t="s">
        <v>1777</v>
      </c>
      <c r="AN78" s="27"/>
      <c r="AO78" s="27" t="s">
        <v>1777</v>
      </c>
      <c r="AP78" s="27"/>
      <c r="AQ78" s="27" t="s">
        <v>1777</v>
      </c>
      <c r="AR78" s="27" t="b">
        <f t="shared" si="1"/>
        <v>1</v>
      </c>
      <c r="AT78" t="b">
        <f t="shared" si="2"/>
        <v>1</v>
      </c>
      <c r="AW78" t="b">
        <f t="shared" si="3"/>
        <v>1</v>
      </c>
      <c r="AX78" t="b">
        <f t="shared" si="4"/>
        <v>1</v>
      </c>
      <c r="AY78" t="b">
        <f t="shared" si="5"/>
        <v>1</v>
      </c>
      <c r="AZ78" t="b">
        <f t="shared" si="6"/>
        <v>1</v>
      </c>
      <c r="BA78" t="b">
        <f t="shared" si="7"/>
        <v>1</v>
      </c>
      <c r="BB78" t="b">
        <f t="shared" si="8"/>
        <v>1</v>
      </c>
      <c r="BD78" t="b">
        <f t="shared" si="9"/>
        <v>1</v>
      </c>
      <c r="BG78" t="b">
        <f t="shared" si="10"/>
        <v>1</v>
      </c>
    </row>
    <row r="79" spans="1:59" x14ac:dyDescent="0.25">
      <c r="A79" s="160" t="s">
        <v>1842</v>
      </c>
      <c r="B79" s="161">
        <v>0</v>
      </c>
      <c r="C79" s="169">
        <v>0</v>
      </c>
      <c r="D79" s="167">
        <v>3593</v>
      </c>
      <c r="E79" s="169">
        <v>3593</v>
      </c>
      <c r="F79" s="171">
        <v>3593</v>
      </c>
      <c r="G79" s="177">
        <v>15</v>
      </c>
      <c r="H79" s="169">
        <v>17767</v>
      </c>
      <c r="I79" s="169">
        <v>645</v>
      </c>
      <c r="J79" s="169">
        <v>6</v>
      </c>
      <c r="K79" s="169">
        <v>6</v>
      </c>
      <c r="L79" s="169">
        <v>146</v>
      </c>
      <c r="M79" s="169">
        <v>81068</v>
      </c>
      <c r="N79" s="173"/>
      <c r="O79" s="169">
        <v>4730</v>
      </c>
      <c r="P79" s="171">
        <v>0</v>
      </c>
      <c r="Q79" s="177">
        <v>645</v>
      </c>
      <c r="R79" s="169">
        <v>340</v>
      </c>
      <c r="S79" s="161">
        <v>55</v>
      </c>
      <c r="T79" s="161">
        <v>9</v>
      </c>
      <c r="U79" s="86">
        <f t="shared" si="0"/>
        <v>0</v>
      </c>
      <c r="V79" s="27">
        <v>2011</v>
      </c>
      <c r="W79" s="27">
        <v>0</v>
      </c>
      <c r="X79" s="27">
        <v>81</v>
      </c>
      <c r="Y79" s="53">
        <v>3593</v>
      </c>
      <c r="Z79" s="27"/>
      <c r="AA79" s="27">
        <v>645</v>
      </c>
      <c r="AB79" s="27">
        <v>6</v>
      </c>
      <c r="AC79" s="27">
        <v>146</v>
      </c>
      <c r="AD79" s="27">
        <v>340</v>
      </c>
      <c r="AE79" s="53">
        <v>4730</v>
      </c>
      <c r="AF79" s="27"/>
      <c r="AG79" s="27">
        <v>6</v>
      </c>
      <c r="AH79" s="27" t="s">
        <v>1777</v>
      </c>
      <c r="AI79" s="27" t="s">
        <v>1777</v>
      </c>
      <c r="AJ79" s="27">
        <v>55</v>
      </c>
      <c r="AK79" s="27"/>
      <c r="AL79" s="53">
        <v>17767</v>
      </c>
      <c r="AM79" s="27" t="s">
        <v>1777</v>
      </c>
      <c r="AN79" s="27"/>
      <c r="AO79" s="27" t="s">
        <v>1777</v>
      </c>
      <c r="AP79" s="27"/>
      <c r="AQ79" s="27" t="s">
        <v>1777</v>
      </c>
      <c r="AR79" s="27" t="b">
        <f t="shared" si="1"/>
        <v>1</v>
      </c>
      <c r="AT79" t="b">
        <f t="shared" si="2"/>
        <v>1</v>
      </c>
      <c r="AW79" t="b">
        <f t="shared" si="3"/>
        <v>1</v>
      </c>
      <c r="AX79" t="b">
        <f t="shared" si="4"/>
        <v>1</v>
      </c>
      <c r="AY79" t="b">
        <f t="shared" si="5"/>
        <v>1</v>
      </c>
      <c r="AZ79" t="b">
        <f t="shared" si="6"/>
        <v>1</v>
      </c>
      <c r="BA79" t="b">
        <f t="shared" si="7"/>
        <v>1</v>
      </c>
      <c r="BB79" t="b">
        <f t="shared" si="8"/>
        <v>1</v>
      </c>
      <c r="BD79" t="b">
        <f t="shared" si="9"/>
        <v>1</v>
      </c>
      <c r="BG79" t="b">
        <f t="shared" si="10"/>
        <v>1</v>
      </c>
    </row>
    <row r="80" spans="1:59" x14ac:dyDescent="0.25">
      <c r="A80" s="160" t="s">
        <v>1843</v>
      </c>
      <c r="B80" s="161">
        <v>0</v>
      </c>
      <c r="C80" s="169">
        <v>0</v>
      </c>
      <c r="D80" s="167">
        <v>2266</v>
      </c>
      <c r="E80" s="169">
        <v>2266</v>
      </c>
      <c r="F80" s="171">
        <v>2266</v>
      </c>
      <c r="G80" s="177">
        <v>4</v>
      </c>
      <c r="H80" s="169">
        <v>17723</v>
      </c>
      <c r="I80" s="169">
        <v>590</v>
      </c>
      <c r="J80" s="169">
        <v>5</v>
      </c>
      <c r="K80" s="169">
        <v>1</v>
      </c>
      <c r="L80" s="169">
        <v>43</v>
      </c>
      <c r="M80" s="169">
        <v>73040</v>
      </c>
      <c r="N80" s="173"/>
      <c r="O80" s="169">
        <v>3120</v>
      </c>
      <c r="P80" s="171">
        <v>0</v>
      </c>
      <c r="Q80" s="177">
        <v>590</v>
      </c>
      <c r="R80" s="169">
        <v>220</v>
      </c>
      <c r="S80" s="161">
        <v>153</v>
      </c>
      <c r="T80" s="161">
        <v>9</v>
      </c>
      <c r="U80" s="86">
        <f t="shared" si="0"/>
        <v>0</v>
      </c>
      <c r="V80" s="27">
        <v>2012</v>
      </c>
      <c r="W80" s="27">
        <v>0</v>
      </c>
      <c r="X80" s="27">
        <v>73</v>
      </c>
      <c r="Y80" s="53">
        <v>2266</v>
      </c>
      <c r="Z80" s="27"/>
      <c r="AA80" s="27">
        <v>590</v>
      </c>
      <c r="AB80" s="27">
        <v>1</v>
      </c>
      <c r="AC80" s="27">
        <v>43</v>
      </c>
      <c r="AD80" s="27">
        <v>220</v>
      </c>
      <c r="AE80" s="53">
        <v>3120</v>
      </c>
      <c r="AF80" s="27"/>
      <c r="AG80" s="27">
        <v>5</v>
      </c>
      <c r="AH80" s="27" t="s">
        <v>1777</v>
      </c>
      <c r="AI80" s="27" t="s">
        <v>1777</v>
      </c>
      <c r="AJ80" s="27">
        <v>153</v>
      </c>
      <c r="AK80" s="27"/>
      <c r="AL80" s="53">
        <v>17723</v>
      </c>
      <c r="AM80" s="27" t="s">
        <v>1777</v>
      </c>
      <c r="AN80" s="27"/>
      <c r="AO80" s="27" t="s">
        <v>1777</v>
      </c>
      <c r="AP80" s="27"/>
      <c r="AQ80" s="27" t="s">
        <v>1777</v>
      </c>
      <c r="AR80" s="27" t="b">
        <f t="shared" si="1"/>
        <v>1</v>
      </c>
      <c r="AT80" t="b">
        <f t="shared" si="2"/>
        <v>1</v>
      </c>
      <c r="AW80" t="b">
        <f t="shared" si="3"/>
        <v>1</v>
      </c>
      <c r="AX80" t="b">
        <f t="shared" si="4"/>
        <v>1</v>
      </c>
      <c r="AY80" t="b">
        <f t="shared" si="5"/>
        <v>1</v>
      </c>
      <c r="AZ80" t="b">
        <f t="shared" si="6"/>
        <v>1</v>
      </c>
      <c r="BA80" t="b">
        <f t="shared" si="7"/>
        <v>1</v>
      </c>
      <c r="BB80" t="b">
        <f t="shared" si="8"/>
        <v>1</v>
      </c>
      <c r="BD80" t="b">
        <f t="shared" si="9"/>
        <v>1</v>
      </c>
      <c r="BG80" t="b">
        <f t="shared" si="10"/>
        <v>1</v>
      </c>
    </row>
    <row r="81" spans="1:59" x14ac:dyDescent="0.25">
      <c r="A81" s="160" t="s">
        <v>1844</v>
      </c>
      <c r="B81" s="161">
        <v>0</v>
      </c>
      <c r="C81" s="169">
        <v>0</v>
      </c>
      <c r="D81" s="167">
        <v>2336</v>
      </c>
      <c r="E81" s="169">
        <v>2336</v>
      </c>
      <c r="F81" s="171">
        <v>2336</v>
      </c>
      <c r="G81" s="177">
        <v>5</v>
      </c>
      <c r="H81" s="169">
        <v>17713</v>
      </c>
      <c r="I81" s="169">
        <v>729</v>
      </c>
      <c r="J81" s="169">
        <v>6</v>
      </c>
      <c r="K81" s="169">
        <v>2</v>
      </c>
      <c r="L81" s="169">
        <v>47</v>
      </c>
      <c r="M81" s="169">
        <v>99781</v>
      </c>
      <c r="N81" s="173"/>
      <c r="O81" s="169">
        <v>3337</v>
      </c>
      <c r="P81" s="171">
        <v>0</v>
      </c>
      <c r="Q81" s="177">
        <v>729</v>
      </c>
      <c r="R81" s="169">
        <v>222</v>
      </c>
      <c r="S81" s="161">
        <v>284</v>
      </c>
      <c r="T81" s="161">
        <v>15</v>
      </c>
      <c r="U81" s="86">
        <f t="shared" si="0"/>
        <v>-1</v>
      </c>
      <c r="V81" s="27">
        <v>2013</v>
      </c>
      <c r="W81" s="27">
        <v>0</v>
      </c>
      <c r="X81" s="27">
        <v>100</v>
      </c>
      <c r="Y81" s="53">
        <v>2336</v>
      </c>
      <c r="Z81" s="27"/>
      <c r="AA81" s="27">
        <v>729</v>
      </c>
      <c r="AB81" s="27">
        <v>2</v>
      </c>
      <c r="AC81" s="27">
        <v>47</v>
      </c>
      <c r="AD81" s="27">
        <v>222</v>
      </c>
      <c r="AE81" s="53">
        <v>3337</v>
      </c>
      <c r="AF81" s="27"/>
      <c r="AG81" s="27">
        <v>6</v>
      </c>
      <c r="AH81" s="27" t="s">
        <v>1777</v>
      </c>
      <c r="AI81" s="27" t="s">
        <v>1777</v>
      </c>
      <c r="AJ81" s="27">
        <v>284</v>
      </c>
      <c r="AK81" s="27"/>
      <c r="AL81" s="53">
        <v>17713</v>
      </c>
      <c r="AM81" s="27" t="s">
        <v>1777</v>
      </c>
      <c r="AN81" s="27"/>
      <c r="AO81" s="27" t="s">
        <v>1777</v>
      </c>
      <c r="AP81" s="27"/>
      <c r="AQ81" s="27" t="s">
        <v>1777</v>
      </c>
      <c r="AR81" s="27" t="b">
        <f t="shared" si="1"/>
        <v>1</v>
      </c>
      <c r="AT81" t="b">
        <f t="shared" si="2"/>
        <v>1</v>
      </c>
      <c r="AW81" t="b">
        <f t="shared" si="3"/>
        <v>1</v>
      </c>
      <c r="AX81" t="b">
        <f t="shared" si="4"/>
        <v>1</v>
      </c>
      <c r="AY81" t="b">
        <f t="shared" si="5"/>
        <v>1</v>
      </c>
      <c r="AZ81" t="b">
        <f t="shared" si="6"/>
        <v>1</v>
      </c>
      <c r="BA81" t="b">
        <f t="shared" si="7"/>
        <v>1</v>
      </c>
      <c r="BB81" t="b">
        <f t="shared" si="8"/>
        <v>1</v>
      </c>
      <c r="BD81" t="b">
        <f t="shared" si="9"/>
        <v>1</v>
      </c>
      <c r="BG81" t="b">
        <f t="shared" si="10"/>
        <v>1</v>
      </c>
    </row>
    <row r="82" spans="1:59" x14ac:dyDescent="0.25">
      <c r="A82" s="160" t="s">
        <v>1845</v>
      </c>
      <c r="B82" s="161">
        <v>0</v>
      </c>
      <c r="C82" s="169">
        <v>0</v>
      </c>
      <c r="D82" s="167">
        <v>2639</v>
      </c>
      <c r="E82" s="169">
        <v>2639</v>
      </c>
      <c r="F82" s="171">
        <v>2639</v>
      </c>
      <c r="G82" s="177">
        <v>5</v>
      </c>
      <c r="H82" s="169">
        <v>26076</v>
      </c>
      <c r="I82" s="169">
        <v>802</v>
      </c>
      <c r="J82" s="169">
        <v>5</v>
      </c>
      <c r="K82" s="169">
        <v>13</v>
      </c>
      <c r="L82" s="169">
        <v>46</v>
      </c>
      <c r="M82" s="169">
        <v>105801</v>
      </c>
      <c r="N82" s="173"/>
      <c r="O82" s="169">
        <v>3634</v>
      </c>
      <c r="P82" s="171">
        <v>0</v>
      </c>
      <c r="Q82" s="177">
        <v>802</v>
      </c>
      <c r="R82" s="169">
        <v>134</v>
      </c>
      <c r="S82" s="161">
        <v>469</v>
      </c>
      <c r="T82" s="161">
        <v>25</v>
      </c>
      <c r="U82" s="86">
        <f t="shared" si="0"/>
        <v>0</v>
      </c>
      <c r="V82" s="27">
        <v>2014</v>
      </c>
      <c r="W82" s="27">
        <v>0</v>
      </c>
      <c r="X82" s="27">
        <v>106</v>
      </c>
      <c r="Y82" s="53">
        <v>2639</v>
      </c>
      <c r="Z82" s="27"/>
      <c r="AA82" s="27">
        <v>802</v>
      </c>
      <c r="AB82" s="27">
        <v>13</v>
      </c>
      <c r="AC82" s="27">
        <v>46</v>
      </c>
      <c r="AD82" s="27">
        <v>134</v>
      </c>
      <c r="AE82" s="53">
        <v>3634</v>
      </c>
      <c r="AF82" s="27"/>
      <c r="AG82" s="27">
        <v>5</v>
      </c>
      <c r="AH82" s="27" t="s">
        <v>1777</v>
      </c>
      <c r="AI82" s="27" t="s">
        <v>1777</v>
      </c>
      <c r="AJ82" s="27">
        <v>469</v>
      </c>
      <c r="AK82" s="27"/>
      <c r="AL82" s="53">
        <v>26076</v>
      </c>
      <c r="AM82" s="27" t="s">
        <v>1777</v>
      </c>
      <c r="AN82" s="27"/>
      <c r="AO82" s="27" t="s">
        <v>1777</v>
      </c>
      <c r="AP82" s="27"/>
      <c r="AQ82" s="27" t="s">
        <v>1777</v>
      </c>
      <c r="AR82" s="27" t="b">
        <f t="shared" si="1"/>
        <v>1</v>
      </c>
      <c r="AT82" t="b">
        <f t="shared" si="2"/>
        <v>1</v>
      </c>
      <c r="AW82" t="b">
        <f t="shared" si="3"/>
        <v>1</v>
      </c>
      <c r="AX82" t="b">
        <f t="shared" si="4"/>
        <v>1</v>
      </c>
      <c r="AY82" t="b">
        <f t="shared" si="5"/>
        <v>1</v>
      </c>
      <c r="AZ82" t="b">
        <f t="shared" si="6"/>
        <v>1</v>
      </c>
      <c r="BA82" t="b">
        <f t="shared" si="7"/>
        <v>1</v>
      </c>
      <c r="BB82" t="b">
        <f t="shared" si="8"/>
        <v>1</v>
      </c>
      <c r="BD82" t="b">
        <f t="shared" si="9"/>
        <v>1</v>
      </c>
      <c r="BG82" t="b">
        <f t="shared" si="10"/>
        <v>1</v>
      </c>
    </row>
    <row r="83" spans="1:59" x14ac:dyDescent="0.25">
      <c r="A83" s="160" t="s">
        <v>1846</v>
      </c>
      <c r="B83" s="161">
        <v>0</v>
      </c>
      <c r="C83" s="169">
        <v>0</v>
      </c>
      <c r="D83" s="167">
        <v>2692</v>
      </c>
      <c r="E83" s="169">
        <v>2692</v>
      </c>
      <c r="F83" s="171">
        <v>2692</v>
      </c>
      <c r="G83" s="177">
        <v>145</v>
      </c>
      <c r="H83" s="169">
        <v>26200</v>
      </c>
      <c r="I83" s="169">
        <v>736</v>
      </c>
      <c r="J83" s="169">
        <v>6</v>
      </c>
      <c r="K83" s="169">
        <v>13</v>
      </c>
      <c r="L83" s="169">
        <v>1388</v>
      </c>
      <c r="M83" s="169">
        <v>105171</v>
      </c>
      <c r="N83" s="173"/>
      <c r="O83" s="169">
        <v>4879</v>
      </c>
      <c r="P83" s="171">
        <v>0</v>
      </c>
      <c r="Q83" s="177">
        <v>736</v>
      </c>
      <c r="R83" s="169">
        <v>51</v>
      </c>
      <c r="S83" s="161">
        <v>613</v>
      </c>
      <c r="T83" s="161">
        <v>26</v>
      </c>
      <c r="U83" s="86">
        <f t="shared" si="0"/>
        <v>1</v>
      </c>
      <c r="V83" s="27">
        <v>2015</v>
      </c>
      <c r="W83" s="27">
        <v>0</v>
      </c>
      <c r="X83" s="27">
        <v>105</v>
      </c>
      <c r="Y83" s="53">
        <v>2692</v>
      </c>
      <c r="Z83" s="27"/>
      <c r="AA83" s="27">
        <v>736</v>
      </c>
      <c r="AB83" s="27">
        <v>13</v>
      </c>
      <c r="AC83" s="53">
        <v>1388</v>
      </c>
      <c r="AD83" s="27">
        <v>51</v>
      </c>
      <c r="AE83" s="53">
        <v>4879</v>
      </c>
      <c r="AF83" s="27"/>
      <c r="AG83" s="27">
        <v>6</v>
      </c>
      <c r="AH83" s="27" t="s">
        <v>1777</v>
      </c>
      <c r="AI83" s="27" t="s">
        <v>1777</v>
      </c>
      <c r="AJ83" s="27">
        <v>613</v>
      </c>
      <c r="AK83" s="27"/>
      <c r="AL83" s="53">
        <v>26200</v>
      </c>
      <c r="AM83" s="27" t="s">
        <v>1777</v>
      </c>
      <c r="AN83" s="27"/>
      <c r="AO83" s="27" t="s">
        <v>1777</v>
      </c>
      <c r="AP83" s="27"/>
      <c r="AQ83" s="27" t="s">
        <v>1777</v>
      </c>
      <c r="AR83" s="27" t="b">
        <f t="shared" si="1"/>
        <v>1</v>
      </c>
      <c r="AT83" t="b">
        <f t="shared" si="2"/>
        <v>1</v>
      </c>
      <c r="AW83" t="b">
        <f t="shared" si="3"/>
        <v>1</v>
      </c>
      <c r="AX83" t="b">
        <f t="shared" si="4"/>
        <v>1</v>
      </c>
      <c r="AY83" t="b">
        <f t="shared" si="5"/>
        <v>1</v>
      </c>
      <c r="AZ83" t="b">
        <f t="shared" si="6"/>
        <v>1</v>
      </c>
      <c r="BA83" t="b">
        <f t="shared" si="7"/>
        <v>1</v>
      </c>
      <c r="BB83" t="b">
        <f t="shared" si="8"/>
        <v>1</v>
      </c>
      <c r="BD83" t="b">
        <f t="shared" si="9"/>
        <v>1</v>
      </c>
      <c r="BG83" t="b">
        <f t="shared" si="10"/>
        <v>1</v>
      </c>
    </row>
    <row r="84" spans="1:59" x14ac:dyDescent="0.25">
      <c r="A84" s="160" t="s">
        <v>1847</v>
      </c>
      <c r="B84" s="161">
        <v>0</v>
      </c>
      <c r="C84" s="169">
        <v>0</v>
      </c>
      <c r="D84" s="167">
        <v>1472</v>
      </c>
      <c r="E84" s="169">
        <v>1472</v>
      </c>
      <c r="F84" s="171">
        <v>1472</v>
      </c>
      <c r="G84" s="177">
        <v>145</v>
      </c>
      <c r="H84" s="169">
        <v>25934</v>
      </c>
      <c r="I84" s="169">
        <v>561</v>
      </c>
      <c r="J84" s="169">
        <v>3</v>
      </c>
      <c r="K84" s="169">
        <v>14</v>
      </c>
      <c r="L84" s="169">
        <v>1400</v>
      </c>
      <c r="M84" s="169">
        <v>104850</v>
      </c>
      <c r="N84" s="173"/>
      <c r="O84" s="169">
        <v>3477</v>
      </c>
      <c r="P84" s="171">
        <v>0</v>
      </c>
      <c r="Q84" s="177">
        <v>561</v>
      </c>
      <c r="R84" s="169">
        <v>31</v>
      </c>
      <c r="S84" s="161">
        <v>782</v>
      </c>
      <c r="T84" s="161">
        <v>20</v>
      </c>
      <c r="U84" s="86">
        <f t="shared" si="0"/>
        <v>1</v>
      </c>
      <c r="V84" s="27">
        <v>2016</v>
      </c>
      <c r="W84" s="27">
        <v>0</v>
      </c>
      <c r="X84" s="27">
        <v>105</v>
      </c>
      <c r="Y84" s="53">
        <v>1472</v>
      </c>
      <c r="Z84" s="27"/>
      <c r="AA84" s="27">
        <v>561</v>
      </c>
      <c r="AB84" s="27">
        <v>14</v>
      </c>
      <c r="AC84" s="53">
        <v>1400</v>
      </c>
      <c r="AD84" s="27">
        <v>31</v>
      </c>
      <c r="AE84" s="53">
        <v>3477</v>
      </c>
      <c r="AF84" s="27"/>
      <c r="AG84" s="27">
        <v>3</v>
      </c>
      <c r="AH84" s="27" t="s">
        <v>1777</v>
      </c>
      <c r="AI84" s="27" t="s">
        <v>1777</v>
      </c>
      <c r="AJ84" s="27">
        <v>782</v>
      </c>
      <c r="AK84" s="27"/>
      <c r="AL84" s="53">
        <v>25934</v>
      </c>
      <c r="AM84" s="27" t="s">
        <v>1777</v>
      </c>
      <c r="AN84" s="27"/>
      <c r="AO84" s="27" t="s">
        <v>1777</v>
      </c>
      <c r="AP84" s="27"/>
      <c r="AQ84" s="27" t="s">
        <v>1777</v>
      </c>
      <c r="AR84" s="27" t="b">
        <f t="shared" si="1"/>
        <v>1</v>
      </c>
      <c r="AT84" t="b">
        <f t="shared" si="2"/>
        <v>1</v>
      </c>
      <c r="AW84" t="b">
        <f t="shared" si="3"/>
        <v>1</v>
      </c>
      <c r="AX84" t="b">
        <f t="shared" si="4"/>
        <v>1</v>
      </c>
      <c r="AY84" t="b">
        <f t="shared" si="5"/>
        <v>1</v>
      </c>
      <c r="AZ84" t="b">
        <f t="shared" si="6"/>
        <v>1</v>
      </c>
      <c r="BA84" t="b">
        <f t="shared" si="7"/>
        <v>1</v>
      </c>
      <c r="BB84" t="b">
        <f t="shared" si="8"/>
        <v>1</v>
      </c>
      <c r="BD84" t="b">
        <f t="shared" si="9"/>
        <v>1</v>
      </c>
      <c r="BG84" t="b">
        <f t="shared" si="10"/>
        <v>1</v>
      </c>
    </row>
    <row r="85" spans="1:59" x14ac:dyDescent="0.25">
      <c r="A85" s="160" t="s">
        <v>1848</v>
      </c>
      <c r="B85" s="161">
        <v>0</v>
      </c>
      <c r="C85" s="169">
        <v>0</v>
      </c>
      <c r="D85" s="167">
        <v>1687</v>
      </c>
      <c r="E85" s="169">
        <v>1687</v>
      </c>
      <c r="F85" s="171">
        <v>1687</v>
      </c>
      <c r="G85" s="177">
        <v>147</v>
      </c>
      <c r="H85" s="169">
        <v>25968</v>
      </c>
      <c r="I85" s="169">
        <v>563</v>
      </c>
      <c r="J85" s="169">
        <v>4</v>
      </c>
      <c r="K85" s="169">
        <v>10</v>
      </c>
      <c r="L85" s="169">
        <v>1416</v>
      </c>
      <c r="M85" s="169">
        <v>109470</v>
      </c>
      <c r="N85" s="173"/>
      <c r="O85" s="169">
        <v>3700</v>
      </c>
      <c r="P85" s="171">
        <v>0</v>
      </c>
      <c r="Q85" s="177">
        <v>563</v>
      </c>
      <c r="R85" s="169">
        <v>24</v>
      </c>
      <c r="S85" s="161">
        <v>905</v>
      </c>
      <c r="T85" s="161">
        <v>21</v>
      </c>
      <c r="U85" s="86">
        <f t="shared" si="0"/>
        <v>0</v>
      </c>
      <c r="V85" s="27">
        <v>2017</v>
      </c>
      <c r="W85" s="27">
        <v>0</v>
      </c>
      <c r="X85" s="27">
        <v>109</v>
      </c>
      <c r="Y85" s="53">
        <v>1687</v>
      </c>
      <c r="Z85" s="27"/>
      <c r="AA85" s="27">
        <v>563</v>
      </c>
      <c r="AB85" s="27">
        <v>10</v>
      </c>
      <c r="AC85" s="53">
        <v>1416</v>
      </c>
      <c r="AD85" s="27">
        <v>24</v>
      </c>
      <c r="AE85" s="53">
        <v>3700</v>
      </c>
      <c r="AF85" s="27"/>
      <c r="AG85" s="27">
        <v>4</v>
      </c>
      <c r="AH85" s="27" t="s">
        <v>1777</v>
      </c>
      <c r="AI85" s="27" t="s">
        <v>1777</v>
      </c>
      <c r="AJ85" s="27">
        <v>905</v>
      </c>
      <c r="AK85" s="27"/>
      <c r="AL85" s="53">
        <v>25968</v>
      </c>
      <c r="AM85" s="27" t="s">
        <v>1777</v>
      </c>
      <c r="AN85" s="27"/>
      <c r="AO85" s="27" t="s">
        <v>1777</v>
      </c>
      <c r="AP85" s="27"/>
      <c r="AQ85" s="27" t="s">
        <v>1777</v>
      </c>
      <c r="AR85" s="27" t="b">
        <f t="shared" si="1"/>
        <v>1</v>
      </c>
      <c r="AT85" t="b">
        <f t="shared" si="2"/>
        <v>1</v>
      </c>
      <c r="AW85" t="b">
        <f t="shared" si="3"/>
        <v>1</v>
      </c>
      <c r="AX85" t="b">
        <f t="shared" si="4"/>
        <v>1</v>
      </c>
      <c r="AY85" t="b">
        <f t="shared" si="5"/>
        <v>1</v>
      </c>
      <c r="AZ85" t="b">
        <f t="shared" si="6"/>
        <v>1</v>
      </c>
      <c r="BA85" t="b">
        <f t="shared" si="7"/>
        <v>1</v>
      </c>
      <c r="BB85" t="b">
        <f t="shared" si="8"/>
        <v>1</v>
      </c>
      <c r="BD85" t="b">
        <f t="shared" si="9"/>
        <v>1</v>
      </c>
      <c r="BG85" t="b">
        <f t="shared" si="10"/>
        <v>1</v>
      </c>
    </row>
    <row r="86" spans="1:59" x14ac:dyDescent="0.25">
      <c r="A86" s="160" t="s">
        <v>1849</v>
      </c>
      <c r="B86" s="161">
        <v>0</v>
      </c>
      <c r="C86" s="169">
        <v>0</v>
      </c>
      <c r="D86" s="167">
        <v>1597</v>
      </c>
      <c r="E86" s="169">
        <v>1597</v>
      </c>
      <c r="F86" s="171">
        <v>1597</v>
      </c>
      <c r="G86" s="177">
        <v>145</v>
      </c>
      <c r="H86" s="169">
        <v>25952</v>
      </c>
      <c r="I86" s="169">
        <v>892</v>
      </c>
      <c r="J86" s="169">
        <v>4</v>
      </c>
      <c r="K86" s="169">
        <v>9</v>
      </c>
      <c r="L86" s="169">
        <v>1407</v>
      </c>
      <c r="M86" s="169">
        <v>118779</v>
      </c>
      <c r="N86" s="173"/>
      <c r="O86" s="169">
        <v>3918</v>
      </c>
      <c r="P86" s="171">
        <v>0</v>
      </c>
      <c r="Q86" s="177">
        <v>892</v>
      </c>
      <c r="R86" s="169">
        <v>13</v>
      </c>
      <c r="S86" s="161">
        <v>1280</v>
      </c>
      <c r="T86" s="161">
        <v>22</v>
      </c>
      <c r="U86" s="86">
        <f t="shared" si="0"/>
        <v>0</v>
      </c>
      <c r="V86" s="27">
        <v>2018</v>
      </c>
      <c r="W86" s="27">
        <v>0</v>
      </c>
      <c r="X86" s="27">
        <v>119</v>
      </c>
      <c r="Y86" s="53">
        <v>1597</v>
      </c>
      <c r="Z86" s="27"/>
      <c r="AA86" s="27">
        <v>892</v>
      </c>
      <c r="AB86" s="27">
        <v>9</v>
      </c>
      <c r="AC86" s="53">
        <v>1407</v>
      </c>
      <c r="AD86" s="27">
        <v>13</v>
      </c>
      <c r="AE86" s="53">
        <v>3918</v>
      </c>
      <c r="AF86" s="27"/>
      <c r="AG86" s="27">
        <v>4</v>
      </c>
      <c r="AH86" s="27" t="s">
        <v>1777</v>
      </c>
      <c r="AI86" s="27" t="s">
        <v>1777</v>
      </c>
      <c r="AJ86" s="53">
        <v>1280</v>
      </c>
      <c r="AK86" s="27"/>
      <c r="AL86" s="53">
        <v>25952</v>
      </c>
      <c r="AM86" s="27" t="s">
        <v>1777</v>
      </c>
      <c r="AN86" s="27"/>
      <c r="AO86" s="27" t="s">
        <v>1777</v>
      </c>
      <c r="AP86" s="27"/>
      <c r="AQ86" s="27" t="s">
        <v>1777</v>
      </c>
      <c r="AR86" s="27" t="b">
        <f t="shared" si="1"/>
        <v>1</v>
      </c>
      <c r="AT86" t="b">
        <f t="shared" si="2"/>
        <v>1</v>
      </c>
      <c r="AW86" t="b">
        <f t="shared" si="3"/>
        <v>1</v>
      </c>
      <c r="AX86" t="b">
        <f t="shared" si="4"/>
        <v>1</v>
      </c>
      <c r="AY86" t="b">
        <f t="shared" si="5"/>
        <v>1</v>
      </c>
      <c r="AZ86" t="b">
        <f t="shared" si="6"/>
        <v>1</v>
      </c>
      <c r="BA86" t="b">
        <f t="shared" si="7"/>
        <v>1</v>
      </c>
      <c r="BB86" t="b">
        <f t="shared" si="8"/>
        <v>1</v>
      </c>
      <c r="BD86" t="b">
        <f t="shared" si="9"/>
        <v>1</v>
      </c>
      <c r="BG86" t="b">
        <f t="shared" si="10"/>
        <v>1</v>
      </c>
    </row>
    <row r="87" spans="1:59" x14ac:dyDescent="0.25">
      <c r="A87" s="160" t="s">
        <v>1850</v>
      </c>
      <c r="B87" s="161">
        <v>0</v>
      </c>
      <c r="C87" s="169">
        <v>0</v>
      </c>
      <c r="D87" s="167">
        <v>1708</v>
      </c>
      <c r="E87" s="169">
        <v>1708</v>
      </c>
      <c r="F87" s="171">
        <v>1708</v>
      </c>
      <c r="G87" s="177">
        <v>149</v>
      </c>
      <c r="H87" s="169">
        <v>25337</v>
      </c>
      <c r="I87" s="169">
        <v>792</v>
      </c>
      <c r="J87" s="169">
        <v>6</v>
      </c>
      <c r="K87" s="169">
        <v>14</v>
      </c>
      <c r="L87" s="169">
        <v>1416</v>
      </c>
      <c r="M87" s="169">
        <v>121518</v>
      </c>
      <c r="N87" s="173"/>
      <c r="O87" s="169">
        <v>3950</v>
      </c>
      <c r="P87" s="171">
        <v>0</v>
      </c>
      <c r="Q87" s="177">
        <v>792</v>
      </c>
      <c r="R87" s="169">
        <v>20</v>
      </c>
      <c r="S87" s="161">
        <v>1273</v>
      </c>
      <c r="T87" s="161">
        <v>24</v>
      </c>
      <c r="U87" s="86">
        <f t="shared" si="0"/>
        <v>0</v>
      </c>
      <c r="V87" s="27">
        <v>2019</v>
      </c>
      <c r="W87" s="27">
        <v>0</v>
      </c>
      <c r="X87" s="27">
        <v>122</v>
      </c>
      <c r="Y87" s="53">
        <v>1708</v>
      </c>
      <c r="Z87" s="27"/>
      <c r="AA87" s="27">
        <v>792</v>
      </c>
      <c r="AB87" s="27">
        <v>14</v>
      </c>
      <c r="AC87" s="53">
        <v>1416</v>
      </c>
      <c r="AD87" s="27">
        <v>20</v>
      </c>
      <c r="AE87" s="53">
        <v>3950</v>
      </c>
      <c r="AF87" s="27"/>
      <c r="AG87" s="27">
        <v>6</v>
      </c>
      <c r="AH87" s="27" t="s">
        <v>1777</v>
      </c>
      <c r="AI87" s="27" t="s">
        <v>1777</v>
      </c>
      <c r="AJ87" s="53">
        <v>1273</v>
      </c>
      <c r="AK87" s="27"/>
      <c r="AL87" s="53">
        <v>25337</v>
      </c>
      <c r="AM87" s="27" t="s">
        <v>1777</v>
      </c>
      <c r="AN87" s="27"/>
      <c r="AO87" s="27" t="s">
        <v>1777</v>
      </c>
      <c r="AP87" s="27"/>
      <c r="AQ87" s="27" t="s">
        <v>1777</v>
      </c>
      <c r="AR87" s="27" t="b">
        <f t="shared" si="1"/>
        <v>1</v>
      </c>
      <c r="AT87" t="b">
        <f t="shared" si="2"/>
        <v>1</v>
      </c>
      <c r="AW87" t="b">
        <f t="shared" si="3"/>
        <v>1</v>
      </c>
      <c r="AX87" t="b">
        <f t="shared" si="4"/>
        <v>1</v>
      </c>
      <c r="AY87" t="b">
        <f t="shared" si="5"/>
        <v>1</v>
      </c>
      <c r="AZ87" t="b">
        <f t="shared" si="6"/>
        <v>1</v>
      </c>
      <c r="BA87" t="b">
        <f t="shared" si="7"/>
        <v>1</v>
      </c>
      <c r="BB87" t="b">
        <f t="shared" si="8"/>
        <v>1</v>
      </c>
      <c r="BD87" t="b">
        <f t="shared" si="9"/>
        <v>1</v>
      </c>
      <c r="BG87" t="b">
        <f t="shared" si="10"/>
        <v>1</v>
      </c>
    </row>
    <row r="88" spans="1:59" x14ac:dyDescent="0.25">
      <c r="A88" s="160" t="s">
        <v>1851</v>
      </c>
      <c r="B88" s="161">
        <v>0</v>
      </c>
      <c r="C88" s="169">
        <v>0</v>
      </c>
      <c r="D88" s="167">
        <v>1274</v>
      </c>
      <c r="E88" s="169">
        <v>1274</v>
      </c>
      <c r="F88" s="171">
        <v>1274</v>
      </c>
      <c r="G88" s="177">
        <v>152</v>
      </c>
      <c r="H88" s="169">
        <v>23121</v>
      </c>
      <c r="I88" s="169">
        <v>946</v>
      </c>
      <c r="J88" s="169">
        <v>5</v>
      </c>
      <c r="K88" s="169">
        <v>17</v>
      </c>
      <c r="L88" s="169">
        <v>1429</v>
      </c>
      <c r="M88" s="169">
        <v>109625</v>
      </c>
      <c r="N88" s="173"/>
      <c r="O88" s="169">
        <v>3699</v>
      </c>
      <c r="P88" s="171">
        <v>0</v>
      </c>
      <c r="Q88" s="177">
        <v>946</v>
      </c>
      <c r="R88" s="169">
        <v>33</v>
      </c>
      <c r="S88" s="161">
        <v>1390</v>
      </c>
      <c r="T88" s="161">
        <v>24</v>
      </c>
      <c r="U88" s="86">
        <f t="shared" si="0"/>
        <v>0</v>
      </c>
      <c r="V88" s="27">
        <v>2020</v>
      </c>
      <c r="W88" s="27">
        <v>0</v>
      </c>
      <c r="X88" s="27">
        <v>110</v>
      </c>
      <c r="Y88" s="53">
        <v>1274</v>
      </c>
      <c r="Z88" s="27"/>
      <c r="AA88" s="27">
        <v>946</v>
      </c>
      <c r="AB88" s="27">
        <v>17</v>
      </c>
      <c r="AC88" s="53">
        <v>1429</v>
      </c>
      <c r="AD88" s="27">
        <v>33</v>
      </c>
      <c r="AE88" s="53">
        <v>3699</v>
      </c>
      <c r="AF88" s="27"/>
      <c r="AG88" s="27">
        <v>5</v>
      </c>
      <c r="AH88" s="27" t="s">
        <v>1777</v>
      </c>
      <c r="AI88" s="27" t="s">
        <v>1777</v>
      </c>
      <c r="AJ88" s="53">
        <v>1390</v>
      </c>
      <c r="AK88" s="27"/>
      <c r="AL88" s="53">
        <v>23121</v>
      </c>
      <c r="AM88" s="27" t="s">
        <v>1777</v>
      </c>
      <c r="AN88" s="27"/>
      <c r="AO88" s="27" t="s">
        <v>1777</v>
      </c>
      <c r="AP88" s="27"/>
      <c r="AQ88" s="27" t="s">
        <v>1777</v>
      </c>
      <c r="AR88" s="27" t="b">
        <f t="shared" si="1"/>
        <v>1</v>
      </c>
      <c r="AT88" t="b">
        <f t="shared" si="2"/>
        <v>1</v>
      </c>
      <c r="AW88" t="b">
        <f t="shared" si="3"/>
        <v>1</v>
      </c>
      <c r="AX88" t="b">
        <f t="shared" si="4"/>
        <v>1</v>
      </c>
      <c r="AY88" t="b">
        <f t="shared" si="5"/>
        <v>1</v>
      </c>
      <c r="AZ88" t="b">
        <f t="shared" si="6"/>
        <v>1</v>
      </c>
      <c r="BA88" t="b">
        <f t="shared" si="7"/>
        <v>1</v>
      </c>
      <c r="BB88" t="b">
        <f t="shared" si="8"/>
        <v>1</v>
      </c>
      <c r="BD88" t="b">
        <f t="shared" si="9"/>
        <v>1</v>
      </c>
      <c r="BG88" t="b">
        <f t="shared" si="10"/>
        <v>1</v>
      </c>
    </row>
    <row r="89" spans="1:59" x14ac:dyDescent="0.25">
      <c r="A89" s="160" t="s">
        <v>1852</v>
      </c>
      <c r="B89" s="161">
        <v>0</v>
      </c>
      <c r="C89" s="169">
        <v>0</v>
      </c>
      <c r="D89" s="167">
        <v>2355</v>
      </c>
      <c r="E89" s="169">
        <v>2355</v>
      </c>
      <c r="F89" s="171">
        <v>2355</v>
      </c>
      <c r="G89" s="177">
        <v>154</v>
      </c>
      <c r="H89" s="169">
        <v>23832</v>
      </c>
      <c r="I89" s="169">
        <v>1041</v>
      </c>
      <c r="J89" s="169">
        <v>6</v>
      </c>
      <c r="K89" s="169">
        <v>10</v>
      </c>
      <c r="L89" s="169">
        <v>1445</v>
      </c>
      <c r="M89" s="169">
        <v>103256</v>
      </c>
      <c r="N89" s="171">
        <v>0</v>
      </c>
      <c r="O89" s="169">
        <v>4871</v>
      </c>
      <c r="P89" s="171">
        <v>0</v>
      </c>
      <c r="Q89" s="177">
        <v>1041</v>
      </c>
      <c r="R89" s="169">
        <v>19</v>
      </c>
      <c r="S89" s="161">
        <v>1572</v>
      </c>
      <c r="T89" s="161">
        <v>23</v>
      </c>
      <c r="U89" s="86">
        <f t="shared" si="0"/>
        <v>-1</v>
      </c>
      <c r="V89" s="27">
        <v>2021</v>
      </c>
      <c r="W89" s="27">
        <v>0</v>
      </c>
      <c r="X89" s="27">
        <v>103</v>
      </c>
      <c r="Y89" s="53">
        <v>2355</v>
      </c>
      <c r="Z89" s="54" t="s">
        <v>1778</v>
      </c>
      <c r="AA89" s="53">
        <v>1041</v>
      </c>
      <c r="AB89" s="27">
        <v>10</v>
      </c>
      <c r="AC89" s="53">
        <v>1445</v>
      </c>
      <c r="AD89" s="27">
        <v>19</v>
      </c>
      <c r="AE89" s="53">
        <v>4871</v>
      </c>
      <c r="AF89" s="54" t="s">
        <v>1778</v>
      </c>
      <c r="AG89" s="27">
        <v>6</v>
      </c>
      <c r="AH89" s="27" t="s">
        <v>1777</v>
      </c>
      <c r="AI89" s="27" t="s">
        <v>1777</v>
      </c>
      <c r="AJ89" s="53">
        <v>1572</v>
      </c>
      <c r="AK89" s="27"/>
      <c r="AL89" s="53">
        <v>23832</v>
      </c>
      <c r="AM89" s="27" t="s">
        <v>1777</v>
      </c>
      <c r="AN89" s="27"/>
      <c r="AO89" s="27" t="s">
        <v>1777</v>
      </c>
      <c r="AP89" s="27"/>
      <c r="AQ89" s="27" t="s">
        <v>1777</v>
      </c>
      <c r="AR89" s="27" t="b">
        <f t="shared" si="1"/>
        <v>1</v>
      </c>
      <c r="AT89" t="b">
        <f t="shared" si="2"/>
        <v>1</v>
      </c>
      <c r="AW89" t="b">
        <f t="shared" si="3"/>
        <v>1</v>
      </c>
      <c r="AX89" t="b">
        <f t="shared" si="4"/>
        <v>1</v>
      </c>
      <c r="AY89" t="b">
        <f t="shared" si="5"/>
        <v>1</v>
      </c>
      <c r="AZ89" t="b">
        <f t="shared" si="6"/>
        <v>1</v>
      </c>
      <c r="BA89" t="b">
        <f t="shared" si="7"/>
        <v>1</v>
      </c>
      <c r="BB89" t="b">
        <f t="shared" si="8"/>
        <v>1</v>
      </c>
      <c r="BD89" t="b">
        <f t="shared" si="9"/>
        <v>1</v>
      </c>
      <c r="BG89" t="b">
        <f t="shared" si="10"/>
        <v>1</v>
      </c>
    </row>
    <row r="90" spans="1:59" x14ac:dyDescent="0.25">
      <c r="A90" s="160" t="s">
        <v>1853</v>
      </c>
      <c r="B90" s="161">
        <v>0</v>
      </c>
      <c r="C90" s="169">
        <v>0</v>
      </c>
      <c r="D90" s="167">
        <v>2294</v>
      </c>
      <c r="E90" s="169">
        <v>2294</v>
      </c>
      <c r="F90" s="171">
        <v>2294</v>
      </c>
      <c r="G90" s="177">
        <v>171</v>
      </c>
      <c r="H90" s="169">
        <v>24444</v>
      </c>
      <c r="I90" s="169">
        <v>995</v>
      </c>
      <c r="J90" s="169">
        <v>5</v>
      </c>
      <c r="K90" s="169">
        <v>9</v>
      </c>
      <c r="L90" s="169">
        <v>1598</v>
      </c>
      <c r="M90" s="169">
        <v>116725</v>
      </c>
      <c r="N90" s="171">
        <v>0</v>
      </c>
      <c r="O90" s="169">
        <v>4916</v>
      </c>
      <c r="P90" s="171">
        <v>0</v>
      </c>
      <c r="Q90" s="177">
        <v>995</v>
      </c>
      <c r="R90" s="169">
        <v>20</v>
      </c>
      <c r="S90" s="161">
        <v>1955</v>
      </c>
      <c r="T90" s="161">
        <v>25</v>
      </c>
      <c r="U90" s="86">
        <f t="shared" si="0"/>
        <v>0</v>
      </c>
      <c r="V90" s="27">
        <v>2022</v>
      </c>
      <c r="W90" s="27">
        <v>0</v>
      </c>
      <c r="X90" s="27">
        <v>117</v>
      </c>
      <c r="Y90" s="53">
        <v>2294</v>
      </c>
      <c r="Z90" s="27"/>
      <c r="AA90" s="27">
        <v>995</v>
      </c>
      <c r="AB90" s="27">
        <v>9</v>
      </c>
      <c r="AC90" s="53">
        <v>1598</v>
      </c>
      <c r="AD90" s="27">
        <v>20</v>
      </c>
      <c r="AE90" s="53">
        <v>4916</v>
      </c>
      <c r="AF90" s="27"/>
      <c r="AG90" s="27">
        <v>5</v>
      </c>
      <c r="AH90" s="27" t="s">
        <v>1777</v>
      </c>
      <c r="AI90" s="27" t="s">
        <v>1777</v>
      </c>
      <c r="AJ90" s="53">
        <v>1955</v>
      </c>
      <c r="AK90" s="27"/>
      <c r="AL90" s="53">
        <v>24444</v>
      </c>
      <c r="AM90" s="27" t="s">
        <v>1777</v>
      </c>
      <c r="AN90" s="27"/>
      <c r="AO90" s="27" t="s">
        <v>1777</v>
      </c>
      <c r="AP90" s="27"/>
      <c r="AQ90" s="27" t="s">
        <v>1777</v>
      </c>
      <c r="AR90" s="27" t="b">
        <f t="shared" si="1"/>
        <v>1</v>
      </c>
      <c r="AT90" t="b">
        <f t="shared" si="2"/>
        <v>1</v>
      </c>
      <c r="AW90" t="b">
        <f t="shared" si="3"/>
        <v>1</v>
      </c>
      <c r="AX90" t="b">
        <f t="shared" si="4"/>
        <v>1</v>
      </c>
      <c r="AY90" t="b">
        <f t="shared" si="5"/>
        <v>1</v>
      </c>
      <c r="AZ90" t="b">
        <f t="shared" si="6"/>
        <v>1</v>
      </c>
      <c r="BA90" t="b">
        <f t="shared" si="7"/>
        <v>1</v>
      </c>
      <c r="BB90" t="b">
        <f t="shared" si="8"/>
        <v>1</v>
      </c>
      <c r="BD90" t="b">
        <f t="shared" si="9"/>
        <v>1</v>
      </c>
      <c r="BG90" t="b">
        <f t="shared" si="10"/>
        <v>1</v>
      </c>
    </row>
    <row r="91" spans="1:59" x14ac:dyDescent="0.25">
      <c r="A91" s="160" t="s">
        <v>1854</v>
      </c>
      <c r="B91" s="161">
        <v>0</v>
      </c>
      <c r="C91" s="169">
        <v>0</v>
      </c>
      <c r="D91" s="167">
        <v>2299</v>
      </c>
      <c r="E91" s="169">
        <v>2299</v>
      </c>
      <c r="F91" s="171">
        <v>2299</v>
      </c>
      <c r="G91" s="177">
        <v>163</v>
      </c>
      <c r="H91" s="169">
        <v>24276</v>
      </c>
      <c r="I91" s="169">
        <v>879</v>
      </c>
      <c r="J91" s="169">
        <v>5</v>
      </c>
      <c r="K91" s="169">
        <v>17</v>
      </c>
      <c r="L91" s="169">
        <v>1519</v>
      </c>
      <c r="M91" s="169">
        <v>106859</v>
      </c>
      <c r="N91" s="173"/>
      <c r="O91" s="175"/>
      <c r="P91" s="173"/>
      <c r="Q91" s="177">
        <v>879</v>
      </c>
      <c r="R91" s="169">
        <v>16</v>
      </c>
      <c r="S91" s="161">
        <v>2078</v>
      </c>
      <c r="T91" s="161">
        <v>19</v>
      </c>
      <c r="U91" s="86">
        <f t="shared" si="0"/>
        <v>4730</v>
      </c>
      <c r="V91" s="253"/>
      <c r="W91" s="253"/>
      <c r="X91" s="253"/>
      <c r="Y91" s="253"/>
      <c r="Z91" s="253"/>
      <c r="AA91" s="253"/>
      <c r="AB91" s="253"/>
      <c r="AC91" s="253"/>
      <c r="AD91" s="253"/>
      <c r="AE91" s="253"/>
      <c r="AF91" s="253"/>
      <c r="AG91" s="253"/>
      <c r="AH91" s="253"/>
      <c r="AI91" s="253"/>
      <c r="AJ91" s="253"/>
      <c r="AK91" s="253"/>
      <c r="AL91" s="253"/>
      <c r="AM91" s="253"/>
      <c r="AN91" s="253"/>
      <c r="AO91" s="253"/>
      <c r="AP91" s="253"/>
      <c r="AQ91" s="253"/>
      <c r="AR91" s="253"/>
    </row>
  </sheetData>
  <mergeCells count="1">
    <mergeCell ref="V91:AR91"/>
  </mergeCells>
  <conditionalFormatting sqref="C28:C91">
    <cfRule type="cellIs" dxfId="3" priority="1" operator="equal">
      <formula>W$28</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1A81E-35D4-4F66-91D4-FC5B728E8AF4}">
  <dimension ref="A1:AJ102"/>
  <sheetViews>
    <sheetView topLeftCell="A21" workbookViewId="0">
      <selection activeCell="J5" sqref="J5"/>
    </sheetView>
    <sheetView workbookViewId="1"/>
  </sheetViews>
  <sheetFormatPr defaultRowHeight="15" x14ac:dyDescent="0.25"/>
  <cols>
    <col min="2" max="2" width="57.7109375" customWidth="1"/>
    <col min="6" max="6" width="45.85546875" bestFit="1" customWidth="1"/>
    <col min="7" max="7" width="20.28515625" bestFit="1" customWidth="1"/>
    <col min="8" max="8" width="20.85546875" customWidth="1"/>
    <col min="10" max="10" width="13" customWidth="1"/>
  </cols>
  <sheetData>
    <row r="1" spans="1:36" x14ac:dyDescent="0.25">
      <c r="B1" t="s">
        <v>2095</v>
      </c>
    </row>
    <row r="2" spans="1:36" x14ac:dyDescent="0.25">
      <c r="A2" s="201" t="s">
        <v>2051</v>
      </c>
      <c r="B2" s="201" t="s">
        <v>2097</v>
      </c>
      <c r="C2" s="201" t="s">
        <v>1784</v>
      </c>
      <c r="D2" s="201" t="s">
        <v>1785</v>
      </c>
      <c r="E2" s="201" t="s">
        <v>1690</v>
      </c>
      <c r="F2" s="201" t="s">
        <v>2088</v>
      </c>
      <c r="G2" s="201" t="s">
        <v>2089</v>
      </c>
      <c r="H2" s="201" t="s">
        <v>2090</v>
      </c>
      <c r="I2" s="201" t="s">
        <v>1749</v>
      </c>
    </row>
    <row r="3" spans="1:36" x14ac:dyDescent="0.25">
      <c r="A3" s="202" t="s">
        <v>2091</v>
      </c>
      <c r="B3" s="202" t="s">
        <v>2098</v>
      </c>
      <c r="C3" s="202" t="s">
        <v>2096</v>
      </c>
      <c r="D3" s="202" t="s">
        <v>1787</v>
      </c>
      <c r="E3" s="202" t="s">
        <v>1667</v>
      </c>
      <c r="F3" s="202" t="s">
        <v>1710</v>
      </c>
      <c r="G3" s="202" t="s">
        <v>69</v>
      </c>
      <c r="H3" s="203">
        <v>69.153333333333322</v>
      </c>
      <c r="I3" s="202" t="s">
        <v>2091</v>
      </c>
    </row>
    <row r="4" spans="1:36" x14ac:dyDescent="0.25">
      <c r="A4" s="204" t="s">
        <v>2093</v>
      </c>
      <c r="B4" s="204" t="s">
        <v>2099</v>
      </c>
      <c r="C4" s="204" t="s">
        <v>2096</v>
      </c>
      <c r="D4" s="204" t="s">
        <v>1787</v>
      </c>
      <c r="E4" s="204" t="s">
        <v>2092</v>
      </c>
      <c r="F4" s="204" t="s">
        <v>2092</v>
      </c>
      <c r="G4" s="204" t="s">
        <v>69</v>
      </c>
      <c r="H4" s="205"/>
      <c r="I4" s="204" t="s">
        <v>2092</v>
      </c>
    </row>
    <row r="5" spans="1:36" x14ac:dyDescent="0.25">
      <c r="A5" s="204" t="s">
        <v>2052</v>
      </c>
      <c r="B5" s="204" t="s">
        <v>2100</v>
      </c>
      <c r="C5" s="204" t="s">
        <v>2096</v>
      </c>
      <c r="D5" s="204" t="s">
        <v>1787</v>
      </c>
      <c r="E5" s="204" t="s">
        <v>2092</v>
      </c>
      <c r="F5" s="204" t="s">
        <v>2092</v>
      </c>
      <c r="G5" s="204" t="s">
        <v>69</v>
      </c>
      <c r="H5" s="205"/>
      <c r="I5" s="204" t="s">
        <v>2092</v>
      </c>
    </row>
    <row r="6" spans="1:36" x14ac:dyDescent="0.25">
      <c r="A6" s="206" t="s">
        <v>2094</v>
      </c>
      <c r="B6" s="206" t="s">
        <v>2101</v>
      </c>
      <c r="C6" s="206" t="s">
        <v>2096</v>
      </c>
      <c r="D6" s="206" t="s">
        <v>1787</v>
      </c>
      <c r="E6" s="206" t="s">
        <v>2092</v>
      </c>
      <c r="F6" s="206" t="s">
        <v>2092</v>
      </c>
      <c r="G6" s="206" t="s">
        <v>69</v>
      </c>
      <c r="H6" s="207"/>
      <c r="I6" s="206" t="s">
        <v>2092</v>
      </c>
    </row>
    <row r="7" spans="1:36" x14ac:dyDescent="0.25">
      <c r="A7" s="202" t="s">
        <v>1725</v>
      </c>
      <c r="B7" s="202" t="s">
        <v>2102</v>
      </c>
      <c r="C7" s="202" t="s">
        <v>2096</v>
      </c>
      <c r="D7" s="202" t="s">
        <v>1787</v>
      </c>
      <c r="E7" s="202" t="s">
        <v>1687</v>
      </c>
      <c r="F7" s="202" t="s">
        <v>1663</v>
      </c>
      <c r="G7" s="202" t="s">
        <v>256</v>
      </c>
      <c r="H7" s="203">
        <v>95.993333333333325</v>
      </c>
      <c r="I7" s="202" t="s">
        <v>1725</v>
      </c>
    </row>
    <row r="8" spans="1:36" x14ac:dyDescent="0.25">
      <c r="A8" s="204" t="s">
        <v>2053</v>
      </c>
      <c r="B8" s="204" t="s">
        <v>2103</v>
      </c>
      <c r="C8" s="204" t="s">
        <v>2096</v>
      </c>
      <c r="D8" s="204" t="s">
        <v>1787</v>
      </c>
      <c r="E8" s="204" t="s">
        <v>2092</v>
      </c>
      <c r="F8" s="204" t="s">
        <v>2092</v>
      </c>
      <c r="G8" s="204" t="s">
        <v>69</v>
      </c>
      <c r="H8" s="205"/>
      <c r="I8" s="204" t="s">
        <v>2092</v>
      </c>
    </row>
    <row r="9" spans="1:36" x14ac:dyDescent="0.25">
      <c r="A9" s="204" t="s">
        <v>1723</v>
      </c>
      <c r="B9" s="204" t="s">
        <v>2104</v>
      </c>
      <c r="C9" s="204" t="s">
        <v>2096</v>
      </c>
      <c r="D9" s="204" t="s">
        <v>1787</v>
      </c>
      <c r="E9" s="204" t="s">
        <v>1687</v>
      </c>
      <c r="F9" s="204" t="s">
        <v>1661</v>
      </c>
      <c r="G9" s="204" t="s">
        <v>69</v>
      </c>
      <c r="H9" s="208">
        <v>74.139999999999986</v>
      </c>
      <c r="I9" s="204" t="s">
        <v>1723</v>
      </c>
    </row>
    <row r="10" spans="1:36" x14ac:dyDescent="0.25">
      <c r="A10" s="202" t="s">
        <v>2054</v>
      </c>
      <c r="B10" s="202" t="s">
        <v>2105</v>
      </c>
      <c r="C10" s="202" t="s">
        <v>2096</v>
      </c>
      <c r="D10" s="202" t="s">
        <v>1787</v>
      </c>
      <c r="E10" s="202" t="s">
        <v>2092</v>
      </c>
      <c r="F10" s="202" t="s">
        <v>2092</v>
      </c>
      <c r="G10" s="202" t="s">
        <v>69</v>
      </c>
      <c r="H10" s="209"/>
      <c r="I10" s="202" t="s">
        <v>2054</v>
      </c>
      <c r="J10" t="s">
        <v>2160</v>
      </c>
    </row>
    <row r="11" spans="1:36" x14ac:dyDescent="0.25">
      <c r="A11" s="204" t="s">
        <v>2055</v>
      </c>
      <c r="B11" s="204" t="s">
        <v>2106</v>
      </c>
      <c r="C11" s="204" t="s">
        <v>2096</v>
      </c>
      <c r="D11" s="204" t="s">
        <v>1787</v>
      </c>
      <c r="E11" s="204" t="s">
        <v>2092</v>
      </c>
      <c r="F11" s="204" t="s">
        <v>2092</v>
      </c>
      <c r="G11" s="204" t="s">
        <v>69</v>
      </c>
      <c r="H11" s="205"/>
      <c r="I11" s="204" t="s">
        <v>2092</v>
      </c>
      <c r="J11" t="s">
        <v>2126</v>
      </c>
    </row>
    <row r="12" spans="1:36" x14ac:dyDescent="0.25">
      <c r="A12" s="204" t="s">
        <v>2056</v>
      </c>
      <c r="B12" s="204" t="s">
        <v>536</v>
      </c>
      <c r="C12" s="204" t="s">
        <v>2096</v>
      </c>
      <c r="D12" s="204" t="s">
        <v>1787</v>
      </c>
      <c r="E12" s="204" t="s">
        <v>2092</v>
      </c>
      <c r="F12" s="204" t="s">
        <v>2092</v>
      </c>
      <c r="G12" s="204" t="s">
        <v>241</v>
      </c>
      <c r="H12" s="205"/>
      <c r="I12" s="204" t="s">
        <v>2092</v>
      </c>
    </row>
    <row r="13" spans="1:36" x14ac:dyDescent="0.25">
      <c r="A13" s="202" t="s">
        <v>1782</v>
      </c>
      <c r="B13" s="202" t="s">
        <v>2107</v>
      </c>
      <c r="C13" s="202" t="s">
        <v>2096</v>
      </c>
      <c r="D13" s="202" t="s">
        <v>1787</v>
      </c>
      <c r="E13" s="202" t="s">
        <v>1687</v>
      </c>
      <c r="F13" s="202" t="s">
        <v>1660</v>
      </c>
      <c r="G13" s="202" t="s">
        <v>69</v>
      </c>
      <c r="H13" s="203">
        <v>62.883333333333326</v>
      </c>
      <c r="I13" s="202" t="s">
        <v>1782</v>
      </c>
    </row>
    <row r="14" spans="1:36" x14ac:dyDescent="0.25">
      <c r="A14" s="202" t="s">
        <v>1729</v>
      </c>
      <c r="B14" s="202" t="s">
        <v>2108</v>
      </c>
      <c r="C14" s="202" t="s">
        <v>2096</v>
      </c>
      <c r="D14" s="202" t="s">
        <v>1787</v>
      </c>
      <c r="E14" s="202" t="s">
        <v>1667</v>
      </c>
      <c r="F14" s="202" t="s">
        <v>1668</v>
      </c>
      <c r="G14" s="202" t="s">
        <v>69</v>
      </c>
      <c r="H14" s="203">
        <v>72.233333333333334</v>
      </c>
      <c r="I14" s="202" t="s">
        <v>1729</v>
      </c>
    </row>
    <row r="15" spans="1:36" x14ac:dyDescent="0.25">
      <c r="A15" s="202" t="s">
        <v>1740</v>
      </c>
      <c r="B15" s="202" t="s">
        <v>2109</v>
      </c>
      <c r="C15" s="202" t="s">
        <v>2096</v>
      </c>
      <c r="D15" s="202" t="s">
        <v>1787</v>
      </c>
      <c r="E15" s="202" t="s">
        <v>1671</v>
      </c>
      <c r="F15" s="202" t="s">
        <v>1673</v>
      </c>
      <c r="G15" s="202" t="s">
        <v>69</v>
      </c>
      <c r="H15" s="203">
        <v>74.066666666666663</v>
      </c>
      <c r="I15" s="202" t="s">
        <v>1740</v>
      </c>
      <c r="O15" s="253" t="s">
        <v>1751</v>
      </c>
      <c r="P15" s="253" t="s">
        <v>1886</v>
      </c>
      <c r="Q15" s="254"/>
      <c r="R15" s="254"/>
      <c r="S15" s="253" t="s">
        <v>1755</v>
      </c>
      <c r="T15" s="253"/>
      <c r="U15" s="253"/>
      <c r="V15" s="253"/>
      <c r="W15" s="253"/>
      <c r="X15" s="253"/>
      <c r="Y15" s="253"/>
      <c r="Z15" s="253"/>
      <c r="AA15" s="253"/>
      <c r="AB15" s="253"/>
      <c r="AC15" s="253"/>
      <c r="AD15" s="253" t="s">
        <v>2116</v>
      </c>
      <c r="AE15" s="254"/>
      <c r="AF15" s="254"/>
      <c r="AG15" s="254"/>
      <c r="AH15" s="254"/>
      <c r="AI15" s="253" t="s">
        <v>2118</v>
      </c>
      <c r="AJ15" s="253"/>
    </row>
    <row r="16" spans="1:36" x14ac:dyDescent="0.25">
      <c r="A16" s="202" t="s">
        <v>1728</v>
      </c>
      <c r="B16" s="202" t="s">
        <v>2110</v>
      </c>
      <c r="C16" s="202" t="s">
        <v>2096</v>
      </c>
      <c r="D16" s="202" t="s">
        <v>1787</v>
      </c>
      <c r="E16" s="202" t="s">
        <v>1687</v>
      </c>
      <c r="F16" s="202" t="s">
        <v>1665</v>
      </c>
      <c r="G16" s="202" t="s">
        <v>69</v>
      </c>
      <c r="H16" s="203">
        <v>70.656666666666666</v>
      </c>
      <c r="I16" s="202" t="s">
        <v>1728</v>
      </c>
      <c r="O16" s="253"/>
      <c r="P16" s="253"/>
      <c r="Q16" s="254"/>
      <c r="R16" s="254"/>
      <c r="S16" s="253"/>
      <c r="T16" s="253"/>
      <c r="U16" s="253"/>
      <c r="V16" s="253"/>
      <c r="W16" s="253"/>
      <c r="X16" s="253"/>
      <c r="Y16" s="253"/>
      <c r="Z16" s="253"/>
      <c r="AA16" s="253"/>
      <c r="AB16" s="253"/>
      <c r="AC16" s="253"/>
      <c r="AD16" s="253"/>
      <c r="AE16" s="254"/>
      <c r="AF16" s="254"/>
      <c r="AG16" s="254"/>
      <c r="AH16" s="254"/>
      <c r="AI16" s="253"/>
      <c r="AJ16" s="253"/>
    </row>
    <row r="17" spans="1:36" ht="15" customHeight="1" x14ac:dyDescent="0.25">
      <c r="A17" s="202" t="s">
        <v>1726</v>
      </c>
      <c r="B17" s="202" t="s">
        <v>2111</v>
      </c>
      <c r="C17" s="202" t="s">
        <v>2096</v>
      </c>
      <c r="D17" s="202" t="s">
        <v>1787</v>
      </c>
      <c r="E17" s="202" t="s">
        <v>1687</v>
      </c>
      <c r="F17" s="202" t="s">
        <v>1664</v>
      </c>
      <c r="G17" s="202" t="s">
        <v>929</v>
      </c>
      <c r="H17" s="203">
        <v>52.91</v>
      </c>
      <c r="I17" s="202" t="s">
        <v>1726</v>
      </c>
      <c r="O17" s="253"/>
      <c r="P17" s="253"/>
      <c r="Q17" s="253" t="s">
        <v>1753</v>
      </c>
      <c r="R17" s="253"/>
      <c r="S17" s="253"/>
      <c r="T17" s="253"/>
      <c r="U17" s="253"/>
      <c r="V17" s="253"/>
      <c r="W17" s="253"/>
      <c r="X17" s="253"/>
      <c r="Y17" s="253"/>
      <c r="Z17" s="253"/>
      <c r="AA17" s="253"/>
      <c r="AB17" s="253"/>
      <c r="AC17" s="253"/>
      <c r="AD17" s="253"/>
      <c r="AE17" s="254"/>
      <c r="AF17" s="254"/>
      <c r="AG17" s="254"/>
      <c r="AH17" s="254"/>
      <c r="AI17" s="253"/>
      <c r="AJ17" s="253"/>
    </row>
    <row r="18" spans="1:36" ht="16.5" customHeight="1" x14ac:dyDescent="0.25">
      <c r="A18" s="206" t="s">
        <v>2058</v>
      </c>
      <c r="B18" s="206" t="s">
        <v>2112</v>
      </c>
      <c r="C18" s="206" t="s">
        <v>2096</v>
      </c>
      <c r="D18" s="206" t="s">
        <v>1787</v>
      </c>
      <c r="E18" s="206" t="s">
        <v>2092</v>
      </c>
      <c r="F18" s="206" t="s">
        <v>2092</v>
      </c>
      <c r="G18" s="206" t="s">
        <v>69</v>
      </c>
      <c r="H18" s="207"/>
      <c r="I18" s="206" t="s">
        <v>2092</v>
      </c>
      <c r="J18" t="s">
        <v>2127</v>
      </c>
      <c r="O18" s="253"/>
      <c r="P18" s="253"/>
      <c r="Q18" s="253" t="s">
        <v>2061</v>
      </c>
      <c r="R18" s="253"/>
      <c r="S18" s="253"/>
      <c r="T18" s="253"/>
      <c r="U18" s="253"/>
      <c r="V18" s="253"/>
      <c r="W18" s="253"/>
      <c r="X18" s="253"/>
      <c r="Y18" s="253"/>
      <c r="Z18" s="253"/>
      <c r="AA18" s="253"/>
      <c r="AB18" s="253"/>
      <c r="AC18" s="253"/>
      <c r="AD18" s="253"/>
      <c r="AE18" s="254"/>
      <c r="AF18" s="254"/>
      <c r="AG18" s="253" t="s">
        <v>1762</v>
      </c>
      <c r="AH18" s="253"/>
      <c r="AI18" s="253"/>
      <c r="AJ18" s="253"/>
    </row>
    <row r="19" spans="1:36" ht="15" customHeight="1" x14ac:dyDescent="0.25">
      <c r="A19" s="204" t="s">
        <v>1940</v>
      </c>
      <c r="B19" s="204" t="s">
        <v>2113</v>
      </c>
      <c r="C19" s="204" t="s">
        <v>2096</v>
      </c>
      <c r="D19" s="204" t="s">
        <v>1787</v>
      </c>
      <c r="E19" s="204" t="s">
        <v>2092</v>
      </c>
      <c r="F19" s="204" t="s">
        <v>2092</v>
      </c>
      <c r="G19" s="204" t="s">
        <v>69</v>
      </c>
      <c r="H19" s="205"/>
      <c r="I19" s="204" t="s">
        <v>2092</v>
      </c>
      <c r="O19" s="253"/>
      <c r="P19" s="253"/>
      <c r="Q19" s="253"/>
      <c r="R19" s="253"/>
      <c r="S19" s="253"/>
      <c r="T19" s="253"/>
      <c r="U19" s="253"/>
      <c r="V19" s="253"/>
      <c r="W19" s="253"/>
      <c r="X19" s="253"/>
      <c r="Y19" s="253"/>
      <c r="Z19" s="253"/>
      <c r="AA19" s="253"/>
      <c r="AB19" s="253"/>
      <c r="AC19" s="253"/>
      <c r="AD19" s="253"/>
      <c r="AE19" s="254"/>
      <c r="AF19" s="254"/>
      <c r="AG19" s="253" t="s">
        <v>1763</v>
      </c>
      <c r="AH19" s="253"/>
      <c r="AI19" s="253"/>
      <c r="AJ19" s="253"/>
    </row>
    <row r="20" spans="1:36" ht="15" customHeight="1" x14ac:dyDescent="0.25">
      <c r="A20" s="204" t="s">
        <v>1722</v>
      </c>
      <c r="B20" s="204" t="s">
        <v>2114</v>
      </c>
      <c r="C20" s="204" t="s">
        <v>2096</v>
      </c>
      <c r="D20" s="204" t="s">
        <v>1787</v>
      </c>
      <c r="E20" s="204" t="s">
        <v>2092</v>
      </c>
      <c r="F20" s="204" t="s">
        <v>2092</v>
      </c>
      <c r="G20" s="204" t="s">
        <v>69</v>
      </c>
      <c r="H20" s="205"/>
      <c r="I20" s="204" t="s">
        <v>2092</v>
      </c>
      <c r="J20" t="s">
        <v>2125</v>
      </c>
      <c r="O20" s="253"/>
      <c r="P20" s="253"/>
      <c r="Q20" s="253"/>
      <c r="R20" s="253"/>
      <c r="S20" s="28" t="s">
        <v>2119</v>
      </c>
      <c r="T20" s="253" t="s">
        <v>1767</v>
      </c>
      <c r="U20" s="253"/>
      <c r="V20" s="253" t="s">
        <v>1769</v>
      </c>
      <c r="W20" s="28" t="s">
        <v>2122</v>
      </c>
      <c r="X20" s="253" t="s">
        <v>1673</v>
      </c>
      <c r="Y20" s="253"/>
      <c r="Z20" s="28" t="s">
        <v>2072</v>
      </c>
      <c r="AA20" s="28" t="s">
        <v>1982</v>
      </c>
      <c r="AB20" s="253" t="s">
        <v>1770</v>
      </c>
      <c r="AC20" s="253"/>
      <c r="AD20" s="253"/>
      <c r="AE20" s="253" t="s">
        <v>1760</v>
      </c>
      <c r="AF20" s="253"/>
      <c r="AG20" s="253" t="s">
        <v>1764</v>
      </c>
      <c r="AH20" s="253"/>
      <c r="AI20" s="253"/>
      <c r="AJ20" s="253"/>
    </row>
    <row r="21" spans="1:36" ht="31.5" x14ac:dyDescent="0.25">
      <c r="A21" s="202" t="s">
        <v>1736</v>
      </c>
      <c r="B21" s="202" t="s">
        <v>2115</v>
      </c>
      <c r="C21" s="202" t="s">
        <v>2096</v>
      </c>
      <c r="D21" s="202" t="s">
        <v>1787</v>
      </c>
      <c r="E21" s="202" t="s">
        <v>1687</v>
      </c>
      <c r="F21" s="202" t="s">
        <v>1666</v>
      </c>
      <c r="G21" s="202" t="s">
        <v>69</v>
      </c>
      <c r="H21" s="203">
        <v>75.093333333333334</v>
      </c>
      <c r="I21" s="202" t="s">
        <v>1736</v>
      </c>
      <c r="O21" s="253"/>
      <c r="P21" s="253"/>
      <c r="Q21" s="253"/>
      <c r="R21" s="253"/>
      <c r="S21" s="28" t="s">
        <v>2120</v>
      </c>
      <c r="T21" s="253" t="s">
        <v>2121</v>
      </c>
      <c r="U21" s="253"/>
      <c r="V21" s="253"/>
      <c r="W21" s="28" t="s">
        <v>2123</v>
      </c>
      <c r="X21" s="253"/>
      <c r="Y21" s="253"/>
      <c r="Z21" s="28" t="s">
        <v>2124</v>
      </c>
      <c r="AA21" s="28" t="s">
        <v>1768</v>
      </c>
      <c r="AB21" s="253"/>
      <c r="AC21" s="253"/>
      <c r="AD21" s="253"/>
      <c r="AE21" s="253" t="s">
        <v>2117</v>
      </c>
      <c r="AF21" s="253"/>
      <c r="AG21" s="253" t="s">
        <v>1765</v>
      </c>
      <c r="AH21" s="253"/>
      <c r="AI21" s="253"/>
      <c r="AJ21" s="253"/>
    </row>
    <row r="22" spans="1:36" ht="30" x14ac:dyDescent="0.25">
      <c r="O22" s="253"/>
      <c r="P22" s="28" t="s">
        <v>1525</v>
      </c>
      <c r="Q22" s="253" t="s">
        <v>1773</v>
      </c>
      <c r="R22" s="253"/>
      <c r="S22" s="253" t="s">
        <v>69</v>
      </c>
      <c r="T22" s="253"/>
      <c r="U22" s="253"/>
      <c r="V22" s="253"/>
      <c r="W22" s="253"/>
      <c r="X22" s="253"/>
      <c r="Y22" s="253"/>
      <c r="Z22" s="253"/>
      <c r="AA22" s="253"/>
      <c r="AB22" s="253"/>
      <c r="AC22" s="253"/>
      <c r="AD22" s="28" t="s">
        <v>1775</v>
      </c>
      <c r="AE22" s="253"/>
      <c r="AF22" s="253"/>
      <c r="AG22" s="253"/>
      <c r="AH22" s="253"/>
      <c r="AI22" s="253"/>
      <c r="AJ22" s="253"/>
    </row>
    <row r="23" spans="1:36" ht="30" x14ac:dyDescent="0.25">
      <c r="A23" s="194" t="s">
        <v>1751</v>
      </c>
      <c r="B23" s="200" t="s">
        <v>97</v>
      </c>
      <c r="C23" s="194" t="s">
        <v>137</v>
      </c>
      <c r="D23" s="200" t="s">
        <v>278</v>
      </c>
      <c r="E23" s="200" t="s">
        <v>454</v>
      </c>
      <c r="F23" s="194" t="s">
        <v>517</v>
      </c>
      <c r="G23" s="200" t="s">
        <v>678</v>
      </c>
      <c r="H23" s="200" t="s">
        <v>768</v>
      </c>
      <c r="I23" s="200" t="s">
        <v>834</v>
      </c>
      <c r="J23" s="200" t="s">
        <v>867</v>
      </c>
      <c r="K23" s="200" t="s">
        <v>927</v>
      </c>
      <c r="L23" s="194" t="s">
        <v>1044</v>
      </c>
      <c r="M23" s="200" t="s">
        <v>1358</v>
      </c>
      <c r="N23" s="198" t="s">
        <v>1723</v>
      </c>
      <c r="O23" s="253"/>
      <c r="P23" s="28" t="s">
        <v>1772</v>
      </c>
      <c r="Q23" s="253" t="s">
        <v>1774</v>
      </c>
      <c r="R23" s="253"/>
      <c r="S23" s="253"/>
      <c r="T23" s="253"/>
      <c r="U23" s="253"/>
      <c r="V23" s="253"/>
      <c r="W23" s="253"/>
      <c r="X23" s="253"/>
      <c r="Y23" s="253"/>
      <c r="Z23" s="253"/>
      <c r="AA23" s="253"/>
      <c r="AB23" s="253"/>
      <c r="AC23" s="253"/>
      <c r="AD23" s="28" t="s">
        <v>1776</v>
      </c>
      <c r="AE23" s="253"/>
      <c r="AF23" s="253"/>
      <c r="AG23" s="253"/>
      <c r="AH23" s="253"/>
      <c r="AI23" s="253"/>
      <c r="AJ23" s="253"/>
    </row>
    <row r="24" spans="1:36" x14ac:dyDescent="0.25">
      <c r="A24" s="195" t="s">
        <v>1791</v>
      </c>
      <c r="B24" s="196">
        <v>968</v>
      </c>
      <c r="C24" s="196">
        <v>0</v>
      </c>
      <c r="D24" s="196">
        <v>22</v>
      </c>
      <c r="E24" s="196">
        <v>2371</v>
      </c>
      <c r="F24" s="196">
        <v>0</v>
      </c>
      <c r="G24" s="196">
        <v>4</v>
      </c>
      <c r="H24" s="196">
        <v>1209</v>
      </c>
      <c r="I24" s="196">
        <v>443</v>
      </c>
      <c r="J24" s="196">
        <v>34725</v>
      </c>
      <c r="K24" s="196">
        <v>274</v>
      </c>
      <c r="L24" s="197"/>
      <c r="M24" s="196">
        <v>1207</v>
      </c>
      <c r="N24" s="144">
        <f>E24-T24</f>
        <v>0</v>
      </c>
      <c r="O24" s="27">
        <v>1960</v>
      </c>
      <c r="P24" s="27">
        <v>22</v>
      </c>
      <c r="Q24" s="27" t="s">
        <v>1780</v>
      </c>
      <c r="R24" s="27"/>
      <c r="S24" s="27">
        <v>968</v>
      </c>
      <c r="T24" s="53">
        <v>2371</v>
      </c>
      <c r="U24" s="27"/>
      <c r="V24" s="27">
        <v>4</v>
      </c>
      <c r="W24" s="53">
        <v>1209</v>
      </c>
      <c r="X24" s="27">
        <v>443</v>
      </c>
      <c r="Y24" s="27"/>
      <c r="Z24" s="53">
        <v>34725</v>
      </c>
      <c r="AA24" s="53">
        <v>1207</v>
      </c>
      <c r="AB24" s="53">
        <v>40927</v>
      </c>
      <c r="AC24" s="27"/>
      <c r="AD24" s="27">
        <v>105</v>
      </c>
      <c r="AE24" s="27" t="s">
        <v>1777</v>
      </c>
      <c r="AF24" s="27"/>
      <c r="AG24" s="27" t="s">
        <v>1777</v>
      </c>
      <c r="AH24" s="27"/>
      <c r="AI24" s="27" t="s">
        <v>1777</v>
      </c>
      <c r="AJ24" s="27"/>
    </row>
    <row r="25" spans="1:36" x14ac:dyDescent="0.25">
      <c r="A25" s="195" t="s">
        <v>1792</v>
      </c>
      <c r="B25" s="196">
        <v>843</v>
      </c>
      <c r="C25" s="196">
        <v>0</v>
      </c>
      <c r="D25" s="196">
        <v>5</v>
      </c>
      <c r="E25" s="196">
        <v>2311</v>
      </c>
      <c r="F25" s="196">
        <v>0</v>
      </c>
      <c r="G25" s="196">
        <v>4</v>
      </c>
      <c r="H25" s="196">
        <v>1552</v>
      </c>
      <c r="I25" s="196">
        <v>431</v>
      </c>
      <c r="J25" s="196">
        <v>35891</v>
      </c>
      <c r="K25" s="196">
        <v>335</v>
      </c>
      <c r="L25" s="197"/>
      <c r="M25" s="196">
        <v>2126</v>
      </c>
      <c r="N25" s="144">
        <f t="shared" ref="N25:N86" si="0">E25-T25</f>
        <v>0</v>
      </c>
      <c r="O25" s="27">
        <v>1961</v>
      </c>
      <c r="P25" s="27">
        <v>5</v>
      </c>
      <c r="Q25" s="27" t="s">
        <v>1780</v>
      </c>
      <c r="R25" s="27"/>
      <c r="S25" s="27">
        <v>843</v>
      </c>
      <c r="T25" s="53">
        <v>2311</v>
      </c>
      <c r="U25" s="27"/>
      <c r="V25" s="27">
        <v>4</v>
      </c>
      <c r="W25" s="53">
        <v>1552</v>
      </c>
      <c r="X25" s="27">
        <v>431</v>
      </c>
      <c r="Y25" s="27"/>
      <c r="Z25" s="53">
        <v>35891</v>
      </c>
      <c r="AA25" s="53">
        <v>2126</v>
      </c>
      <c r="AB25" s="53">
        <v>43159</v>
      </c>
      <c r="AC25" s="27"/>
      <c r="AD25" s="27">
        <v>105</v>
      </c>
      <c r="AE25" s="27" t="s">
        <v>1777</v>
      </c>
      <c r="AF25" s="27"/>
      <c r="AG25" s="27" t="s">
        <v>1777</v>
      </c>
      <c r="AH25" s="27"/>
      <c r="AI25" s="27" t="s">
        <v>1777</v>
      </c>
      <c r="AJ25" s="27"/>
    </row>
    <row r="26" spans="1:36" x14ac:dyDescent="0.25">
      <c r="A26" s="195" t="s">
        <v>1793</v>
      </c>
      <c r="B26" s="196">
        <v>1489</v>
      </c>
      <c r="C26" s="196">
        <v>0</v>
      </c>
      <c r="D26" s="196">
        <v>4</v>
      </c>
      <c r="E26" s="196">
        <v>2150</v>
      </c>
      <c r="F26" s="196">
        <v>0</v>
      </c>
      <c r="G26" s="196">
        <v>5</v>
      </c>
      <c r="H26" s="196">
        <v>2066</v>
      </c>
      <c r="I26" s="196">
        <v>423</v>
      </c>
      <c r="J26" s="196">
        <v>36865</v>
      </c>
      <c r="K26" s="196">
        <v>184</v>
      </c>
      <c r="L26" s="197"/>
      <c r="M26" s="196">
        <v>2043</v>
      </c>
      <c r="N26" s="144">
        <f t="shared" si="0"/>
        <v>0</v>
      </c>
      <c r="O26" s="27">
        <v>1962</v>
      </c>
      <c r="P26" s="27">
        <v>4</v>
      </c>
      <c r="Q26" s="27" t="s">
        <v>1780</v>
      </c>
      <c r="R26" s="27"/>
      <c r="S26" s="53">
        <v>1489</v>
      </c>
      <c r="T26" s="53">
        <v>2150</v>
      </c>
      <c r="U26" s="27"/>
      <c r="V26" s="27">
        <v>5</v>
      </c>
      <c r="W26" s="53">
        <v>2066</v>
      </c>
      <c r="X26" s="27">
        <v>423</v>
      </c>
      <c r="Y26" s="27"/>
      <c r="Z26" s="53">
        <v>36865</v>
      </c>
      <c r="AA26" s="53">
        <v>2043</v>
      </c>
      <c r="AB26" s="53">
        <v>45042</v>
      </c>
      <c r="AC26" s="27"/>
      <c r="AD26" s="27">
        <v>105</v>
      </c>
      <c r="AE26" s="27" t="s">
        <v>1777</v>
      </c>
      <c r="AF26" s="27"/>
      <c r="AG26" s="27" t="s">
        <v>1777</v>
      </c>
      <c r="AH26" s="27"/>
      <c r="AI26" s="27" t="s">
        <v>1777</v>
      </c>
      <c r="AJ26" s="27"/>
    </row>
    <row r="27" spans="1:36" x14ac:dyDescent="0.25">
      <c r="A27" s="195" t="s">
        <v>1794</v>
      </c>
      <c r="B27" s="196">
        <v>1670</v>
      </c>
      <c r="C27" s="196">
        <v>0</v>
      </c>
      <c r="D27" s="196">
        <v>3</v>
      </c>
      <c r="E27" s="196">
        <v>2706</v>
      </c>
      <c r="F27" s="196">
        <v>0</v>
      </c>
      <c r="G27" s="196">
        <v>8</v>
      </c>
      <c r="H27" s="196">
        <v>2407</v>
      </c>
      <c r="I27" s="196">
        <v>423</v>
      </c>
      <c r="J27" s="196">
        <v>37769</v>
      </c>
      <c r="K27" s="196">
        <v>242</v>
      </c>
      <c r="L27" s="197"/>
      <c r="M27" s="196">
        <v>1878</v>
      </c>
      <c r="N27" s="144">
        <f t="shared" si="0"/>
        <v>0</v>
      </c>
      <c r="O27" s="27">
        <v>1963</v>
      </c>
      <c r="P27" s="27">
        <v>3</v>
      </c>
      <c r="Q27" s="27" t="s">
        <v>1780</v>
      </c>
      <c r="R27" s="27"/>
      <c r="S27" s="53">
        <v>1670</v>
      </c>
      <c r="T27" s="53">
        <v>2706</v>
      </c>
      <c r="U27" s="27"/>
      <c r="V27" s="27">
        <v>8</v>
      </c>
      <c r="W27" s="53">
        <v>2407</v>
      </c>
      <c r="X27" s="27">
        <v>423</v>
      </c>
      <c r="Y27" s="27"/>
      <c r="Z27" s="53">
        <v>37769</v>
      </c>
      <c r="AA27" s="53">
        <v>1878</v>
      </c>
      <c r="AB27" s="53">
        <v>46860</v>
      </c>
      <c r="AC27" s="27"/>
      <c r="AD27" s="27">
        <v>105</v>
      </c>
      <c r="AE27" s="27" t="s">
        <v>1777</v>
      </c>
      <c r="AF27" s="27"/>
      <c r="AG27" s="27" t="s">
        <v>1777</v>
      </c>
      <c r="AH27" s="27"/>
      <c r="AI27" s="27" t="s">
        <v>1777</v>
      </c>
      <c r="AJ27" s="27"/>
    </row>
    <row r="28" spans="1:36" x14ac:dyDescent="0.25">
      <c r="A28" s="195" t="s">
        <v>1795</v>
      </c>
      <c r="B28" s="196">
        <v>1860</v>
      </c>
      <c r="C28" s="196">
        <v>0</v>
      </c>
      <c r="D28" s="196">
        <v>2</v>
      </c>
      <c r="E28" s="196">
        <v>2730</v>
      </c>
      <c r="F28" s="196">
        <v>0</v>
      </c>
      <c r="G28" s="196">
        <v>9</v>
      </c>
      <c r="H28" s="196">
        <v>2415</v>
      </c>
      <c r="I28" s="196">
        <v>444</v>
      </c>
      <c r="J28" s="196">
        <v>38163</v>
      </c>
      <c r="K28" s="196">
        <v>194</v>
      </c>
      <c r="L28" s="197"/>
      <c r="M28" s="196">
        <v>1818</v>
      </c>
      <c r="N28" s="144">
        <f t="shared" si="0"/>
        <v>0</v>
      </c>
      <c r="O28" s="27">
        <v>1964</v>
      </c>
      <c r="P28" s="27">
        <v>2</v>
      </c>
      <c r="Q28" s="27" t="s">
        <v>1780</v>
      </c>
      <c r="R28" s="27"/>
      <c r="S28" s="53">
        <v>1860</v>
      </c>
      <c r="T28" s="53">
        <v>2730</v>
      </c>
      <c r="U28" s="27"/>
      <c r="V28" s="27">
        <v>9</v>
      </c>
      <c r="W28" s="53">
        <v>2415</v>
      </c>
      <c r="X28" s="27">
        <v>444</v>
      </c>
      <c r="Y28" s="27"/>
      <c r="Z28" s="53">
        <v>38163</v>
      </c>
      <c r="AA28" s="53">
        <v>1818</v>
      </c>
      <c r="AB28" s="53">
        <v>47438</v>
      </c>
      <c r="AC28" s="27"/>
      <c r="AD28" s="27">
        <v>105</v>
      </c>
      <c r="AE28" s="27" t="s">
        <v>1777</v>
      </c>
      <c r="AF28" s="27"/>
      <c r="AG28" s="27" t="s">
        <v>1777</v>
      </c>
      <c r="AH28" s="27"/>
      <c r="AI28" s="27" t="s">
        <v>1777</v>
      </c>
      <c r="AJ28" s="27"/>
    </row>
    <row r="29" spans="1:36" x14ac:dyDescent="0.25">
      <c r="A29" s="195" t="s">
        <v>1796</v>
      </c>
      <c r="B29" s="196">
        <v>1702</v>
      </c>
      <c r="C29" s="196">
        <v>0</v>
      </c>
      <c r="D29" s="196">
        <v>2</v>
      </c>
      <c r="E29" s="196">
        <v>2632</v>
      </c>
      <c r="F29" s="196">
        <v>0</v>
      </c>
      <c r="G29" s="196">
        <v>22</v>
      </c>
      <c r="H29" s="196">
        <v>3166</v>
      </c>
      <c r="I29" s="196">
        <v>408</v>
      </c>
      <c r="J29" s="196">
        <v>39454</v>
      </c>
      <c r="K29" s="196">
        <v>233</v>
      </c>
      <c r="L29" s="197"/>
      <c r="M29" s="196">
        <v>2472</v>
      </c>
      <c r="N29" s="144">
        <f t="shared" si="0"/>
        <v>0</v>
      </c>
      <c r="O29" s="27">
        <v>1965</v>
      </c>
      <c r="P29" s="27">
        <v>2</v>
      </c>
      <c r="Q29" s="27" t="s">
        <v>1780</v>
      </c>
      <c r="R29" s="27"/>
      <c r="S29" s="53">
        <v>1702</v>
      </c>
      <c r="T29" s="53">
        <v>2632</v>
      </c>
      <c r="U29" s="27"/>
      <c r="V29" s="27">
        <v>22</v>
      </c>
      <c r="W29" s="53">
        <v>3166</v>
      </c>
      <c r="X29" s="27">
        <v>408</v>
      </c>
      <c r="Y29" s="27"/>
      <c r="Z29" s="53">
        <v>39454</v>
      </c>
      <c r="AA29" s="53">
        <v>2472</v>
      </c>
      <c r="AB29" s="53">
        <v>49856</v>
      </c>
      <c r="AC29" s="27"/>
      <c r="AD29" s="27">
        <v>105</v>
      </c>
      <c r="AE29" s="27" t="s">
        <v>1777</v>
      </c>
      <c r="AF29" s="27"/>
      <c r="AG29" s="27" t="s">
        <v>1777</v>
      </c>
      <c r="AH29" s="27"/>
      <c r="AI29" s="27" t="s">
        <v>1777</v>
      </c>
      <c r="AJ29" s="27"/>
    </row>
    <row r="30" spans="1:36" x14ac:dyDescent="0.25">
      <c r="A30" s="195" t="s">
        <v>1797</v>
      </c>
      <c r="B30" s="196">
        <v>1239</v>
      </c>
      <c r="C30" s="196">
        <v>0</v>
      </c>
      <c r="D30" s="196">
        <v>1</v>
      </c>
      <c r="E30" s="196">
        <v>2652</v>
      </c>
      <c r="F30" s="196">
        <v>0</v>
      </c>
      <c r="G30" s="196">
        <v>13</v>
      </c>
      <c r="H30" s="196">
        <v>3730</v>
      </c>
      <c r="I30" s="196">
        <v>424</v>
      </c>
      <c r="J30" s="196">
        <v>40978</v>
      </c>
      <c r="K30" s="196">
        <v>345</v>
      </c>
      <c r="L30" s="197"/>
      <c r="M30" s="196">
        <v>1421</v>
      </c>
      <c r="N30" s="144">
        <f t="shared" si="0"/>
        <v>0</v>
      </c>
      <c r="O30" s="27">
        <v>1966</v>
      </c>
      <c r="P30" s="27">
        <v>1</v>
      </c>
      <c r="Q30" s="27" t="s">
        <v>1780</v>
      </c>
      <c r="R30" s="27"/>
      <c r="S30" s="53">
        <v>1239</v>
      </c>
      <c r="T30" s="53">
        <v>2652</v>
      </c>
      <c r="U30" s="27"/>
      <c r="V30" s="27">
        <v>13</v>
      </c>
      <c r="W30" s="53">
        <v>3730</v>
      </c>
      <c r="X30" s="27">
        <v>424</v>
      </c>
      <c r="Y30" s="27"/>
      <c r="Z30" s="53">
        <v>40978</v>
      </c>
      <c r="AA30" s="53">
        <v>1421</v>
      </c>
      <c r="AB30" s="53">
        <v>50457</v>
      </c>
      <c r="AC30" s="27"/>
      <c r="AD30" s="27">
        <v>105</v>
      </c>
      <c r="AE30" s="27" t="s">
        <v>1777</v>
      </c>
      <c r="AF30" s="27"/>
      <c r="AG30" s="27" t="s">
        <v>1777</v>
      </c>
      <c r="AH30" s="27"/>
      <c r="AI30" s="27" t="s">
        <v>1777</v>
      </c>
      <c r="AJ30" s="27"/>
    </row>
    <row r="31" spans="1:36" x14ac:dyDescent="0.25">
      <c r="A31" s="195" t="s">
        <v>1798</v>
      </c>
      <c r="B31" s="196">
        <v>625</v>
      </c>
      <c r="C31" s="196">
        <v>0</v>
      </c>
      <c r="D31" s="196">
        <v>1</v>
      </c>
      <c r="E31" s="196">
        <v>2606</v>
      </c>
      <c r="F31" s="196">
        <v>0</v>
      </c>
      <c r="G31" s="196">
        <v>15</v>
      </c>
      <c r="H31" s="196">
        <v>5421</v>
      </c>
      <c r="I31" s="196">
        <v>392</v>
      </c>
      <c r="J31" s="196">
        <v>42084</v>
      </c>
      <c r="K31" s="196">
        <v>1981</v>
      </c>
      <c r="L31" s="197"/>
      <c r="M31" s="196">
        <v>2384</v>
      </c>
      <c r="N31" s="144">
        <f t="shared" si="0"/>
        <v>0</v>
      </c>
      <c r="O31" s="27">
        <v>1967</v>
      </c>
      <c r="P31" s="27">
        <v>1</v>
      </c>
      <c r="Q31" s="27">
        <v>2</v>
      </c>
      <c r="R31" s="27"/>
      <c r="S31" s="27">
        <v>625</v>
      </c>
      <c r="T31" s="53">
        <v>2606</v>
      </c>
      <c r="U31" s="27"/>
      <c r="V31" s="27">
        <v>15</v>
      </c>
      <c r="W31" s="53">
        <v>5421</v>
      </c>
      <c r="X31" s="27">
        <v>392</v>
      </c>
      <c r="Y31" s="27"/>
      <c r="Z31" s="53">
        <v>42084</v>
      </c>
      <c r="AA31" s="53">
        <v>2384</v>
      </c>
      <c r="AB31" s="53">
        <v>53527</v>
      </c>
      <c r="AC31" s="27"/>
      <c r="AD31" s="27">
        <v>105</v>
      </c>
      <c r="AE31" s="27" t="s">
        <v>1777</v>
      </c>
      <c r="AF31" s="27"/>
      <c r="AG31" s="27" t="s">
        <v>1777</v>
      </c>
      <c r="AH31" s="27"/>
      <c r="AI31" s="27" t="s">
        <v>1777</v>
      </c>
      <c r="AJ31" s="27"/>
    </row>
    <row r="32" spans="1:36" x14ac:dyDescent="0.25">
      <c r="A32" s="195" t="s">
        <v>1799</v>
      </c>
      <c r="B32" s="196">
        <v>313</v>
      </c>
      <c r="C32" s="196">
        <v>0</v>
      </c>
      <c r="D32" s="196">
        <v>1</v>
      </c>
      <c r="E32" s="196">
        <v>3451</v>
      </c>
      <c r="F32" s="196">
        <v>0</v>
      </c>
      <c r="G32" s="196">
        <v>20</v>
      </c>
      <c r="H32" s="196">
        <v>6565</v>
      </c>
      <c r="I32" s="196">
        <v>431</v>
      </c>
      <c r="J32" s="196">
        <v>44812</v>
      </c>
      <c r="K32" s="196">
        <v>1649</v>
      </c>
      <c r="L32" s="197"/>
      <c r="M32" s="196">
        <v>2226</v>
      </c>
      <c r="N32" s="144">
        <f t="shared" si="0"/>
        <v>0</v>
      </c>
      <c r="O32" s="27">
        <v>1968</v>
      </c>
      <c r="P32" s="27">
        <v>1</v>
      </c>
      <c r="Q32" s="27">
        <v>2</v>
      </c>
      <c r="R32" s="27"/>
      <c r="S32" s="27">
        <v>313</v>
      </c>
      <c r="T32" s="53">
        <v>3451</v>
      </c>
      <c r="U32" s="27"/>
      <c r="V32" s="27">
        <v>20</v>
      </c>
      <c r="W32" s="53">
        <v>6565</v>
      </c>
      <c r="X32" s="27">
        <v>431</v>
      </c>
      <c r="Y32" s="27"/>
      <c r="Z32" s="53">
        <v>44812</v>
      </c>
      <c r="AA32" s="53">
        <v>2226</v>
      </c>
      <c r="AB32" s="53">
        <v>57818</v>
      </c>
      <c r="AC32" s="27"/>
      <c r="AD32" s="27">
        <v>105</v>
      </c>
      <c r="AE32" s="27" t="s">
        <v>1777</v>
      </c>
      <c r="AF32" s="27"/>
      <c r="AG32" s="27" t="s">
        <v>1777</v>
      </c>
      <c r="AH32" s="27"/>
      <c r="AI32" s="27" t="s">
        <v>1777</v>
      </c>
      <c r="AJ32" s="27"/>
    </row>
    <row r="33" spans="1:36" x14ac:dyDescent="0.25">
      <c r="A33" s="195" t="s">
        <v>1800</v>
      </c>
      <c r="B33" s="196">
        <v>283</v>
      </c>
      <c r="C33" s="196">
        <v>0</v>
      </c>
      <c r="D33" s="196">
        <v>1</v>
      </c>
      <c r="E33" s="196">
        <v>3472</v>
      </c>
      <c r="F33" s="196">
        <v>0</v>
      </c>
      <c r="G33" s="196">
        <v>17</v>
      </c>
      <c r="H33" s="196">
        <v>7479</v>
      </c>
      <c r="I33" s="196">
        <v>433</v>
      </c>
      <c r="J33" s="196">
        <v>46271</v>
      </c>
      <c r="K33" s="196">
        <v>965</v>
      </c>
      <c r="L33" s="197"/>
      <c r="M33" s="196">
        <v>1968</v>
      </c>
      <c r="N33" s="144">
        <f t="shared" si="0"/>
        <v>0</v>
      </c>
      <c r="O33" s="27">
        <v>1969</v>
      </c>
      <c r="P33" s="27">
        <v>1</v>
      </c>
      <c r="Q33" s="27">
        <v>1</v>
      </c>
      <c r="R33" s="27"/>
      <c r="S33" s="27">
        <v>283</v>
      </c>
      <c r="T33" s="53">
        <v>3472</v>
      </c>
      <c r="U33" s="27"/>
      <c r="V33" s="27">
        <v>17</v>
      </c>
      <c r="W33" s="53">
        <v>7479</v>
      </c>
      <c r="X33" s="27">
        <v>433</v>
      </c>
      <c r="Y33" s="27"/>
      <c r="Z33" s="53">
        <v>46271</v>
      </c>
      <c r="AA33" s="53">
        <v>1968</v>
      </c>
      <c r="AB33" s="53">
        <v>59924</v>
      </c>
      <c r="AC33" s="27"/>
      <c r="AD33" s="27">
        <v>105</v>
      </c>
      <c r="AE33" s="27" t="s">
        <v>1777</v>
      </c>
      <c r="AF33" s="27"/>
      <c r="AG33" s="27" t="s">
        <v>1777</v>
      </c>
      <c r="AH33" s="27"/>
      <c r="AI33" s="27" t="s">
        <v>1777</v>
      </c>
      <c r="AJ33" s="27"/>
    </row>
    <row r="34" spans="1:36" x14ac:dyDescent="0.25">
      <c r="A34" s="195" t="s">
        <v>1801</v>
      </c>
      <c r="B34" s="196">
        <v>276</v>
      </c>
      <c r="C34" s="196">
        <v>0</v>
      </c>
      <c r="D34" s="196">
        <v>0</v>
      </c>
      <c r="E34" s="196">
        <v>3198</v>
      </c>
      <c r="F34" s="196">
        <v>0</v>
      </c>
      <c r="G34" s="196">
        <v>29</v>
      </c>
      <c r="H34" s="196">
        <v>7864</v>
      </c>
      <c r="I34" s="196">
        <v>441</v>
      </c>
      <c r="J34" s="196">
        <v>49314</v>
      </c>
      <c r="K34" s="196">
        <v>1081</v>
      </c>
      <c r="L34" s="197"/>
      <c r="M34" s="196">
        <v>3215</v>
      </c>
      <c r="N34" s="144">
        <f t="shared" si="0"/>
        <v>0</v>
      </c>
      <c r="O34" s="27">
        <v>1970</v>
      </c>
      <c r="P34" s="27" t="s">
        <v>1780</v>
      </c>
      <c r="Q34" s="27">
        <v>1</v>
      </c>
      <c r="R34" s="27"/>
      <c r="S34" s="27">
        <v>276</v>
      </c>
      <c r="T34" s="53">
        <v>3198</v>
      </c>
      <c r="U34" s="27"/>
      <c r="V34" s="27">
        <v>29</v>
      </c>
      <c r="W34" s="53">
        <v>7864</v>
      </c>
      <c r="X34" s="27">
        <v>441</v>
      </c>
      <c r="Y34" s="27"/>
      <c r="Z34" s="53">
        <v>49314</v>
      </c>
      <c r="AA34" s="53">
        <v>3215</v>
      </c>
      <c r="AB34" s="53">
        <v>64336</v>
      </c>
      <c r="AC34" s="27"/>
      <c r="AD34" s="27">
        <v>105</v>
      </c>
      <c r="AE34" s="27" t="s">
        <v>1777</v>
      </c>
      <c r="AF34" s="27"/>
      <c r="AG34" s="27" t="s">
        <v>1777</v>
      </c>
      <c r="AH34" s="27"/>
      <c r="AI34" s="27" t="s">
        <v>1777</v>
      </c>
      <c r="AJ34" s="27"/>
    </row>
    <row r="35" spans="1:36" x14ac:dyDescent="0.25">
      <c r="A35" s="195" t="s">
        <v>1802</v>
      </c>
      <c r="B35" s="196">
        <v>264</v>
      </c>
      <c r="C35" s="196">
        <v>0</v>
      </c>
      <c r="D35" s="196">
        <v>0</v>
      </c>
      <c r="E35" s="196">
        <v>3393</v>
      </c>
      <c r="F35" s="196">
        <v>0</v>
      </c>
      <c r="G35" s="196">
        <v>35</v>
      </c>
      <c r="H35" s="196">
        <v>8642</v>
      </c>
      <c r="I35" s="196">
        <v>452</v>
      </c>
      <c r="J35" s="196">
        <v>50628</v>
      </c>
      <c r="K35" s="196">
        <v>655</v>
      </c>
      <c r="L35" s="197"/>
      <c r="M35" s="196">
        <v>3475</v>
      </c>
      <c r="N35" s="144">
        <f t="shared" si="0"/>
        <v>0</v>
      </c>
      <c r="O35" s="27">
        <v>1971</v>
      </c>
      <c r="P35" s="27" t="s">
        <v>1780</v>
      </c>
      <c r="Q35" s="27">
        <v>1</v>
      </c>
      <c r="R35" s="27"/>
      <c r="S35" s="27">
        <v>264</v>
      </c>
      <c r="T35" s="53">
        <v>3393</v>
      </c>
      <c r="U35" s="27"/>
      <c r="V35" s="27">
        <v>35</v>
      </c>
      <c r="W35" s="53">
        <v>8642</v>
      </c>
      <c r="X35" s="27">
        <v>452</v>
      </c>
      <c r="Y35" s="27"/>
      <c r="Z35" s="53">
        <v>50628</v>
      </c>
      <c r="AA35" s="53">
        <v>3475</v>
      </c>
      <c r="AB35" s="53">
        <v>66889</v>
      </c>
      <c r="AC35" s="27"/>
      <c r="AD35" s="27">
        <v>105</v>
      </c>
      <c r="AE35" s="27" t="s">
        <v>1777</v>
      </c>
      <c r="AF35" s="27"/>
      <c r="AG35" s="27" t="s">
        <v>1777</v>
      </c>
      <c r="AH35" s="27"/>
      <c r="AI35" s="27" t="s">
        <v>1777</v>
      </c>
      <c r="AJ35" s="27"/>
    </row>
    <row r="36" spans="1:36" x14ac:dyDescent="0.25">
      <c r="A36" s="195" t="s">
        <v>1803</v>
      </c>
      <c r="B36" s="196">
        <v>305</v>
      </c>
      <c r="C36" s="196">
        <v>0</v>
      </c>
      <c r="D36" s="196">
        <v>0</v>
      </c>
      <c r="E36" s="196">
        <v>4124</v>
      </c>
      <c r="F36" s="196">
        <v>0</v>
      </c>
      <c r="G36" s="196">
        <v>38</v>
      </c>
      <c r="H36" s="196">
        <v>8788</v>
      </c>
      <c r="I36" s="196">
        <v>484</v>
      </c>
      <c r="J36" s="196">
        <v>53427</v>
      </c>
      <c r="K36" s="196">
        <v>657</v>
      </c>
      <c r="L36" s="197"/>
      <c r="M36" s="196">
        <v>3024</v>
      </c>
      <c r="N36" s="144">
        <f t="shared" si="0"/>
        <v>0</v>
      </c>
      <c r="O36" s="27">
        <v>1972</v>
      </c>
      <c r="P36" s="27" t="s">
        <v>1780</v>
      </c>
      <c r="Q36" s="27">
        <v>1</v>
      </c>
      <c r="R36" s="27"/>
      <c r="S36" s="27">
        <v>305</v>
      </c>
      <c r="T36" s="53">
        <v>4124</v>
      </c>
      <c r="U36" s="27"/>
      <c r="V36" s="27">
        <v>38</v>
      </c>
      <c r="W36" s="53">
        <v>8788</v>
      </c>
      <c r="X36" s="27">
        <v>484</v>
      </c>
      <c r="Y36" s="27"/>
      <c r="Z36" s="53">
        <v>53427</v>
      </c>
      <c r="AA36" s="53">
        <v>3024</v>
      </c>
      <c r="AB36" s="53">
        <v>70190</v>
      </c>
      <c r="AC36" s="27"/>
      <c r="AD36" s="27">
        <v>105</v>
      </c>
      <c r="AE36" s="27" t="s">
        <v>1777</v>
      </c>
      <c r="AF36" s="27"/>
      <c r="AG36" s="27" t="s">
        <v>1777</v>
      </c>
      <c r="AH36" s="27"/>
      <c r="AI36" s="27" t="s">
        <v>1777</v>
      </c>
      <c r="AJ36" s="27"/>
    </row>
    <row r="37" spans="1:36" x14ac:dyDescent="0.25">
      <c r="A37" s="195" t="s">
        <v>1804</v>
      </c>
      <c r="B37" s="196">
        <v>280</v>
      </c>
      <c r="C37" s="196">
        <v>0</v>
      </c>
      <c r="D37" s="196">
        <v>0</v>
      </c>
      <c r="E37" s="196">
        <v>4529</v>
      </c>
      <c r="F37" s="196">
        <v>0</v>
      </c>
      <c r="G37" s="196">
        <v>39</v>
      </c>
      <c r="H37" s="196">
        <v>8943</v>
      </c>
      <c r="I37" s="196">
        <v>477</v>
      </c>
      <c r="J37" s="196">
        <v>55343</v>
      </c>
      <c r="K37" s="196">
        <v>580</v>
      </c>
      <c r="L37" s="197"/>
      <c r="M37" s="196">
        <v>2766</v>
      </c>
      <c r="N37" s="144">
        <f t="shared" si="0"/>
        <v>0</v>
      </c>
      <c r="O37" s="27">
        <v>1973</v>
      </c>
      <c r="P37" s="27" t="s">
        <v>1780</v>
      </c>
      <c r="Q37" s="27">
        <v>1</v>
      </c>
      <c r="R37" s="27"/>
      <c r="S37" s="27">
        <v>280</v>
      </c>
      <c r="T37" s="53">
        <v>4529</v>
      </c>
      <c r="U37" s="27"/>
      <c r="V37" s="27">
        <v>39</v>
      </c>
      <c r="W37" s="53">
        <v>8943</v>
      </c>
      <c r="X37" s="27">
        <v>477</v>
      </c>
      <c r="Y37" s="27"/>
      <c r="Z37" s="53">
        <v>55343</v>
      </c>
      <c r="AA37" s="53">
        <v>2766</v>
      </c>
      <c r="AB37" s="53">
        <v>72377</v>
      </c>
      <c r="AC37" s="27"/>
      <c r="AD37" s="27">
        <v>105</v>
      </c>
      <c r="AE37" s="27" t="s">
        <v>1777</v>
      </c>
      <c r="AF37" s="27"/>
      <c r="AG37" s="27" t="s">
        <v>1777</v>
      </c>
      <c r="AH37" s="27"/>
      <c r="AI37" s="27" t="s">
        <v>1777</v>
      </c>
      <c r="AJ37" s="27"/>
    </row>
    <row r="38" spans="1:36" x14ac:dyDescent="0.25">
      <c r="A38" s="195" t="s">
        <v>1805</v>
      </c>
      <c r="B38" s="196">
        <v>288</v>
      </c>
      <c r="C38" s="196">
        <v>0</v>
      </c>
      <c r="D38" s="196">
        <v>0</v>
      </c>
      <c r="E38" s="196">
        <v>4403</v>
      </c>
      <c r="F38" s="196">
        <v>0</v>
      </c>
      <c r="G38" s="196">
        <v>37</v>
      </c>
      <c r="H38" s="196">
        <v>8152</v>
      </c>
      <c r="I38" s="196">
        <v>456</v>
      </c>
      <c r="J38" s="196">
        <v>54058</v>
      </c>
      <c r="K38" s="196">
        <v>674</v>
      </c>
      <c r="L38" s="197"/>
      <c r="M38" s="196">
        <v>1446</v>
      </c>
      <c r="N38" s="144">
        <f t="shared" si="0"/>
        <v>0</v>
      </c>
      <c r="O38" s="27">
        <v>1974</v>
      </c>
      <c r="P38" s="27" t="s">
        <v>1780</v>
      </c>
      <c r="Q38" s="27">
        <v>1</v>
      </c>
      <c r="R38" s="27"/>
      <c r="S38" s="27">
        <v>288</v>
      </c>
      <c r="T38" s="53">
        <v>4403</v>
      </c>
      <c r="U38" s="27"/>
      <c r="V38" s="27">
        <v>37</v>
      </c>
      <c r="W38" s="53">
        <v>8152</v>
      </c>
      <c r="X38" s="27">
        <v>456</v>
      </c>
      <c r="Y38" s="27"/>
      <c r="Z38" s="53">
        <v>54058</v>
      </c>
      <c r="AA38" s="53">
        <v>1446</v>
      </c>
      <c r="AB38" s="53">
        <v>68839</v>
      </c>
      <c r="AC38" s="27"/>
      <c r="AD38" s="27">
        <v>105</v>
      </c>
      <c r="AE38" s="27" t="s">
        <v>1777</v>
      </c>
      <c r="AF38" s="27"/>
      <c r="AG38" s="27" t="s">
        <v>1777</v>
      </c>
      <c r="AH38" s="27"/>
      <c r="AI38" s="27" t="s">
        <v>1777</v>
      </c>
      <c r="AJ38" s="27"/>
    </row>
    <row r="39" spans="1:36" x14ac:dyDescent="0.25">
      <c r="A39" s="195" t="s">
        <v>1806</v>
      </c>
      <c r="B39" s="196">
        <v>228</v>
      </c>
      <c r="C39" s="196">
        <v>0</v>
      </c>
      <c r="D39" s="196">
        <v>0</v>
      </c>
      <c r="E39" s="196">
        <v>4485</v>
      </c>
      <c r="F39" s="196">
        <v>0</v>
      </c>
      <c r="G39" s="196">
        <v>33</v>
      </c>
      <c r="H39" s="196">
        <v>7967</v>
      </c>
      <c r="I39" s="196">
        <v>433</v>
      </c>
      <c r="J39" s="196">
        <v>54440</v>
      </c>
      <c r="K39" s="196">
        <v>506</v>
      </c>
      <c r="L39" s="197"/>
      <c r="M39" s="196">
        <v>1049</v>
      </c>
      <c r="N39" s="144">
        <f t="shared" si="0"/>
        <v>0</v>
      </c>
      <c r="O39" s="27">
        <v>1975</v>
      </c>
      <c r="P39" s="27" t="s">
        <v>1780</v>
      </c>
      <c r="Q39" s="27">
        <v>1</v>
      </c>
      <c r="R39" s="27"/>
      <c r="S39" s="27">
        <v>228</v>
      </c>
      <c r="T39" s="53">
        <v>4485</v>
      </c>
      <c r="U39" s="27"/>
      <c r="V39" s="27">
        <v>33</v>
      </c>
      <c r="W39" s="53">
        <v>7967</v>
      </c>
      <c r="X39" s="27">
        <v>433</v>
      </c>
      <c r="Y39" s="27"/>
      <c r="Z39" s="53">
        <v>54440</v>
      </c>
      <c r="AA39" s="53">
        <v>1049</v>
      </c>
      <c r="AB39" s="53">
        <v>68634</v>
      </c>
      <c r="AC39" s="27"/>
      <c r="AD39" s="27">
        <v>105</v>
      </c>
      <c r="AE39" s="27" t="s">
        <v>1777</v>
      </c>
      <c r="AF39" s="27"/>
      <c r="AG39" s="27" t="s">
        <v>1777</v>
      </c>
      <c r="AH39" s="27"/>
      <c r="AI39" s="27" t="s">
        <v>1777</v>
      </c>
      <c r="AJ39" s="27"/>
    </row>
    <row r="40" spans="1:36" x14ac:dyDescent="0.25">
      <c r="A40" s="195" t="s">
        <v>1807</v>
      </c>
      <c r="B40" s="196">
        <v>220</v>
      </c>
      <c r="C40" s="196">
        <v>0</v>
      </c>
      <c r="D40" s="196">
        <v>0</v>
      </c>
      <c r="E40" s="196">
        <v>4437</v>
      </c>
      <c r="F40" s="196">
        <v>0</v>
      </c>
      <c r="G40" s="196">
        <v>35</v>
      </c>
      <c r="H40" s="196">
        <v>8005</v>
      </c>
      <c r="I40" s="196">
        <v>481</v>
      </c>
      <c r="J40" s="196">
        <v>56128</v>
      </c>
      <c r="K40" s="196">
        <v>628</v>
      </c>
      <c r="L40" s="197"/>
      <c r="M40" s="196">
        <v>1389</v>
      </c>
      <c r="N40" s="144">
        <f t="shared" si="0"/>
        <v>0</v>
      </c>
      <c r="O40" s="27">
        <v>1976</v>
      </c>
      <c r="P40" s="27" t="s">
        <v>1780</v>
      </c>
      <c r="Q40" s="27">
        <v>1</v>
      </c>
      <c r="R40" s="27"/>
      <c r="S40" s="27">
        <v>220</v>
      </c>
      <c r="T40" s="53">
        <v>4437</v>
      </c>
      <c r="U40" s="27"/>
      <c r="V40" s="27">
        <v>35</v>
      </c>
      <c r="W40" s="53">
        <v>8005</v>
      </c>
      <c r="X40" s="27">
        <v>481</v>
      </c>
      <c r="Y40" s="27"/>
      <c r="Z40" s="53">
        <v>56128</v>
      </c>
      <c r="AA40" s="53">
        <v>1389</v>
      </c>
      <c r="AB40" s="53">
        <v>70694</v>
      </c>
      <c r="AC40" s="27"/>
      <c r="AD40" s="27">
        <v>105</v>
      </c>
      <c r="AE40" s="27" t="s">
        <v>1777</v>
      </c>
      <c r="AF40" s="27"/>
      <c r="AG40" s="27" t="s">
        <v>1777</v>
      </c>
      <c r="AH40" s="27"/>
      <c r="AI40" s="27" t="s">
        <v>1777</v>
      </c>
      <c r="AJ40" s="27"/>
    </row>
    <row r="41" spans="1:36" x14ac:dyDescent="0.25">
      <c r="A41" s="195" t="s">
        <v>1808</v>
      </c>
      <c r="B41" s="196">
        <v>271</v>
      </c>
      <c r="C41" s="196">
        <v>0</v>
      </c>
      <c r="D41" s="196">
        <v>0</v>
      </c>
      <c r="E41" s="196">
        <v>4057</v>
      </c>
      <c r="F41" s="196">
        <v>0</v>
      </c>
      <c r="G41" s="196">
        <v>40</v>
      </c>
      <c r="H41" s="196">
        <v>8756</v>
      </c>
      <c r="I41" s="196">
        <v>463</v>
      </c>
      <c r="J41" s="196">
        <v>56731</v>
      </c>
      <c r="K41" s="196">
        <v>487</v>
      </c>
      <c r="L41" s="197"/>
      <c r="M41" s="196">
        <v>1282</v>
      </c>
      <c r="N41" s="144">
        <f t="shared" si="0"/>
        <v>0</v>
      </c>
      <c r="O41" s="27">
        <v>1977</v>
      </c>
      <c r="P41" s="27" t="s">
        <v>1780</v>
      </c>
      <c r="Q41" s="27" t="s">
        <v>1780</v>
      </c>
      <c r="R41" s="27"/>
      <c r="S41" s="27">
        <v>271</v>
      </c>
      <c r="T41" s="53">
        <v>4057</v>
      </c>
      <c r="U41" s="27"/>
      <c r="V41" s="27">
        <v>40</v>
      </c>
      <c r="W41" s="53">
        <v>8756</v>
      </c>
      <c r="X41" s="27">
        <v>463</v>
      </c>
      <c r="Y41" s="27"/>
      <c r="Z41" s="53">
        <v>56731</v>
      </c>
      <c r="AA41" s="53">
        <v>1282</v>
      </c>
      <c r="AB41" s="53">
        <v>71600</v>
      </c>
      <c r="AC41" s="27"/>
      <c r="AD41" s="27">
        <v>105</v>
      </c>
      <c r="AE41" s="27" t="s">
        <v>1777</v>
      </c>
      <c r="AF41" s="27"/>
      <c r="AG41" s="27" t="s">
        <v>1777</v>
      </c>
      <c r="AH41" s="27"/>
      <c r="AI41" s="27" t="s">
        <v>1777</v>
      </c>
      <c r="AJ41" s="27"/>
    </row>
    <row r="42" spans="1:36" x14ac:dyDescent="0.25">
      <c r="A42" s="195" t="s">
        <v>1809</v>
      </c>
      <c r="B42" s="196">
        <v>362</v>
      </c>
      <c r="C42" s="196">
        <v>0</v>
      </c>
      <c r="D42" s="196">
        <v>0</v>
      </c>
      <c r="E42" s="196">
        <v>4474</v>
      </c>
      <c r="F42" s="196">
        <v>0</v>
      </c>
      <c r="G42" s="196">
        <v>53</v>
      </c>
      <c r="H42" s="196">
        <v>8454</v>
      </c>
      <c r="I42" s="196">
        <v>497</v>
      </c>
      <c r="J42" s="196">
        <v>57261</v>
      </c>
      <c r="K42" s="196">
        <v>503</v>
      </c>
      <c r="L42" s="197"/>
      <c r="M42" s="196">
        <v>832</v>
      </c>
      <c r="N42" s="144">
        <f t="shared" si="0"/>
        <v>0</v>
      </c>
      <c r="O42" s="27">
        <v>1978</v>
      </c>
      <c r="P42" s="27">
        <v>0</v>
      </c>
      <c r="Q42" s="27">
        <v>1</v>
      </c>
      <c r="R42" s="27"/>
      <c r="S42" s="27">
        <v>362</v>
      </c>
      <c r="T42" s="53">
        <v>4474</v>
      </c>
      <c r="U42" s="27"/>
      <c r="V42" s="27">
        <v>53</v>
      </c>
      <c r="W42" s="53">
        <v>8454</v>
      </c>
      <c r="X42" s="27">
        <v>497</v>
      </c>
      <c r="Y42" s="27"/>
      <c r="Z42" s="53">
        <v>57261</v>
      </c>
      <c r="AA42" s="27">
        <v>832</v>
      </c>
      <c r="AB42" s="53">
        <v>71932</v>
      </c>
      <c r="AC42" s="27"/>
      <c r="AD42" s="27">
        <v>113</v>
      </c>
      <c r="AE42" s="27" t="s">
        <v>1777</v>
      </c>
      <c r="AF42" s="27"/>
      <c r="AG42" s="27" t="s">
        <v>1777</v>
      </c>
      <c r="AH42" s="27"/>
      <c r="AI42" s="27" t="s">
        <v>1777</v>
      </c>
      <c r="AJ42" s="27"/>
    </row>
    <row r="43" spans="1:36" x14ac:dyDescent="0.25">
      <c r="A43" s="195" t="s">
        <v>1810</v>
      </c>
      <c r="B43" s="196">
        <v>269</v>
      </c>
      <c r="C43" s="196">
        <v>0</v>
      </c>
      <c r="D43" s="196">
        <v>0</v>
      </c>
      <c r="E43" s="196">
        <v>5142</v>
      </c>
      <c r="F43" s="196">
        <v>0</v>
      </c>
      <c r="G43" s="196">
        <v>39</v>
      </c>
      <c r="H43" s="196">
        <v>8712</v>
      </c>
      <c r="I43" s="196">
        <v>520</v>
      </c>
      <c r="J43" s="196">
        <v>55233</v>
      </c>
      <c r="K43" s="196">
        <v>651</v>
      </c>
      <c r="L43" s="197"/>
      <c r="M43" s="196">
        <v>1531</v>
      </c>
      <c r="N43" s="144">
        <f t="shared" si="0"/>
        <v>0</v>
      </c>
      <c r="O43" s="27">
        <v>1979</v>
      </c>
      <c r="P43" s="27">
        <v>0</v>
      </c>
      <c r="Q43" s="27">
        <v>1</v>
      </c>
      <c r="R43" s="27"/>
      <c r="S43" s="27">
        <v>269</v>
      </c>
      <c r="T43" s="53">
        <v>5142</v>
      </c>
      <c r="U43" s="27"/>
      <c r="V43" s="27">
        <v>39</v>
      </c>
      <c r="W43" s="53">
        <v>8712</v>
      </c>
      <c r="X43" s="27">
        <v>520</v>
      </c>
      <c r="Y43" s="27"/>
      <c r="Z43" s="53">
        <v>55233</v>
      </c>
      <c r="AA43" s="53">
        <v>1531</v>
      </c>
      <c r="AB43" s="53">
        <v>71447</v>
      </c>
      <c r="AC43" s="27"/>
      <c r="AD43" s="27">
        <v>113</v>
      </c>
      <c r="AE43" s="27" t="s">
        <v>1777</v>
      </c>
      <c r="AF43" s="27"/>
      <c r="AG43" s="27" t="s">
        <v>1777</v>
      </c>
      <c r="AH43" s="27"/>
      <c r="AI43" s="27" t="s">
        <v>1777</v>
      </c>
      <c r="AJ43" s="27"/>
    </row>
    <row r="44" spans="1:36" x14ac:dyDescent="0.25">
      <c r="A44" s="195" t="s">
        <v>1811</v>
      </c>
      <c r="B44" s="196">
        <v>274</v>
      </c>
      <c r="C44" s="196">
        <v>0</v>
      </c>
      <c r="D44" s="196">
        <v>0</v>
      </c>
      <c r="E44" s="196">
        <v>4900</v>
      </c>
      <c r="F44" s="196">
        <v>0</v>
      </c>
      <c r="G44" s="196">
        <v>26</v>
      </c>
      <c r="H44" s="196">
        <v>8563</v>
      </c>
      <c r="I44" s="196">
        <v>463</v>
      </c>
      <c r="J44" s="196">
        <v>51161</v>
      </c>
      <c r="K44" s="196">
        <v>675</v>
      </c>
      <c r="L44" s="197"/>
      <c r="M44" s="196">
        <v>900</v>
      </c>
      <c r="N44" s="144">
        <f t="shared" si="0"/>
        <v>0</v>
      </c>
      <c r="O44" s="27">
        <v>1980</v>
      </c>
      <c r="P44" s="27">
        <v>0</v>
      </c>
      <c r="Q44" s="27">
        <v>1</v>
      </c>
      <c r="R44" s="27"/>
      <c r="S44" s="27">
        <v>274</v>
      </c>
      <c r="T44" s="53">
        <v>4900</v>
      </c>
      <c r="U44" s="27"/>
      <c r="V44" s="27">
        <v>26</v>
      </c>
      <c r="W44" s="53">
        <v>8563</v>
      </c>
      <c r="X44" s="27">
        <v>463</v>
      </c>
      <c r="Y44" s="27"/>
      <c r="Z44" s="53">
        <v>51161</v>
      </c>
      <c r="AA44" s="27">
        <v>900</v>
      </c>
      <c r="AB44" s="53">
        <v>66287</v>
      </c>
      <c r="AC44" s="27"/>
      <c r="AD44" s="27">
        <v>167</v>
      </c>
      <c r="AE44" s="27" t="s">
        <v>1777</v>
      </c>
      <c r="AF44" s="27"/>
      <c r="AG44" s="27" t="s">
        <v>1777</v>
      </c>
      <c r="AH44" s="27"/>
      <c r="AI44" s="27" t="s">
        <v>1777</v>
      </c>
      <c r="AJ44" s="27"/>
    </row>
    <row r="45" spans="1:36" x14ac:dyDescent="0.25">
      <c r="A45" s="195" t="s">
        <v>1812</v>
      </c>
      <c r="B45" s="196">
        <v>209</v>
      </c>
      <c r="C45" s="196">
        <v>0</v>
      </c>
      <c r="D45" s="196">
        <v>0</v>
      </c>
      <c r="E45" s="196">
        <v>4970</v>
      </c>
      <c r="F45" s="196">
        <v>12</v>
      </c>
      <c r="G45" s="196">
        <v>58</v>
      </c>
      <c r="H45" s="196">
        <v>7982</v>
      </c>
      <c r="I45" s="196">
        <v>444</v>
      </c>
      <c r="J45" s="196">
        <v>51798</v>
      </c>
      <c r="K45" s="196">
        <v>675</v>
      </c>
      <c r="L45" s="197"/>
      <c r="M45" s="196">
        <v>1062</v>
      </c>
      <c r="N45" s="144">
        <f t="shared" si="0"/>
        <v>0</v>
      </c>
      <c r="O45" s="27">
        <v>1981</v>
      </c>
      <c r="P45" s="27">
        <v>0</v>
      </c>
      <c r="Q45" s="27">
        <v>1</v>
      </c>
      <c r="R45" s="27"/>
      <c r="S45" s="27">
        <v>209</v>
      </c>
      <c r="T45" s="53">
        <v>4970</v>
      </c>
      <c r="U45" s="27"/>
      <c r="V45" s="27">
        <v>58</v>
      </c>
      <c r="W45" s="53">
        <v>7982</v>
      </c>
      <c r="X45" s="27">
        <v>444</v>
      </c>
      <c r="Y45" s="27"/>
      <c r="Z45" s="53">
        <v>51798</v>
      </c>
      <c r="AA45" s="53">
        <v>1062</v>
      </c>
      <c r="AB45" s="53">
        <v>66523</v>
      </c>
      <c r="AC45" s="27"/>
      <c r="AD45" s="27">
        <v>135</v>
      </c>
      <c r="AE45" s="27" t="s">
        <v>1777</v>
      </c>
      <c r="AF45" s="27"/>
      <c r="AG45" s="27" t="s">
        <v>1777</v>
      </c>
      <c r="AH45" s="27"/>
      <c r="AI45" s="27" t="s">
        <v>1777</v>
      </c>
      <c r="AJ45" s="27"/>
    </row>
    <row r="46" spans="1:36" x14ac:dyDescent="0.25">
      <c r="A46" s="195" t="s">
        <v>1813</v>
      </c>
      <c r="B46" s="196">
        <v>166</v>
      </c>
      <c r="C46" s="196">
        <v>0</v>
      </c>
      <c r="D46" s="196">
        <v>0</v>
      </c>
      <c r="E46" s="196">
        <v>5803</v>
      </c>
      <c r="F46" s="196">
        <v>1</v>
      </c>
      <c r="G46" s="196">
        <v>49</v>
      </c>
      <c r="H46" s="196">
        <v>7358</v>
      </c>
      <c r="I46" s="196">
        <v>405</v>
      </c>
      <c r="J46" s="196">
        <v>51647</v>
      </c>
      <c r="K46" s="196">
        <v>1601</v>
      </c>
      <c r="L46" s="197"/>
      <c r="M46" s="196">
        <v>1459</v>
      </c>
      <c r="N46" s="144">
        <f t="shared" si="0"/>
        <v>0</v>
      </c>
      <c r="O46" s="27">
        <v>1982</v>
      </c>
      <c r="P46" s="27">
        <v>0</v>
      </c>
      <c r="Q46" s="27">
        <v>2</v>
      </c>
      <c r="R46" s="27"/>
      <c r="S46" s="27">
        <v>166</v>
      </c>
      <c r="T46" s="53">
        <v>5803</v>
      </c>
      <c r="U46" s="27"/>
      <c r="V46" s="27">
        <v>49</v>
      </c>
      <c r="W46" s="53">
        <v>7358</v>
      </c>
      <c r="X46" s="27">
        <v>405</v>
      </c>
      <c r="Y46" s="27"/>
      <c r="Z46" s="53">
        <v>51647</v>
      </c>
      <c r="AA46" s="53">
        <v>1459</v>
      </c>
      <c r="AB46" s="53">
        <v>66887</v>
      </c>
      <c r="AC46" s="27"/>
      <c r="AD46" s="27">
        <v>118</v>
      </c>
      <c r="AE46" s="27" t="s">
        <v>1777</v>
      </c>
      <c r="AF46" s="27"/>
      <c r="AG46" s="27" t="s">
        <v>1777</v>
      </c>
      <c r="AH46" s="27"/>
      <c r="AI46" s="27" t="s">
        <v>1777</v>
      </c>
      <c r="AJ46" s="27"/>
    </row>
    <row r="47" spans="1:36" x14ac:dyDescent="0.25">
      <c r="A47" s="195" t="s">
        <v>1814</v>
      </c>
      <c r="B47" s="196">
        <v>164</v>
      </c>
      <c r="C47" s="196">
        <v>0</v>
      </c>
      <c r="D47" s="196">
        <v>0</v>
      </c>
      <c r="E47" s="196">
        <v>6707</v>
      </c>
      <c r="F47" s="196">
        <v>0</v>
      </c>
      <c r="G47" s="196">
        <v>58</v>
      </c>
      <c r="H47" s="196">
        <v>7280</v>
      </c>
      <c r="I47" s="196">
        <v>424</v>
      </c>
      <c r="J47" s="196">
        <v>52325</v>
      </c>
      <c r="K47" s="196">
        <v>1033</v>
      </c>
      <c r="L47" s="197"/>
      <c r="M47" s="196">
        <v>152</v>
      </c>
      <c r="N47" s="144">
        <f t="shared" si="0"/>
        <v>0</v>
      </c>
      <c r="O47" s="27">
        <v>1983</v>
      </c>
      <c r="P47" s="27">
        <v>0</v>
      </c>
      <c r="Q47" s="27">
        <v>1</v>
      </c>
      <c r="R47" s="27"/>
      <c r="S47" s="27">
        <v>164</v>
      </c>
      <c r="T47" s="53">
        <v>6707</v>
      </c>
      <c r="U47" s="27"/>
      <c r="V47" s="27">
        <v>58</v>
      </c>
      <c r="W47" s="53">
        <v>7280</v>
      </c>
      <c r="X47" s="27">
        <v>424</v>
      </c>
      <c r="Y47" s="27"/>
      <c r="Z47" s="53">
        <v>52325</v>
      </c>
      <c r="AA47" s="27">
        <v>152</v>
      </c>
      <c r="AB47" s="53">
        <v>67110</v>
      </c>
      <c r="AC47" s="27"/>
      <c r="AD47" s="27">
        <v>151</v>
      </c>
      <c r="AE47" s="27" t="s">
        <v>1777</v>
      </c>
      <c r="AF47" s="27"/>
      <c r="AG47" s="27" t="s">
        <v>1777</v>
      </c>
      <c r="AH47" s="27"/>
      <c r="AI47" s="27" t="s">
        <v>1777</v>
      </c>
      <c r="AJ47" s="27"/>
    </row>
    <row r="48" spans="1:36" x14ac:dyDescent="0.25">
      <c r="A48" s="195" t="s">
        <v>1815</v>
      </c>
      <c r="B48" s="196">
        <v>138</v>
      </c>
      <c r="C48" s="196">
        <v>0</v>
      </c>
      <c r="D48" s="196">
        <v>0</v>
      </c>
      <c r="E48" s="196">
        <v>7136</v>
      </c>
      <c r="F48" s="196">
        <v>0</v>
      </c>
      <c r="G48" s="196">
        <v>103</v>
      </c>
      <c r="H48" s="196">
        <v>6899</v>
      </c>
      <c r="I48" s="196">
        <v>453</v>
      </c>
      <c r="J48" s="196">
        <v>53603</v>
      </c>
      <c r="K48" s="196">
        <v>1194</v>
      </c>
      <c r="L48" s="197"/>
      <c r="M48" s="196">
        <v>146</v>
      </c>
      <c r="N48" s="144">
        <f t="shared" si="0"/>
        <v>0</v>
      </c>
      <c r="O48" s="27">
        <v>1984</v>
      </c>
      <c r="P48" s="27">
        <v>0</v>
      </c>
      <c r="Q48" s="27">
        <v>1</v>
      </c>
      <c r="R48" s="27"/>
      <c r="S48" s="27">
        <v>138</v>
      </c>
      <c r="T48" s="53">
        <v>7136</v>
      </c>
      <c r="U48" s="27"/>
      <c r="V48" s="27">
        <v>103</v>
      </c>
      <c r="W48" s="53">
        <v>6899</v>
      </c>
      <c r="X48" s="27">
        <v>453</v>
      </c>
      <c r="Y48" s="27"/>
      <c r="Z48" s="53">
        <v>53603</v>
      </c>
      <c r="AA48" s="27">
        <v>146</v>
      </c>
      <c r="AB48" s="53">
        <v>68477</v>
      </c>
      <c r="AC48" s="27"/>
      <c r="AD48" s="27">
        <v>180</v>
      </c>
      <c r="AE48" s="27" t="s">
        <v>1777</v>
      </c>
      <c r="AF48" s="27"/>
      <c r="AG48" s="27" t="s">
        <v>1777</v>
      </c>
      <c r="AH48" s="27"/>
      <c r="AI48" s="27" t="s">
        <v>1777</v>
      </c>
      <c r="AJ48" s="27"/>
    </row>
    <row r="49" spans="1:36" x14ac:dyDescent="0.25">
      <c r="A49" s="195" t="s">
        <v>1816</v>
      </c>
      <c r="B49" s="196">
        <v>134</v>
      </c>
      <c r="C49" s="196">
        <v>0</v>
      </c>
      <c r="D49" s="196">
        <v>0</v>
      </c>
      <c r="E49" s="196">
        <v>7600</v>
      </c>
      <c r="F49" s="196">
        <v>0</v>
      </c>
      <c r="G49" s="196">
        <v>70</v>
      </c>
      <c r="H49" s="196">
        <v>6984</v>
      </c>
      <c r="I49" s="196">
        <v>422</v>
      </c>
      <c r="J49" s="196">
        <v>54292</v>
      </c>
      <c r="K49" s="196">
        <v>1381</v>
      </c>
      <c r="L49" s="197"/>
      <c r="M49" s="196">
        <v>874</v>
      </c>
      <c r="N49" s="144">
        <f t="shared" si="0"/>
        <v>0</v>
      </c>
      <c r="O49" s="27">
        <v>1985</v>
      </c>
      <c r="P49" s="27">
        <v>0</v>
      </c>
      <c r="Q49" s="27">
        <v>1</v>
      </c>
      <c r="R49" s="27"/>
      <c r="S49" s="27">
        <v>134</v>
      </c>
      <c r="T49" s="53">
        <v>7600</v>
      </c>
      <c r="U49" s="27"/>
      <c r="V49" s="27">
        <v>70</v>
      </c>
      <c r="W49" s="53">
        <v>6984</v>
      </c>
      <c r="X49" s="27">
        <v>422</v>
      </c>
      <c r="Y49" s="27"/>
      <c r="Z49" s="53">
        <v>54292</v>
      </c>
      <c r="AA49" s="27">
        <v>874</v>
      </c>
      <c r="AB49" s="53">
        <v>70375</v>
      </c>
      <c r="AC49" s="27"/>
      <c r="AD49" s="27">
        <v>193</v>
      </c>
      <c r="AE49" s="27" t="s">
        <v>1777</v>
      </c>
      <c r="AF49" s="27"/>
      <c r="AG49" s="27" t="s">
        <v>1777</v>
      </c>
      <c r="AH49" s="27"/>
      <c r="AI49" s="27" t="s">
        <v>1777</v>
      </c>
      <c r="AJ49" s="27"/>
    </row>
    <row r="50" spans="1:36" x14ac:dyDescent="0.25">
      <c r="A50" s="195" t="s">
        <v>1817</v>
      </c>
      <c r="B50" s="196">
        <v>145</v>
      </c>
      <c r="C50" s="196">
        <v>0</v>
      </c>
      <c r="D50" s="196">
        <v>0</v>
      </c>
      <c r="E50" s="196">
        <v>7869</v>
      </c>
      <c r="F50" s="196">
        <v>0</v>
      </c>
      <c r="G50" s="196">
        <v>62</v>
      </c>
      <c r="H50" s="196">
        <v>6913</v>
      </c>
      <c r="I50" s="196">
        <v>412</v>
      </c>
      <c r="J50" s="196">
        <v>55812</v>
      </c>
      <c r="K50" s="196">
        <v>1623</v>
      </c>
      <c r="L50" s="197"/>
      <c r="M50" s="196">
        <v>606</v>
      </c>
      <c r="N50" s="144">
        <f t="shared" si="0"/>
        <v>0</v>
      </c>
      <c r="O50" s="27">
        <v>1986</v>
      </c>
      <c r="P50" s="27">
        <v>0</v>
      </c>
      <c r="Q50" s="27">
        <v>2</v>
      </c>
      <c r="R50" s="27"/>
      <c r="S50" s="27">
        <v>145</v>
      </c>
      <c r="T50" s="53">
        <v>7869</v>
      </c>
      <c r="U50" s="27"/>
      <c r="V50" s="27">
        <v>62</v>
      </c>
      <c r="W50" s="53">
        <v>6913</v>
      </c>
      <c r="X50" s="27">
        <v>412</v>
      </c>
      <c r="Y50" s="27"/>
      <c r="Z50" s="53">
        <v>55812</v>
      </c>
      <c r="AA50" s="27">
        <v>606</v>
      </c>
      <c r="AB50" s="53">
        <v>71820</v>
      </c>
      <c r="AC50" s="27"/>
      <c r="AD50" s="27">
        <v>191</v>
      </c>
      <c r="AE50" s="27" t="s">
        <v>1777</v>
      </c>
      <c r="AF50" s="27"/>
      <c r="AG50" s="27" t="s">
        <v>1777</v>
      </c>
      <c r="AH50" s="27"/>
      <c r="AI50" s="27" t="s">
        <v>1777</v>
      </c>
      <c r="AJ50" s="27"/>
    </row>
    <row r="51" spans="1:36" x14ac:dyDescent="0.25">
      <c r="A51" s="195" t="s">
        <v>1818</v>
      </c>
      <c r="B51" s="196">
        <v>123</v>
      </c>
      <c r="C51" s="196">
        <v>0</v>
      </c>
      <c r="D51" s="196">
        <v>0</v>
      </c>
      <c r="E51" s="196">
        <v>8461</v>
      </c>
      <c r="F51" s="196">
        <v>0</v>
      </c>
      <c r="G51" s="196">
        <v>51</v>
      </c>
      <c r="H51" s="196">
        <v>7850</v>
      </c>
      <c r="I51" s="196">
        <v>466</v>
      </c>
      <c r="J51" s="196">
        <v>57108</v>
      </c>
      <c r="K51" s="196">
        <v>1119</v>
      </c>
      <c r="L51" s="197"/>
      <c r="M51" s="196">
        <v>459</v>
      </c>
      <c r="N51" s="144">
        <f t="shared" si="0"/>
        <v>0</v>
      </c>
      <c r="O51" s="27">
        <v>1987</v>
      </c>
      <c r="P51" s="27">
        <v>0</v>
      </c>
      <c r="Q51" s="27">
        <v>1</v>
      </c>
      <c r="R51" s="27"/>
      <c r="S51" s="27">
        <v>123</v>
      </c>
      <c r="T51" s="53">
        <v>8461</v>
      </c>
      <c r="U51" s="27"/>
      <c r="V51" s="27">
        <v>51</v>
      </c>
      <c r="W51" s="53">
        <v>7850</v>
      </c>
      <c r="X51" s="27">
        <v>466</v>
      </c>
      <c r="Y51" s="27"/>
      <c r="Z51" s="53">
        <v>57108</v>
      </c>
      <c r="AA51" s="27">
        <v>459</v>
      </c>
      <c r="AB51" s="53">
        <v>74518</v>
      </c>
      <c r="AC51" s="27"/>
      <c r="AD51" s="27">
        <v>199</v>
      </c>
      <c r="AE51" s="27" t="s">
        <v>1777</v>
      </c>
      <c r="AF51" s="27"/>
      <c r="AG51" s="27" t="s">
        <v>1777</v>
      </c>
      <c r="AH51" s="27"/>
      <c r="AI51" s="27" t="s">
        <v>1777</v>
      </c>
      <c r="AJ51" s="27"/>
    </row>
    <row r="52" spans="1:36" x14ac:dyDescent="0.25">
      <c r="A52" s="195" t="s">
        <v>1819</v>
      </c>
      <c r="B52" s="196">
        <v>127</v>
      </c>
      <c r="C52" s="196">
        <v>0</v>
      </c>
      <c r="D52" s="196">
        <v>0</v>
      </c>
      <c r="E52" s="196">
        <v>8036</v>
      </c>
      <c r="F52" s="196">
        <v>0</v>
      </c>
      <c r="G52" s="196">
        <v>62</v>
      </c>
      <c r="H52" s="196">
        <v>9320</v>
      </c>
      <c r="I52" s="196">
        <v>450</v>
      </c>
      <c r="J52" s="196">
        <v>58744</v>
      </c>
      <c r="K52" s="196">
        <v>1978</v>
      </c>
      <c r="L52" s="197"/>
      <c r="M52" s="196">
        <v>675</v>
      </c>
      <c r="N52" s="144">
        <f t="shared" si="0"/>
        <v>0</v>
      </c>
      <c r="O52" s="27">
        <v>1988</v>
      </c>
      <c r="P52" s="27">
        <v>0</v>
      </c>
      <c r="Q52" s="27">
        <v>2</v>
      </c>
      <c r="R52" s="27"/>
      <c r="S52" s="27">
        <v>127</v>
      </c>
      <c r="T52" s="53">
        <v>8036</v>
      </c>
      <c r="U52" s="27"/>
      <c r="V52" s="27">
        <v>62</v>
      </c>
      <c r="W52" s="53">
        <v>9320</v>
      </c>
      <c r="X52" s="27">
        <v>450</v>
      </c>
      <c r="Y52" s="27"/>
      <c r="Z52" s="53">
        <v>58744</v>
      </c>
      <c r="AA52" s="27">
        <v>675</v>
      </c>
      <c r="AB52" s="53">
        <v>77414</v>
      </c>
      <c r="AC52" s="27"/>
      <c r="AD52" s="27">
        <v>241</v>
      </c>
      <c r="AE52" s="27" t="s">
        <v>1777</v>
      </c>
      <c r="AF52" s="27"/>
      <c r="AG52" s="27" t="s">
        <v>1777</v>
      </c>
      <c r="AH52" s="27"/>
      <c r="AI52" s="27" t="s">
        <v>1777</v>
      </c>
      <c r="AJ52" s="27"/>
    </row>
    <row r="53" spans="1:36" x14ac:dyDescent="0.25">
      <c r="A53" s="195" t="s">
        <v>1820</v>
      </c>
      <c r="B53" s="196">
        <v>118</v>
      </c>
      <c r="C53" s="196">
        <v>0</v>
      </c>
      <c r="D53" s="196">
        <v>0</v>
      </c>
      <c r="E53" s="196">
        <v>7778</v>
      </c>
      <c r="F53" s="196">
        <v>0</v>
      </c>
      <c r="G53" s="196">
        <v>62</v>
      </c>
      <c r="H53" s="196">
        <v>10005</v>
      </c>
      <c r="I53" s="196">
        <v>461</v>
      </c>
      <c r="J53" s="196">
        <v>57627</v>
      </c>
      <c r="K53" s="196">
        <v>2254</v>
      </c>
      <c r="L53" s="197"/>
      <c r="M53" s="196">
        <v>1174</v>
      </c>
      <c r="N53" s="144">
        <f t="shared" si="0"/>
        <v>0</v>
      </c>
      <c r="O53" s="27">
        <v>1989</v>
      </c>
      <c r="P53" s="27">
        <v>0</v>
      </c>
      <c r="Q53" s="27">
        <v>2</v>
      </c>
      <c r="R53" s="27"/>
      <c r="S53" s="27">
        <v>118</v>
      </c>
      <c r="T53" s="53">
        <v>7778</v>
      </c>
      <c r="U53" s="27"/>
      <c r="V53" s="27">
        <v>62</v>
      </c>
      <c r="W53" s="53">
        <v>10005</v>
      </c>
      <c r="X53" s="27">
        <v>461</v>
      </c>
      <c r="Y53" s="27"/>
      <c r="Z53" s="53">
        <v>57627</v>
      </c>
      <c r="AA53" s="53">
        <v>1174</v>
      </c>
      <c r="AB53" s="53">
        <v>77225</v>
      </c>
      <c r="AC53" s="27"/>
      <c r="AD53" s="27">
        <v>200</v>
      </c>
      <c r="AE53" s="27" t="s">
        <v>1777</v>
      </c>
      <c r="AF53" s="27"/>
      <c r="AG53" s="27" t="s">
        <v>1777</v>
      </c>
      <c r="AH53" s="27"/>
      <c r="AI53" s="27" t="s">
        <v>1777</v>
      </c>
      <c r="AJ53" s="27"/>
    </row>
    <row r="54" spans="1:36" x14ac:dyDescent="0.25">
      <c r="A54" s="210" t="s">
        <v>1821</v>
      </c>
      <c r="B54" s="211">
        <v>97</v>
      </c>
      <c r="C54" s="211">
        <v>0</v>
      </c>
      <c r="D54" s="211">
        <v>0</v>
      </c>
      <c r="E54" s="211">
        <v>7457</v>
      </c>
      <c r="F54" s="211">
        <v>0</v>
      </c>
      <c r="G54" s="211">
        <v>59</v>
      </c>
      <c r="H54" s="211">
        <v>9806</v>
      </c>
      <c r="I54" s="211">
        <v>475</v>
      </c>
      <c r="J54" s="211">
        <v>55642</v>
      </c>
      <c r="K54" s="211">
        <v>1235</v>
      </c>
      <c r="L54" s="212"/>
      <c r="M54" s="211">
        <v>1366</v>
      </c>
      <c r="N54" s="213">
        <f t="shared" si="0"/>
        <v>0</v>
      </c>
      <c r="O54" s="214">
        <v>1990</v>
      </c>
      <c r="P54" s="214">
        <v>0</v>
      </c>
      <c r="Q54" s="214">
        <v>1</v>
      </c>
      <c r="R54" s="214"/>
      <c r="S54" s="214">
        <v>97</v>
      </c>
      <c r="T54" s="215">
        <v>7457</v>
      </c>
      <c r="U54" s="214"/>
      <c r="V54" s="214">
        <v>59</v>
      </c>
      <c r="W54" s="215">
        <v>9806</v>
      </c>
      <c r="X54" s="214">
        <v>475</v>
      </c>
      <c r="Y54" s="214"/>
      <c r="Z54" s="215">
        <v>55642</v>
      </c>
      <c r="AA54" s="215">
        <v>1366</v>
      </c>
      <c r="AB54" s="215">
        <v>74901</v>
      </c>
      <c r="AC54" s="214"/>
      <c r="AD54" s="214">
        <v>183</v>
      </c>
      <c r="AE54" s="214" t="s">
        <v>1777</v>
      </c>
      <c r="AF54" s="214"/>
      <c r="AG54" s="214" t="s">
        <v>1777</v>
      </c>
      <c r="AH54" s="27"/>
      <c r="AI54" s="27" t="s">
        <v>1777</v>
      </c>
      <c r="AJ54" s="27"/>
    </row>
    <row r="55" spans="1:36" x14ac:dyDescent="0.25">
      <c r="A55" s="210" t="s">
        <v>1822</v>
      </c>
      <c r="B55" s="211">
        <v>45</v>
      </c>
      <c r="C55" s="211">
        <v>0</v>
      </c>
      <c r="D55" s="211">
        <v>0</v>
      </c>
      <c r="E55" s="211">
        <v>7434</v>
      </c>
      <c r="F55" s="211">
        <v>0</v>
      </c>
      <c r="G55" s="211">
        <v>69</v>
      </c>
      <c r="H55" s="211">
        <v>9398</v>
      </c>
      <c r="I55" s="211">
        <v>425</v>
      </c>
      <c r="J55" s="211">
        <v>53974</v>
      </c>
      <c r="K55" s="211">
        <v>1512</v>
      </c>
      <c r="L55" s="212"/>
      <c r="M55" s="211">
        <v>440</v>
      </c>
      <c r="N55" s="213">
        <f t="shared" si="0"/>
        <v>0</v>
      </c>
      <c r="O55" s="214">
        <v>1991</v>
      </c>
      <c r="P55" s="214">
        <v>0</v>
      </c>
      <c r="Q55" s="214">
        <v>2</v>
      </c>
      <c r="R55" s="214"/>
      <c r="S55" s="214">
        <v>45</v>
      </c>
      <c r="T55" s="215">
        <v>7434</v>
      </c>
      <c r="U55" s="214"/>
      <c r="V55" s="214">
        <v>69</v>
      </c>
      <c r="W55" s="215">
        <v>9398</v>
      </c>
      <c r="X55" s="214">
        <v>425</v>
      </c>
      <c r="Y55" s="214"/>
      <c r="Z55" s="215">
        <v>53974</v>
      </c>
      <c r="AA55" s="214">
        <v>440</v>
      </c>
      <c r="AB55" s="215">
        <v>71784</v>
      </c>
      <c r="AC55" s="214"/>
      <c r="AD55" s="214">
        <v>203</v>
      </c>
      <c r="AE55" s="214" t="s">
        <v>1777</v>
      </c>
      <c r="AF55" s="214"/>
      <c r="AG55" s="214" t="s">
        <v>1777</v>
      </c>
      <c r="AH55" s="27"/>
      <c r="AI55" s="27" t="s">
        <v>1777</v>
      </c>
      <c r="AJ55" s="27"/>
    </row>
    <row r="56" spans="1:36" x14ac:dyDescent="0.25">
      <c r="A56" s="195" t="s">
        <v>1823</v>
      </c>
      <c r="B56" s="196">
        <v>45</v>
      </c>
      <c r="C56" s="196">
        <v>0</v>
      </c>
      <c r="D56" s="196">
        <v>0</v>
      </c>
      <c r="E56" s="196">
        <v>7468</v>
      </c>
      <c r="F56" s="196">
        <v>0</v>
      </c>
      <c r="G56" s="196">
        <v>63</v>
      </c>
      <c r="H56" s="196">
        <v>7880</v>
      </c>
      <c r="I56" s="196">
        <v>433</v>
      </c>
      <c r="J56" s="196">
        <v>54938</v>
      </c>
      <c r="K56" s="196">
        <v>1788</v>
      </c>
      <c r="L56" s="197"/>
      <c r="M56" s="196">
        <v>430</v>
      </c>
      <c r="N56" s="144">
        <f t="shared" si="0"/>
        <v>0</v>
      </c>
      <c r="O56" s="27">
        <v>1992</v>
      </c>
      <c r="P56" s="27">
        <v>0</v>
      </c>
      <c r="Q56" s="27">
        <v>2</v>
      </c>
      <c r="R56" s="27"/>
      <c r="S56" s="27">
        <v>45</v>
      </c>
      <c r="T56" s="53">
        <v>7468</v>
      </c>
      <c r="U56" s="27"/>
      <c r="V56" s="27">
        <v>63</v>
      </c>
      <c r="W56" s="53">
        <v>7880</v>
      </c>
      <c r="X56" s="27">
        <v>433</v>
      </c>
      <c r="Y56" s="27"/>
      <c r="Z56" s="53">
        <v>54938</v>
      </c>
      <c r="AA56" s="27">
        <v>430</v>
      </c>
      <c r="AB56" s="53">
        <v>71256</v>
      </c>
      <c r="AC56" s="27"/>
      <c r="AD56" s="27">
        <v>212</v>
      </c>
      <c r="AE56" s="27" t="s">
        <v>1777</v>
      </c>
      <c r="AF56" s="27"/>
      <c r="AG56" s="27" t="s">
        <v>1777</v>
      </c>
      <c r="AH56" s="27"/>
      <c r="AI56" s="27" t="s">
        <v>1777</v>
      </c>
      <c r="AJ56" s="27"/>
    </row>
    <row r="57" spans="1:36" x14ac:dyDescent="0.25">
      <c r="A57" s="195" t="s">
        <v>1824</v>
      </c>
      <c r="B57" s="196">
        <v>85</v>
      </c>
      <c r="C57" s="196">
        <v>0</v>
      </c>
      <c r="D57" s="196">
        <v>0</v>
      </c>
      <c r="E57" s="196">
        <v>7843</v>
      </c>
      <c r="F57" s="196">
        <v>0</v>
      </c>
      <c r="G57" s="196">
        <v>62</v>
      </c>
      <c r="H57" s="196">
        <v>7728</v>
      </c>
      <c r="I57" s="196">
        <v>441</v>
      </c>
      <c r="J57" s="196">
        <v>55837</v>
      </c>
      <c r="K57" s="196">
        <v>2265</v>
      </c>
      <c r="L57" s="197"/>
      <c r="M57" s="196">
        <v>345</v>
      </c>
      <c r="N57" s="144">
        <f t="shared" si="0"/>
        <v>0</v>
      </c>
      <c r="O57" s="27">
        <v>1993</v>
      </c>
      <c r="P57" s="27">
        <v>0</v>
      </c>
      <c r="Q57" s="27">
        <v>2</v>
      </c>
      <c r="R57" s="27"/>
      <c r="S57" s="27">
        <v>85</v>
      </c>
      <c r="T57" s="53">
        <v>7843</v>
      </c>
      <c r="U57" s="27"/>
      <c r="V57" s="27">
        <v>62</v>
      </c>
      <c r="W57" s="53">
        <v>7728</v>
      </c>
      <c r="X57" s="27">
        <v>441</v>
      </c>
      <c r="Y57" s="27"/>
      <c r="Z57" s="53">
        <v>55837</v>
      </c>
      <c r="AA57" s="27">
        <v>345</v>
      </c>
      <c r="AB57" s="53">
        <v>72340</v>
      </c>
      <c r="AC57" s="27"/>
      <c r="AD57" s="27">
        <v>221</v>
      </c>
      <c r="AE57" s="27" t="s">
        <v>1777</v>
      </c>
      <c r="AF57" s="27"/>
      <c r="AG57" s="27" t="s">
        <v>1777</v>
      </c>
      <c r="AH57" s="27"/>
      <c r="AI57" s="27" t="s">
        <v>1777</v>
      </c>
      <c r="AJ57" s="27"/>
    </row>
    <row r="58" spans="1:36" x14ac:dyDescent="0.25">
      <c r="A58" s="195" t="s">
        <v>1825</v>
      </c>
      <c r="B58" s="196">
        <v>73</v>
      </c>
      <c r="C58" s="196">
        <v>0</v>
      </c>
      <c r="D58" s="196">
        <v>0</v>
      </c>
      <c r="E58" s="196">
        <v>8181</v>
      </c>
      <c r="F58" s="196">
        <v>0</v>
      </c>
      <c r="G58" s="196">
        <v>88</v>
      </c>
      <c r="H58" s="196">
        <v>7433</v>
      </c>
      <c r="I58" s="196">
        <v>461</v>
      </c>
      <c r="J58" s="196">
        <v>56466</v>
      </c>
      <c r="K58" s="196">
        <v>1850</v>
      </c>
      <c r="L58" s="197"/>
      <c r="M58" s="196">
        <v>364</v>
      </c>
      <c r="N58" s="144">
        <f t="shared" si="0"/>
        <v>0</v>
      </c>
      <c r="O58" s="27">
        <v>1994</v>
      </c>
      <c r="P58" s="27">
        <v>0</v>
      </c>
      <c r="Q58" s="27">
        <v>2</v>
      </c>
      <c r="R58" s="27"/>
      <c r="S58" s="27">
        <v>73</v>
      </c>
      <c r="T58" s="53">
        <v>8181</v>
      </c>
      <c r="U58" s="27"/>
      <c r="V58" s="27">
        <v>88</v>
      </c>
      <c r="W58" s="53">
        <v>7433</v>
      </c>
      <c r="X58" s="27">
        <v>461</v>
      </c>
      <c r="Y58" s="27"/>
      <c r="Z58" s="53">
        <v>56466</v>
      </c>
      <c r="AA58" s="27">
        <v>364</v>
      </c>
      <c r="AB58" s="53">
        <v>73065</v>
      </c>
      <c r="AC58" s="27"/>
      <c r="AD58" s="27">
        <v>227</v>
      </c>
      <c r="AE58" s="27" t="s">
        <v>1777</v>
      </c>
      <c r="AF58" s="27"/>
      <c r="AG58" s="27" t="s">
        <v>1777</v>
      </c>
      <c r="AH58" s="27"/>
      <c r="AI58" s="27" t="s">
        <v>1777</v>
      </c>
      <c r="AJ58" s="27"/>
    </row>
    <row r="59" spans="1:36" x14ac:dyDescent="0.25">
      <c r="A59" s="195" t="s">
        <v>1826</v>
      </c>
      <c r="B59" s="196">
        <v>84</v>
      </c>
      <c r="C59" s="196">
        <v>0</v>
      </c>
      <c r="D59" s="196">
        <v>0</v>
      </c>
      <c r="E59" s="196">
        <v>8780</v>
      </c>
      <c r="F59" s="196">
        <v>0</v>
      </c>
      <c r="G59" s="196">
        <v>50</v>
      </c>
      <c r="H59" s="196">
        <v>6636</v>
      </c>
      <c r="I59" s="196">
        <v>453</v>
      </c>
      <c r="J59" s="196">
        <v>58337</v>
      </c>
      <c r="K59" s="196">
        <v>1919</v>
      </c>
      <c r="L59" s="197"/>
      <c r="M59" s="196">
        <v>199</v>
      </c>
      <c r="N59" s="144">
        <f t="shared" si="0"/>
        <v>0</v>
      </c>
      <c r="O59" s="27">
        <v>1995</v>
      </c>
      <c r="P59" s="27">
        <v>0</v>
      </c>
      <c r="Q59" s="27">
        <v>2</v>
      </c>
      <c r="R59" s="27"/>
      <c r="S59" s="27">
        <v>84</v>
      </c>
      <c r="T59" s="53">
        <v>8780</v>
      </c>
      <c r="U59" s="27"/>
      <c r="V59" s="27">
        <v>50</v>
      </c>
      <c r="W59" s="53">
        <v>6636</v>
      </c>
      <c r="X59" s="27">
        <v>453</v>
      </c>
      <c r="Y59" s="27"/>
      <c r="Z59" s="53">
        <v>58337</v>
      </c>
      <c r="AA59" s="27">
        <v>199</v>
      </c>
      <c r="AB59" s="53">
        <v>74540</v>
      </c>
      <c r="AC59" s="27"/>
      <c r="AD59" s="27">
        <v>236</v>
      </c>
      <c r="AE59" s="27" t="s">
        <v>1777</v>
      </c>
      <c r="AF59" s="27"/>
      <c r="AG59" s="27" t="s">
        <v>1777</v>
      </c>
      <c r="AH59" s="27"/>
      <c r="AI59" s="27" t="s">
        <v>1777</v>
      </c>
      <c r="AJ59" s="27"/>
    </row>
    <row r="60" spans="1:36" x14ac:dyDescent="0.25">
      <c r="A60" s="195" t="s">
        <v>1827</v>
      </c>
      <c r="B60" s="196">
        <v>90</v>
      </c>
      <c r="C60" s="196">
        <v>0</v>
      </c>
      <c r="D60" s="196">
        <v>0</v>
      </c>
      <c r="E60" s="196">
        <v>8628</v>
      </c>
      <c r="F60" s="196">
        <v>0</v>
      </c>
      <c r="G60" s="196">
        <v>45</v>
      </c>
      <c r="H60" s="196">
        <v>6873</v>
      </c>
      <c r="I60" s="196">
        <v>439</v>
      </c>
      <c r="J60" s="196">
        <v>59356</v>
      </c>
      <c r="K60" s="196">
        <v>2194</v>
      </c>
      <c r="L60" s="197"/>
      <c r="M60" s="196">
        <v>2002</v>
      </c>
      <c r="N60" s="144">
        <f t="shared" si="0"/>
        <v>0</v>
      </c>
      <c r="O60" s="27">
        <v>1996</v>
      </c>
      <c r="P60" s="27">
        <v>0</v>
      </c>
      <c r="Q60" s="27">
        <v>2</v>
      </c>
      <c r="R60" s="27"/>
      <c r="S60" s="27">
        <v>90</v>
      </c>
      <c r="T60" s="53">
        <v>8628</v>
      </c>
      <c r="U60" s="27"/>
      <c r="V60" s="27">
        <v>45</v>
      </c>
      <c r="W60" s="53">
        <v>6873</v>
      </c>
      <c r="X60" s="27">
        <v>439</v>
      </c>
      <c r="Y60" s="27"/>
      <c r="Z60" s="53">
        <v>59356</v>
      </c>
      <c r="AA60" s="53">
        <v>2002</v>
      </c>
      <c r="AB60" s="53">
        <v>77434</v>
      </c>
      <c r="AC60" s="27"/>
      <c r="AD60" s="27">
        <v>241</v>
      </c>
      <c r="AE60" s="27" t="s">
        <v>1777</v>
      </c>
      <c r="AF60" s="27"/>
      <c r="AG60" s="27" t="s">
        <v>1777</v>
      </c>
      <c r="AH60" s="27"/>
      <c r="AI60" s="27" t="s">
        <v>1777</v>
      </c>
      <c r="AJ60" s="27"/>
    </row>
    <row r="61" spans="1:36" x14ac:dyDescent="0.25">
      <c r="A61" s="195" t="s">
        <v>1828</v>
      </c>
      <c r="B61" s="196">
        <v>87</v>
      </c>
      <c r="C61" s="196">
        <v>0</v>
      </c>
      <c r="D61" s="196">
        <v>0</v>
      </c>
      <c r="E61" s="196">
        <v>8945</v>
      </c>
      <c r="F61" s="196">
        <v>0</v>
      </c>
      <c r="G61" s="196">
        <v>47</v>
      </c>
      <c r="H61" s="196">
        <v>7301</v>
      </c>
      <c r="I61" s="196">
        <v>464</v>
      </c>
      <c r="J61" s="196">
        <v>60472</v>
      </c>
      <c r="K61" s="196">
        <v>2494</v>
      </c>
      <c r="L61" s="197"/>
      <c r="M61" s="196">
        <v>1380</v>
      </c>
      <c r="N61" s="144">
        <f t="shared" si="0"/>
        <v>0</v>
      </c>
      <c r="O61" s="27">
        <v>1997</v>
      </c>
      <c r="P61" s="27">
        <v>0</v>
      </c>
      <c r="Q61" s="27">
        <v>2</v>
      </c>
      <c r="R61" s="27"/>
      <c r="S61" s="27">
        <v>87</v>
      </c>
      <c r="T61" s="53">
        <v>8945</v>
      </c>
      <c r="U61" s="27"/>
      <c r="V61" s="27">
        <v>47</v>
      </c>
      <c r="W61" s="53">
        <v>7301</v>
      </c>
      <c r="X61" s="27">
        <v>464</v>
      </c>
      <c r="Y61" s="27"/>
      <c r="Z61" s="53">
        <v>60472</v>
      </c>
      <c r="AA61" s="53">
        <v>1380</v>
      </c>
      <c r="AB61" s="53">
        <v>78696</v>
      </c>
      <c r="AC61" s="27"/>
      <c r="AD61" s="27">
        <v>252</v>
      </c>
      <c r="AE61" s="27" t="s">
        <v>1777</v>
      </c>
      <c r="AF61" s="27"/>
      <c r="AG61" s="27" t="s">
        <v>1777</v>
      </c>
      <c r="AH61" s="27"/>
      <c r="AI61" s="27" t="s">
        <v>1777</v>
      </c>
      <c r="AJ61" s="27"/>
    </row>
    <row r="62" spans="1:36" x14ac:dyDescent="0.25">
      <c r="A62" s="195" t="s">
        <v>1829</v>
      </c>
      <c r="B62" s="196">
        <v>87</v>
      </c>
      <c r="C62" s="196">
        <v>0</v>
      </c>
      <c r="D62" s="196">
        <v>0</v>
      </c>
      <c r="E62" s="196">
        <v>8884</v>
      </c>
      <c r="F62" s="196">
        <v>0</v>
      </c>
      <c r="G62" s="196">
        <v>45</v>
      </c>
      <c r="H62" s="196">
        <v>7736</v>
      </c>
      <c r="I62" s="196">
        <v>486</v>
      </c>
      <c r="J62" s="196">
        <v>61902</v>
      </c>
      <c r="K62" s="196">
        <v>1986</v>
      </c>
      <c r="L62" s="197"/>
      <c r="M62" s="196">
        <v>30</v>
      </c>
      <c r="N62" s="144">
        <f t="shared" si="0"/>
        <v>0</v>
      </c>
      <c r="O62" s="27">
        <v>1998</v>
      </c>
      <c r="P62" s="27">
        <v>0</v>
      </c>
      <c r="Q62" s="27">
        <v>2</v>
      </c>
      <c r="R62" s="27"/>
      <c r="S62" s="27">
        <v>87</v>
      </c>
      <c r="T62" s="53">
        <v>8884</v>
      </c>
      <c r="U62" s="27"/>
      <c r="V62" s="27">
        <v>45</v>
      </c>
      <c r="W62" s="53">
        <v>7736</v>
      </c>
      <c r="X62" s="27">
        <v>486</v>
      </c>
      <c r="Y62" s="27"/>
      <c r="Z62" s="53">
        <v>61902</v>
      </c>
      <c r="AA62" s="27">
        <v>30</v>
      </c>
      <c r="AB62" s="53">
        <v>79169</v>
      </c>
      <c r="AC62" s="27"/>
      <c r="AD62" s="27">
        <v>234</v>
      </c>
      <c r="AE62" s="27" t="s">
        <v>1777</v>
      </c>
      <c r="AF62" s="27"/>
      <c r="AG62" s="27" t="s">
        <v>1777</v>
      </c>
      <c r="AH62" s="27"/>
      <c r="AI62" s="27" t="s">
        <v>1777</v>
      </c>
      <c r="AJ62" s="27"/>
    </row>
    <row r="63" spans="1:36" x14ac:dyDescent="0.25">
      <c r="A63" s="195" t="s">
        <v>1830</v>
      </c>
      <c r="B63" s="196">
        <v>96</v>
      </c>
      <c r="C63" s="196">
        <v>0</v>
      </c>
      <c r="D63" s="196">
        <v>0</v>
      </c>
      <c r="E63" s="196">
        <v>9301</v>
      </c>
      <c r="F63" s="196">
        <v>0</v>
      </c>
      <c r="G63" s="196">
        <v>156</v>
      </c>
      <c r="H63" s="196">
        <v>8081</v>
      </c>
      <c r="I63" s="196">
        <v>491</v>
      </c>
      <c r="J63" s="196">
        <v>63073</v>
      </c>
      <c r="K63" s="196">
        <v>2756</v>
      </c>
      <c r="L63" s="197"/>
      <c r="M63" s="196">
        <v>21</v>
      </c>
      <c r="N63" s="144">
        <f t="shared" si="0"/>
        <v>0</v>
      </c>
      <c r="O63" s="27">
        <v>1999</v>
      </c>
      <c r="P63" s="27">
        <v>0</v>
      </c>
      <c r="Q63" s="27">
        <v>3</v>
      </c>
      <c r="R63" s="27"/>
      <c r="S63" s="27">
        <v>96</v>
      </c>
      <c r="T63" s="53">
        <v>9301</v>
      </c>
      <c r="U63" s="27"/>
      <c r="V63" s="27">
        <v>156</v>
      </c>
      <c r="W63" s="53">
        <v>8081</v>
      </c>
      <c r="X63" s="27">
        <v>491</v>
      </c>
      <c r="Y63" s="27"/>
      <c r="Z63" s="53">
        <v>63073</v>
      </c>
      <c r="AA63" s="27">
        <v>21</v>
      </c>
      <c r="AB63" s="53">
        <v>81220</v>
      </c>
      <c r="AC63" s="27"/>
      <c r="AD63" s="27">
        <v>234</v>
      </c>
      <c r="AE63" s="27" t="s">
        <v>1777</v>
      </c>
      <c r="AF63" s="27"/>
      <c r="AG63" s="27" t="s">
        <v>1777</v>
      </c>
      <c r="AH63" s="27"/>
      <c r="AI63" s="27" t="s">
        <v>1777</v>
      </c>
      <c r="AJ63" s="27"/>
    </row>
    <row r="64" spans="1:36" x14ac:dyDescent="0.25">
      <c r="A64" s="195" t="s">
        <v>1831</v>
      </c>
      <c r="B64" s="196">
        <v>116</v>
      </c>
      <c r="C64" s="196">
        <v>0</v>
      </c>
      <c r="D64" s="196">
        <v>0</v>
      </c>
      <c r="E64" s="196">
        <v>10050</v>
      </c>
      <c r="F64" s="196">
        <v>0</v>
      </c>
      <c r="G64" s="196">
        <v>56</v>
      </c>
      <c r="H64" s="196">
        <v>8204</v>
      </c>
      <c r="I64" s="196">
        <v>484</v>
      </c>
      <c r="J64" s="196">
        <v>64443</v>
      </c>
      <c r="K64" s="196">
        <v>2501</v>
      </c>
      <c r="L64" s="197"/>
      <c r="M64" s="196">
        <v>539</v>
      </c>
      <c r="N64" s="144">
        <f t="shared" si="0"/>
        <v>0</v>
      </c>
      <c r="O64" s="27">
        <v>2000</v>
      </c>
      <c r="P64" s="27">
        <v>0</v>
      </c>
      <c r="Q64" s="27">
        <v>3</v>
      </c>
      <c r="R64" s="27"/>
      <c r="S64" s="27">
        <v>116</v>
      </c>
      <c r="T64" s="53">
        <v>10050</v>
      </c>
      <c r="U64" s="27"/>
      <c r="V64" s="27">
        <v>56</v>
      </c>
      <c r="W64" s="53">
        <v>8204</v>
      </c>
      <c r="X64" s="27">
        <v>484</v>
      </c>
      <c r="Y64" s="27"/>
      <c r="Z64" s="53">
        <v>64443</v>
      </c>
      <c r="AA64" s="27">
        <v>539</v>
      </c>
      <c r="AB64" s="53">
        <v>83891</v>
      </c>
      <c r="AC64" s="27"/>
      <c r="AD64" s="27">
        <v>239</v>
      </c>
      <c r="AE64" s="27" t="s">
        <v>1777</v>
      </c>
      <c r="AF64" s="27"/>
      <c r="AG64" s="27" t="s">
        <v>1777</v>
      </c>
      <c r="AH64" s="27"/>
      <c r="AI64" s="27" t="s">
        <v>1777</v>
      </c>
      <c r="AJ64" s="27"/>
    </row>
    <row r="65" spans="1:36" x14ac:dyDescent="0.25">
      <c r="A65" s="195" t="s">
        <v>1832</v>
      </c>
      <c r="B65" s="196">
        <v>80</v>
      </c>
      <c r="C65" s="196">
        <v>3</v>
      </c>
      <c r="D65" s="196">
        <v>0</v>
      </c>
      <c r="E65" s="196">
        <v>10480</v>
      </c>
      <c r="F65" s="196">
        <v>0</v>
      </c>
      <c r="G65" s="196">
        <v>41</v>
      </c>
      <c r="H65" s="196">
        <v>7003</v>
      </c>
      <c r="I65" s="196">
        <v>443</v>
      </c>
      <c r="J65" s="196">
        <v>64362</v>
      </c>
      <c r="K65" s="196">
        <v>3312</v>
      </c>
      <c r="L65" s="197"/>
      <c r="M65" s="196">
        <v>287</v>
      </c>
      <c r="N65" s="144">
        <f t="shared" si="0"/>
        <v>0</v>
      </c>
      <c r="O65" s="27">
        <v>2001</v>
      </c>
      <c r="P65" s="27">
        <v>0</v>
      </c>
      <c r="Q65" s="27">
        <v>3</v>
      </c>
      <c r="R65" s="27"/>
      <c r="S65" s="27">
        <v>80</v>
      </c>
      <c r="T65" s="53">
        <v>10480</v>
      </c>
      <c r="U65" s="27"/>
      <c r="V65" s="27">
        <v>41</v>
      </c>
      <c r="W65" s="53">
        <v>7003</v>
      </c>
      <c r="X65" s="27">
        <v>443</v>
      </c>
      <c r="Y65" s="27"/>
      <c r="Z65" s="53">
        <v>64362</v>
      </c>
      <c r="AA65" s="27">
        <v>287</v>
      </c>
      <c r="AB65" s="53">
        <v>82697</v>
      </c>
      <c r="AC65" s="27"/>
      <c r="AD65" s="27">
        <v>246</v>
      </c>
      <c r="AE65" s="27" t="s">
        <v>1777</v>
      </c>
      <c r="AF65" s="27"/>
      <c r="AG65" s="27" t="s">
        <v>1777</v>
      </c>
      <c r="AH65" s="27"/>
      <c r="AI65" s="27" t="s">
        <v>1777</v>
      </c>
      <c r="AJ65" s="27"/>
    </row>
    <row r="66" spans="1:36" x14ac:dyDescent="0.25">
      <c r="A66" s="195" t="s">
        <v>1833</v>
      </c>
      <c r="B66" s="196">
        <v>77</v>
      </c>
      <c r="C66" s="196">
        <v>4</v>
      </c>
      <c r="D66" s="196">
        <v>0</v>
      </c>
      <c r="E66" s="196">
        <v>10431</v>
      </c>
      <c r="F66" s="196">
        <v>21</v>
      </c>
      <c r="G66" s="196">
        <v>39</v>
      </c>
      <c r="H66" s="196">
        <v>5609</v>
      </c>
      <c r="I66" s="196">
        <v>438</v>
      </c>
      <c r="J66" s="196">
        <v>66073</v>
      </c>
      <c r="K66" s="196">
        <v>4348</v>
      </c>
      <c r="L66" s="197"/>
      <c r="M66" s="196">
        <v>314</v>
      </c>
      <c r="N66" s="144">
        <f t="shared" si="0"/>
        <v>0</v>
      </c>
      <c r="O66" s="27">
        <v>2002</v>
      </c>
      <c r="P66" s="27">
        <v>0</v>
      </c>
      <c r="Q66" s="27">
        <v>4</v>
      </c>
      <c r="R66" s="27"/>
      <c r="S66" s="27">
        <v>77</v>
      </c>
      <c r="T66" s="53">
        <v>10431</v>
      </c>
      <c r="U66" s="27"/>
      <c r="V66" s="27">
        <v>39</v>
      </c>
      <c r="W66" s="53">
        <v>5609</v>
      </c>
      <c r="X66" s="27">
        <v>438</v>
      </c>
      <c r="Y66" s="27"/>
      <c r="Z66" s="53">
        <v>66073</v>
      </c>
      <c r="AA66" s="27">
        <v>314</v>
      </c>
      <c r="AB66" s="53">
        <v>82981</v>
      </c>
      <c r="AC66" s="27"/>
      <c r="AD66" s="27">
        <v>241</v>
      </c>
      <c r="AE66" s="27" t="s">
        <v>1777</v>
      </c>
      <c r="AF66" s="27"/>
      <c r="AG66" s="27" t="s">
        <v>1777</v>
      </c>
      <c r="AH66" s="27"/>
      <c r="AI66" s="27" t="s">
        <v>1777</v>
      </c>
      <c r="AJ66" s="27"/>
    </row>
    <row r="67" spans="1:36" x14ac:dyDescent="0.25">
      <c r="A67" s="195" t="s">
        <v>1834</v>
      </c>
      <c r="B67" s="196">
        <v>81</v>
      </c>
      <c r="C67" s="196">
        <v>3</v>
      </c>
      <c r="D67" s="196">
        <v>0</v>
      </c>
      <c r="E67" s="196">
        <v>10333</v>
      </c>
      <c r="F67" s="196">
        <v>21</v>
      </c>
      <c r="G67" s="196">
        <v>39</v>
      </c>
      <c r="H67" s="196">
        <v>6396</v>
      </c>
      <c r="I67" s="196">
        <v>405</v>
      </c>
      <c r="J67" s="196">
        <v>65931</v>
      </c>
      <c r="K67" s="196">
        <v>2142</v>
      </c>
      <c r="L67" s="197"/>
      <c r="M67" s="196">
        <v>7</v>
      </c>
      <c r="N67" s="144">
        <f t="shared" si="0"/>
        <v>0</v>
      </c>
      <c r="O67" s="27">
        <v>2003</v>
      </c>
      <c r="P67" s="27">
        <v>0</v>
      </c>
      <c r="Q67" s="27">
        <v>2</v>
      </c>
      <c r="R67" s="27"/>
      <c r="S67" s="27">
        <v>81</v>
      </c>
      <c r="T67" s="53">
        <v>10333</v>
      </c>
      <c r="U67" s="27"/>
      <c r="V67" s="27">
        <v>39</v>
      </c>
      <c r="W67" s="53">
        <v>6396</v>
      </c>
      <c r="X67" s="27">
        <v>405</v>
      </c>
      <c r="Y67" s="27"/>
      <c r="Z67" s="53">
        <v>65931</v>
      </c>
      <c r="AA67" s="27">
        <v>7</v>
      </c>
      <c r="AB67" s="53">
        <v>83192</v>
      </c>
      <c r="AC67" s="27"/>
      <c r="AD67" s="27">
        <v>292</v>
      </c>
      <c r="AE67" s="27" t="s">
        <v>1777</v>
      </c>
      <c r="AF67" s="27"/>
      <c r="AG67" s="27" t="s">
        <v>1777</v>
      </c>
      <c r="AH67" s="27"/>
      <c r="AI67" s="27" t="s">
        <v>1777</v>
      </c>
      <c r="AJ67" s="27"/>
    </row>
    <row r="68" spans="1:36" x14ac:dyDescent="0.25">
      <c r="A68" s="195" t="s">
        <v>1835</v>
      </c>
      <c r="B68" s="196">
        <v>95</v>
      </c>
      <c r="C68" s="196">
        <v>7</v>
      </c>
      <c r="D68" s="196">
        <v>0</v>
      </c>
      <c r="E68" s="196">
        <v>11721</v>
      </c>
      <c r="F68" s="196">
        <v>197</v>
      </c>
      <c r="G68" s="196">
        <v>32</v>
      </c>
      <c r="H68" s="196">
        <v>8235</v>
      </c>
      <c r="I68" s="196">
        <v>410</v>
      </c>
      <c r="J68" s="196">
        <v>67203</v>
      </c>
      <c r="K68" s="196">
        <v>1928</v>
      </c>
      <c r="L68" s="197"/>
      <c r="M68" s="196">
        <v>2</v>
      </c>
      <c r="N68" s="144">
        <f t="shared" si="0"/>
        <v>0</v>
      </c>
      <c r="O68" s="27">
        <v>2004</v>
      </c>
      <c r="P68" s="27">
        <v>0</v>
      </c>
      <c r="Q68" s="27">
        <v>2</v>
      </c>
      <c r="R68" s="27"/>
      <c r="S68" s="27">
        <v>95</v>
      </c>
      <c r="T68" s="53">
        <v>11721</v>
      </c>
      <c r="U68" s="27"/>
      <c r="V68" s="27">
        <v>32</v>
      </c>
      <c r="W68" s="53">
        <v>8235</v>
      </c>
      <c r="X68" s="27">
        <v>410</v>
      </c>
      <c r="Y68" s="27"/>
      <c r="Z68" s="53">
        <v>67203</v>
      </c>
      <c r="AA68" s="27">
        <v>2</v>
      </c>
      <c r="AB68" s="53">
        <v>87699</v>
      </c>
      <c r="AC68" s="27"/>
      <c r="AD68" s="27">
        <v>406</v>
      </c>
      <c r="AE68" s="27" t="s">
        <v>1777</v>
      </c>
      <c r="AF68" s="27"/>
      <c r="AG68" s="27" t="s">
        <v>1777</v>
      </c>
      <c r="AH68" s="27"/>
      <c r="AI68" s="27" t="s">
        <v>1777</v>
      </c>
      <c r="AJ68" s="27"/>
    </row>
    <row r="69" spans="1:36" x14ac:dyDescent="0.25">
      <c r="A69" s="195" t="s">
        <v>1836</v>
      </c>
      <c r="B69" s="196">
        <v>117</v>
      </c>
      <c r="C69" s="196">
        <v>23</v>
      </c>
      <c r="D69" s="196">
        <v>0</v>
      </c>
      <c r="E69" s="196">
        <v>12255</v>
      </c>
      <c r="F69" s="196">
        <v>1735</v>
      </c>
      <c r="G69" s="196">
        <v>40</v>
      </c>
      <c r="H69" s="196">
        <v>9025</v>
      </c>
      <c r="I69" s="196">
        <v>408</v>
      </c>
      <c r="J69" s="196">
        <v>67081</v>
      </c>
      <c r="K69" s="196">
        <v>2582</v>
      </c>
      <c r="L69" s="197"/>
      <c r="M69" s="196">
        <v>646</v>
      </c>
      <c r="N69" s="144">
        <f t="shared" si="0"/>
        <v>0</v>
      </c>
      <c r="O69" s="27">
        <v>2005</v>
      </c>
      <c r="P69" s="27">
        <v>0</v>
      </c>
      <c r="Q69" s="27">
        <v>3</v>
      </c>
      <c r="R69" s="27"/>
      <c r="S69" s="27">
        <v>117</v>
      </c>
      <c r="T69" s="53">
        <v>12255</v>
      </c>
      <c r="U69" s="27"/>
      <c r="V69" s="27">
        <v>40</v>
      </c>
      <c r="W69" s="53">
        <v>9025</v>
      </c>
      <c r="X69" s="27">
        <v>408</v>
      </c>
      <c r="Y69" s="27"/>
      <c r="Z69" s="53">
        <v>67081</v>
      </c>
      <c r="AA69" s="27">
        <v>646</v>
      </c>
      <c r="AB69" s="53">
        <v>89572</v>
      </c>
      <c r="AC69" s="27"/>
      <c r="AD69" s="27">
        <v>402</v>
      </c>
      <c r="AE69" s="27" t="s">
        <v>1777</v>
      </c>
      <c r="AF69" s="27"/>
      <c r="AG69" s="27" t="s">
        <v>1777</v>
      </c>
      <c r="AH69" s="27"/>
      <c r="AI69" s="27" t="s">
        <v>1777</v>
      </c>
      <c r="AJ69" s="27"/>
    </row>
    <row r="70" spans="1:36" x14ac:dyDescent="0.25">
      <c r="A70" s="195" t="s">
        <v>1837</v>
      </c>
      <c r="B70" s="196">
        <v>49</v>
      </c>
      <c r="C70" s="196">
        <v>65</v>
      </c>
      <c r="D70" s="196">
        <v>0</v>
      </c>
      <c r="E70" s="196">
        <v>11986</v>
      </c>
      <c r="F70" s="196">
        <v>4690</v>
      </c>
      <c r="G70" s="196">
        <v>34</v>
      </c>
      <c r="H70" s="196">
        <v>8387</v>
      </c>
      <c r="I70" s="196">
        <v>397</v>
      </c>
      <c r="J70" s="196">
        <v>67399</v>
      </c>
      <c r="K70" s="196">
        <v>2214</v>
      </c>
      <c r="L70" s="197"/>
      <c r="M70" s="196">
        <v>374</v>
      </c>
      <c r="N70" s="144">
        <f t="shared" si="0"/>
        <v>0</v>
      </c>
      <c r="O70" s="27">
        <v>2006</v>
      </c>
      <c r="P70" s="27">
        <v>0</v>
      </c>
      <c r="Q70" s="27">
        <v>2</v>
      </c>
      <c r="R70" s="27"/>
      <c r="S70" s="27">
        <v>49</v>
      </c>
      <c r="T70" s="53">
        <v>11986</v>
      </c>
      <c r="U70" s="27"/>
      <c r="V70" s="27">
        <v>34</v>
      </c>
      <c r="W70" s="53">
        <v>8387</v>
      </c>
      <c r="X70" s="27">
        <v>397</v>
      </c>
      <c r="Y70" s="27"/>
      <c r="Z70" s="53">
        <v>67399</v>
      </c>
      <c r="AA70" s="27">
        <v>374</v>
      </c>
      <c r="AB70" s="53">
        <v>88626</v>
      </c>
      <c r="AC70" s="27"/>
      <c r="AD70" s="27">
        <v>386</v>
      </c>
      <c r="AE70" s="27" t="s">
        <v>1777</v>
      </c>
      <c r="AF70" s="27"/>
      <c r="AG70" s="27" t="s">
        <v>1777</v>
      </c>
      <c r="AH70" s="27"/>
      <c r="AI70" s="27" t="s">
        <v>1777</v>
      </c>
      <c r="AJ70" s="27"/>
    </row>
    <row r="71" spans="1:36" x14ac:dyDescent="0.25">
      <c r="A71" s="195" t="s">
        <v>1838</v>
      </c>
      <c r="B71" s="196">
        <v>87</v>
      </c>
      <c r="C71" s="196">
        <v>88</v>
      </c>
      <c r="D71" s="196">
        <v>0</v>
      </c>
      <c r="E71" s="196">
        <v>11885</v>
      </c>
      <c r="F71" s="196">
        <v>6029</v>
      </c>
      <c r="G71" s="196">
        <v>29</v>
      </c>
      <c r="H71" s="196">
        <v>8235</v>
      </c>
      <c r="I71" s="196">
        <v>410</v>
      </c>
      <c r="J71" s="196">
        <v>69776</v>
      </c>
      <c r="K71" s="196">
        <v>2437</v>
      </c>
      <c r="L71" s="197"/>
      <c r="M71" s="196">
        <v>281</v>
      </c>
      <c r="N71" s="144">
        <f t="shared" si="0"/>
        <v>0</v>
      </c>
      <c r="O71" s="27">
        <v>2007</v>
      </c>
      <c r="P71" s="27">
        <v>0</v>
      </c>
      <c r="Q71" s="27">
        <v>2</v>
      </c>
      <c r="R71" s="27"/>
      <c r="S71" s="27">
        <v>87</v>
      </c>
      <c r="T71" s="53">
        <v>11885</v>
      </c>
      <c r="U71" s="27"/>
      <c r="V71" s="27">
        <v>29</v>
      </c>
      <c r="W71" s="53">
        <v>8235</v>
      </c>
      <c r="X71" s="27">
        <v>410</v>
      </c>
      <c r="Y71" s="27"/>
      <c r="Z71" s="53">
        <v>69776</v>
      </c>
      <c r="AA71" s="27">
        <v>281</v>
      </c>
      <c r="AB71" s="53">
        <v>90704</v>
      </c>
      <c r="AC71" s="27"/>
      <c r="AD71" s="27">
        <v>403</v>
      </c>
      <c r="AE71" s="27" t="s">
        <v>1777</v>
      </c>
      <c r="AF71" s="27"/>
      <c r="AG71" s="27" t="s">
        <v>1777</v>
      </c>
      <c r="AH71" s="27"/>
      <c r="AI71" s="27" t="s">
        <v>1777</v>
      </c>
      <c r="AJ71" s="27"/>
    </row>
    <row r="72" spans="1:36" x14ac:dyDescent="0.25">
      <c r="A72" s="195" t="s">
        <v>1839</v>
      </c>
      <c r="B72" s="196">
        <v>50</v>
      </c>
      <c r="C72" s="196">
        <v>76</v>
      </c>
      <c r="D72" s="196">
        <v>0</v>
      </c>
      <c r="E72" s="196">
        <v>10882</v>
      </c>
      <c r="F72" s="196">
        <v>5028</v>
      </c>
      <c r="G72" s="196">
        <v>55</v>
      </c>
      <c r="H72" s="196">
        <v>11060</v>
      </c>
      <c r="I72" s="196">
        <v>381</v>
      </c>
      <c r="J72" s="196">
        <v>67214</v>
      </c>
      <c r="K72" s="196">
        <v>1915</v>
      </c>
      <c r="L72" s="197"/>
      <c r="M72" s="196">
        <v>303</v>
      </c>
      <c r="N72" s="144">
        <f t="shared" si="0"/>
        <v>0</v>
      </c>
      <c r="O72" s="27">
        <v>2008</v>
      </c>
      <c r="P72" s="27">
        <v>0</v>
      </c>
      <c r="Q72" s="27">
        <v>2</v>
      </c>
      <c r="R72" s="27"/>
      <c r="S72" s="27">
        <v>50</v>
      </c>
      <c r="T72" s="53">
        <v>10882</v>
      </c>
      <c r="U72" s="27"/>
      <c r="V72" s="27">
        <v>55</v>
      </c>
      <c r="W72" s="53">
        <v>11060</v>
      </c>
      <c r="X72" s="27">
        <v>381</v>
      </c>
      <c r="Y72" s="27"/>
      <c r="Z72" s="53">
        <v>67214</v>
      </c>
      <c r="AA72" s="27">
        <v>303</v>
      </c>
      <c r="AB72" s="53">
        <v>89944</v>
      </c>
      <c r="AC72" s="27"/>
      <c r="AD72" s="27">
        <v>332</v>
      </c>
      <c r="AE72" s="27" t="s">
        <v>1777</v>
      </c>
      <c r="AF72" s="27"/>
      <c r="AG72" s="27" t="s">
        <v>1777</v>
      </c>
      <c r="AH72" s="27"/>
      <c r="AI72" s="27" t="s">
        <v>1777</v>
      </c>
      <c r="AJ72" s="27"/>
    </row>
    <row r="73" spans="1:36" x14ac:dyDescent="0.25">
      <c r="A73" s="195" t="s">
        <v>1840</v>
      </c>
      <c r="B73" s="196">
        <v>97</v>
      </c>
      <c r="C73" s="196">
        <v>80</v>
      </c>
      <c r="D73" s="196">
        <v>0</v>
      </c>
      <c r="E73" s="196">
        <v>10776</v>
      </c>
      <c r="F73" s="196">
        <v>5582</v>
      </c>
      <c r="G73" s="196">
        <v>25</v>
      </c>
      <c r="H73" s="196">
        <v>6205</v>
      </c>
      <c r="I73" s="196">
        <v>343</v>
      </c>
      <c r="J73" s="196">
        <v>65680</v>
      </c>
      <c r="K73" s="196">
        <v>1862</v>
      </c>
      <c r="L73" s="197"/>
      <c r="M73" s="196">
        <v>398</v>
      </c>
      <c r="N73" s="144">
        <f t="shared" si="0"/>
        <v>-122</v>
      </c>
      <c r="O73" s="27">
        <v>2009</v>
      </c>
      <c r="P73" s="27">
        <v>0</v>
      </c>
      <c r="Q73" s="27">
        <v>2</v>
      </c>
      <c r="R73" s="27"/>
      <c r="S73" s="27">
        <v>97</v>
      </c>
      <c r="T73" s="53">
        <v>10898</v>
      </c>
      <c r="U73" s="27"/>
      <c r="V73" s="27">
        <v>25</v>
      </c>
      <c r="W73" s="53">
        <v>6205</v>
      </c>
      <c r="X73" s="27">
        <v>343</v>
      </c>
      <c r="Y73" s="27"/>
      <c r="Z73" s="53">
        <v>65680</v>
      </c>
      <c r="AA73" s="27">
        <v>398</v>
      </c>
      <c r="AB73" s="53">
        <v>83646</v>
      </c>
      <c r="AC73" s="27"/>
      <c r="AD73" s="27">
        <v>356</v>
      </c>
      <c r="AE73" s="27" t="s">
        <v>1777</v>
      </c>
      <c r="AF73" s="27"/>
      <c r="AG73" s="27" t="s">
        <v>1777</v>
      </c>
      <c r="AH73" s="27"/>
      <c r="AI73" s="27" t="s">
        <v>1777</v>
      </c>
      <c r="AJ73" s="27"/>
    </row>
    <row r="74" spans="1:36" x14ac:dyDescent="0.25">
      <c r="A74" s="195" t="s">
        <v>1841</v>
      </c>
      <c r="B74" s="196">
        <v>56</v>
      </c>
      <c r="C74" s="196">
        <v>65</v>
      </c>
      <c r="D74" s="196">
        <v>0</v>
      </c>
      <c r="E74" s="196">
        <v>10939</v>
      </c>
      <c r="F74" s="196">
        <v>6968</v>
      </c>
      <c r="G74" s="196">
        <v>10</v>
      </c>
      <c r="H74" s="196">
        <v>8553</v>
      </c>
      <c r="I74" s="196">
        <v>392</v>
      </c>
      <c r="J74" s="196">
        <v>65653</v>
      </c>
      <c r="K74" s="196">
        <v>4562</v>
      </c>
      <c r="L74" s="197"/>
      <c r="M74" s="196">
        <v>284</v>
      </c>
      <c r="N74" s="144">
        <f t="shared" si="0"/>
        <v>-87</v>
      </c>
      <c r="O74" s="27">
        <v>2010</v>
      </c>
      <c r="P74" s="27">
        <v>0</v>
      </c>
      <c r="Q74" s="27">
        <v>5</v>
      </c>
      <c r="R74" s="27"/>
      <c r="S74" s="27">
        <v>56</v>
      </c>
      <c r="T74" s="53">
        <v>11026</v>
      </c>
      <c r="U74" s="27"/>
      <c r="V74" s="27">
        <v>10</v>
      </c>
      <c r="W74" s="53">
        <v>8553</v>
      </c>
      <c r="X74" s="27">
        <v>392</v>
      </c>
      <c r="Y74" s="27"/>
      <c r="Z74" s="53">
        <v>65653</v>
      </c>
      <c r="AA74" s="27">
        <v>284</v>
      </c>
      <c r="AB74" s="53">
        <v>85975</v>
      </c>
      <c r="AC74" s="27"/>
      <c r="AD74" s="27">
        <v>355</v>
      </c>
      <c r="AE74" s="27" t="s">
        <v>1777</v>
      </c>
      <c r="AF74" s="27"/>
      <c r="AG74" s="27" t="s">
        <v>1777</v>
      </c>
      <c r="AH74" s="27"/>
      <c r="AI74" s="27" t="s">
        <v>1777</v>
      </c>
      <c r="AJ74" s="27"/>
    </row>
    <row r="75" spans="1:36" x14ac:dyDescent="0.25">
      <c r="A75" s="195" t="s">
        <v>1842</v>
      </c>
      <c r="B75" s="196">
        <v>53</v>
      </c>
      <c r="C75" s="196">
        <v>220</v>
      </c>
      <c r="D75" s="196">
        <v>0</v>
      </c>
      <c r="E75" s="196">
        <v>11345</v>
      </c>
      <c r="F75" s="196">
        <v>6708</v>
      </c>
      <c r="G75" s="196">
        <v>11</v>
      </c>
      <c r="H75" s="196">
        <v>8617</v>
      </c>
      <c r="I75" s="196">
        <v>381</v>
      </c>
      <c r="J75" s="196">
        <v>64919</v>
      </c>
      <c r="K75" s="196">
        <v>5417</v>
      </c>
      <c r="L75" s="197"/>
      <c r="M75" s="196">
        <v>210</v>
      </c>
      <c r="N75" s="144">
        <f t="shared" si="0"/>
        <v>-217</v>
      </c>
      <c r="O75" s="27">
        <v>2011</v>
      </c>
      <c r="P75" s="27">
        <v>0</v>
      </c>
      <c r="Q75" s="27">
        <v>5</v>
      </c>
      <c r="R75" s="27"/>
      <c r="S75" s="27">
        <v>53</v>
      </c>
      <c r="T75" s="53">
        <v>11562</v>
      </c>
      <c r="U75" s="27"/>
      <c r="V75" s="27">
        <v>11</v>
      </c>
      <c r="W75" s="53">
        <v>8617</v>
      </c>
      <c r="X75" s="27">
        <v>381</v>
      </c>
      <c r="Y75" s="27"/>
      <c r="Z75" s="53">
        <v>64919</v>
      </c>
      <c r="AA75" s="27">
        <v>210</v>
      </c>
      <c r="AB75" s="53">
        <v>85753</v>
      </c>
      <c r="AC75" s="27"/>
      <c r="AD75" s="27">
        <v>357</v>
      </c>
      <c r="AE75" s="27" t="s">
        <v>1777</v>
      </c>
      <c r="AF75" s="27"/>
      <c r="AG75" s="27" t="s">
        <v>1777</v>
      </c>
      <c r="AH75" s="27"/>
      <c r="AI75" s="27" t="s">
        <v>1777</v>
      </c>
      <c r="AJ75" s="27"/>
    </row>
    <row r="76" spans="1:36" x14ac:dyDescent="0.25">
      <c r="A76" s="195" t="s">
        <v>1843</v>
      </c>
      <c r="B76" s="196">
        <v>50</v>
      </c>
      <c r="C76" s="196">
        <v>212</v>
      </c>
      <c r="D76" s="196">
        <v>0</v>
      </c>
      <c r="E76" s="196">
        <v>10490</v>
      </c>
      <c r="F76" s="196">
        <v>6525</v>
      </c>
      <c r="G76" s="196">
        <v>11</v>
      </c>
      <c r="H76" s="196">
        <v>8567</v>
      </c>
      <c r="I76" s="196">
        <v>346</v>
      </c>
      <c r="J76" s="196">
        <v>64521</v>
      </c>
      <c r="K76" s="196">
        <v>4473</v>
      </c>
      <c r="L76" s="197"/>
      <c r="M76" s="196">
        <v>164</v>
      </c>
      <c r="N76" s="144">
        <f t="shared" si="0"/>
        <v>-212</v>
      </c>
      <c r="O76" s="27">
        <v>2012</v>
      </c>
      <c r="P76" s="27">
        <v>0</v>
      </c>
      <c r="Q76" s="27">
        <v>4</v>
      </c>
      <c r="R76" s="27"/>
      <c r="S76" s="27">
        <v>50</v>
      </c>
      <c r="T76" s="53">
        <v>10702</v>
      </c>
      <c r="U76" s="27"/>
      <c r="V76" s="27">
        <v>11</v>
      </c>
      <c r="W76" s="53">
        <v>8567</v>
      </c>
      <c r="X76" s="27">
        <v>346</v>
      </c>
      <c r="Y76" s="27"/>
      <c r="Z76" s="53">
        <v>64521</v>
      </c>
      <c r="AA76" s="27">
        <v>164</v>
      </c>
      <c r="AB76" s="53">
        <v>84362</v>
      </c>
      <c r="AC76" s="27"/>
      <c r="AD76" s="27">
        <v>350</v>
      </c>
      <c r="AE76" s="27" t="s">
        <v>1777</v>
      </c>
      <c r="AF76" s="27"/>
      <c r="AG76" s="27" t="s">
        <v>1777</v>
      </c>
      <c r="AH76" s="27"/>
      <c r="AI76" s="27" t="s">
        <v>1777</v>
      </c>
      <c r="AJ76" s="27"/>
    </row>
    <row r="77" spans="1:36" x14ac:dyDescent="0.25">
      <c r="A77" s="195" t="s">
        <v>1844</v>
      </c>
      <c r="B77" s="196">
        <v>43</v>
      </c>
      <c r="C77" s="196">
        <v>474</v>
      </c>
      <c r="D77" s="196">
        <v>0</v>
      </c>
      <c r="E77" s="196">
        <v>13460</v>
      </c>
      <c r="F77" s="196">
        <v>6624</v>
      </c>
      <c r="G77" s="196">
        <v>12</v>
      </c>
      <c r="H77" s="196">
        <v>8794</v>
      </c>
      <c r="I77" s="196">
        <v>394</v>
      </c>
      <c r="J77" s="196">
        <v>64309</v>
      </c>
      <c r="K77" s="196">
        <v>3458</v>
      </c>
      <c r="L77" s="197"/>
      <c r="M77" s="196">
        <v>197</v>
      </c>
      <c r="N77" s="144">
        <f t="shared" si="0"/>
        <v>-474</v>
      </c>
      <c r="O77" s="27">
        <v>2013</v>
      </c>
      <c r="P77" s="27">
        <v>0</v>
      </c>
      <c r="Q77" s="27">
        <v>3</v>
      </c>
      <c r="R77" s="27"/>
      <c r="S77" s="27">
        <v>43</v>
      </c>
      <c r="T77" s="53">
        <v>13934</v>
      </c>
      <c r="U77" s="27"/>
      <c r="V77" s="27">
        <v>12</v>
      </c>
      <c r="W77" s="53">
        <v>8794</v>
      </c>
      <c r="X77" s="27">
        <v>394</v>
      </c>
      <c r="Y77" s="27"/>
      <c r="Z77" s="53">
        <v>64309</v>
      </c>
      <c r="AA77" s="27">
        <v>197</v>
      </c>
      <c r="AB77" s="53">
        <v>87685</v>
      </c>
      <c r="AC77" s="27"/>
      <c r="AD77" s="27">
        <v>361</v>
      </c>
      <c r="AE77" s="27" t="s">
        <v>1777</v>
      </c>
      <c r="AF77" s="27"/>
      <c r="AG77" s="27" t="s">
        <v>1777</v>
      </c>
      <c r="AH77" s="27"/>
      <c r="AI77" s="27" t="s">
        <v>1777</v>
      </c>
      <c r="AJ77" s="27"/>
    </row>
    <row r="78" spans="1:36" x14ac:dyDescent="0.25">
      <c r="A78" s="195" t="s">
        <v>1845</v>
      </c>
      <c r="B78" s="196">
        <v>74</v>
      </c>
      <c r="C78" s="196">
        <v>329</v>
      </c>
      <c r="D78" s="196">
        <v>0</v>
      </c>
      <c r="E78" s="196">
        <v>10384</v>
      </c>
      <c r="F78" s="196">
        <v>6588</v>
      </c>
      <c r="G78" s="196">
        <v>16</v>
      </c>
      <c r="H78" s="196">
        <v>9270</v>
      </c>
      <c r="I78" s="196">
        <v>362</v>
      </c>
      <c r="J78" s="196">
        <v>63419</v>
      </c>
      <c r="K78" s="196">
        <v>8529</v>
      </c>
      <c r="L78" s="197"/>
      <c r="M78" s="196">
        <v>94</v>
      </c>
      <c r="N78" s="144">
        <f t="shared" si="0"/>
        <v>-329</v>
      </c>
      <c r="O78" s="27">
        <v>2014</v>
      </c>
      <c r="P78" s="27">
        <v>0</v>
      </c>
      <c r="Q78" s="27">
        <v>9</v>
      </c>
      <c r="R78" s="27"/>
      <c r="S78" s="27">
        <v>74</v>
      </c>
      <c r="T78" s="53">
        <v>10713</v>
      </c>
      <c r="U78" s="27"/>
      <c r="V78" s="27">
        <v>16</v>
      </c>
      <c r="W78" s="53">
        <v>9270</v>
      </c>
      <c r="X78" s="27">
        <v>362</v>
      </c>
      <c r="Y78" s="27"/>
      <c r="Z78" s="53">
        <v>63419</v>
      </c>
      <c r="AA78" s="27">
        <v>94</v>
      </c>
      <c r="AB78" s="53">
        <v>83948</v>
      </c>
      <c r="AC78" s="27"/>
      <c r="AD78" s="27">
        <v>361</v>
      </c>
      <c r="AE78" s="27" t="s">
        <v>1777</v>
      </c>
      <c r="AF78" s="27"/>
      <c r="AG78" s="27" t="s">
        <v>1777</v>
      </c>
      <c r="AH78" s="27"/>
      <c r="AI78" s="27" t="s">
        <v>1777</v>
      </c>
      <c r="AJ78" s="27"/>
    </row>
    <row r="79" spans="1:36" x14ac:dyDescent="0.25">
      <c r="A79" s="195" t="s">
        <v>1846</v>
      </c>
      <c r="B79" s="196">
        <v>71</v>
      </c>
      <c r="C79" s="196">
        <v>343</v>
      </c>
      <c r="D79" s="196">
        <v>0</v>
      </c>
      <c r="E79" s="196">
        <v>11129</v>
      </c>
      <c r="F79" s="196">
        <v>6686</v>
      </c>
      <c r="G79" s="196">
        <v>25</v>
      </c>
      <c r="H79" s="196">
        <v>9808</v>
      </c>
      <c r="I79" s="196">
        <v>404</v>
      </c>
      <c r="J79" s="196">
        <v>64168</v>
      </c>
      <c r="K79" s="196">
        <v>11149</v>
      </c>
      <c r="L79" s="197"/>
      <c r="M79" s="196">
        <v>86</v>
      </c>
      <c r="N79" s="144">
        <f t="shared" si="0"/>
        <v>-343</v>
      </c>
      <c r="O79" s="27">
        <v>2015</v>
      </c>
      <c r="P79" s="27">
        <v>0</v>
      </c>
      <c r="Q79" s="27">
        <v>11</v>
      </c>
      <c r="R79" s="27"/>
      <c r="S79" s="27">
        <v>71</v>
      </c>
      <c r="T79" s="53">
        <v>11472</v>
      </c>
      <c r="U79" s="27"/>
      <c r="V79" s="27">
        <v>25</v>
      </c>
      <c r="W79" s="53">
        <v>9808</v>
      </c>
      <c r="X79" s="27">
        <v>404</v>
      </c>
      <c r="Y79" s="27"/>
      <c r="Z79" s="53">
        <v>64168</v>
      </c>
      <c r="AA79" s="27">
        <v>86</v>
      </c>
      <c r="AB79" s="53">
        <v>86034</v>
      </c>
      <c r="AC79" s="27"/>
      <c r="AD79" s="27">
        <v>353</v>
      </c>
      <c r="AE79" s="27" t="s">
        <v>1777</v>
      </c>
      <c r="AF79" s="27"/>
      <c r="AG79" s="27" t="s">
        <v>1777</v>
      </c>
      <c r="AH79" s="27"/>
      <c r="AI79" s="27" t="s">
        <v>1777</v>
      </c>
      <c r="AJ79" s="27"/>
    </row>
    <row r="80" spans="1:36" x14ac:dyDescent="0.25">
      <c r="A80" s="195" t="s">
        <v>1847</v>
      </c>
      <c r="B80" s="196">
        <v>69</v>
      </c>
      <c r="C80" s="196">
        <v>518</v>
      </c>
      <c r="D80" s="196">
        <v>0</v>
      </c>
      <c r="E80" s="196">
        <v>10968</v>
      </c>
      <c r="F80" s="196">
        <v>6722</v>
      </c>
      <c r="G80" s="196">
        <v>33</v>
      </c>
      <c r="H80" s="196">
        <v>11400</v>
      </c>
      <c r="I80" s="196">
        <v>383</v>
      </c>
      <c r="J80" s="196">
        <v>64895</v>
      </c>
      <c r="K80" s="196">
        <v>8860</v>
      </c>
      <c r="L80" s="197"/>
      <c r="M80" s="196">
        <v>200</v>
      </c>
      <c r="N80" s="144">
        <f t="shared" si="0"/>
        <v>-518</v>
      </c>
      <c r="O80" s="27">
        <v>2016</v>
      </c>
      <c r="P80" s="27">
        <v>0</v>
      </c>
      <c r="Q80" s="27">
        <v>9</v>
      </c>
      <c r="R80" s="27"/>
      <c r="S80" s="27">
        <v>69</v>
      </c>
      <c r="T80" s="53">
        <v>11486</v>
      </c>
      <c r="U80" s="27"/>
      <c r="V80" s="27">
        <v>33</v>
      </c>
      <c r="W80" s="53">
        <v>11400</v>
      </c>
      <c r="X80" s="27">
        <v>383</v>
      </c>
      <c r="Y80" s="54" t="s">
        <v>1778</v>
      </c>
      <c r="Z80" s="53">
        <v>64895</v>
      </c>
      <c r="AA80" s="27">
        <v>200</v>
      </c>
      <c r="AB80" s="53">
        <v>88465</v>
      </c>
      <c r="AC80" s="54" t="s">
        <v>1778</v>
      </c>
      <c r="AD80" s="27">
        <v>342</v>
      </c>
      <c r="AE80" s="27" t="s">
        <v>1777</v>
      </c>
      <c r="AF80" s="27"/>
      <c r="AG80" s="27" t="s">
        <v>1777</v>
      </c>
      <c r="AH80" s="27"/>
      <c r="AI80" s="27" t="s">
        <v>1777</v>
      </c>
      <c r="AJ80" s="27"/>
    </row>
    <row r="81" spans="1:36" x14ac:dyDescent="0.25">
      <c r="A81" s="195" t="s">
        <v>1848</v>
      </c>
      <c r="B81" s="196">
        <v>67</v>
      </c>
      <c r="C81" s="196">
        <v>436</v>
      </c>
      <c r="D81" s="196">
        <v>0</v>
      </c>
      <c r="E81" s="196">
        <v>10151</v>
      </c>
      <c r="F81" s="196">
        <v>6636</v>
      </c>
      <c r="G81" s="196">
        <v>57</v>
      </c>
      <c r="H81" s="196">
        <v>12271</v>
      </c>
      <c r="I81" s="196">
        <v>340</v>
      </c>
      <c r="J81" s="196">
        <v>63757</v>
      </c>
      <c r="K81" s="196">
        <v>8374</v>
      </c>
      <c r="L81" s="197"/>
      <c r="M81" s="196">
        <v>330</v>
      </c>
      <c r="N81" s="144">
        <f t="shared" si="0"/>
        <v>-437</v>
      </c>
      <c r="O81" s="27">
        <v>2017</v>
      </c>
      <c r="P81" s="27">
        <v>0</v>
      </c>
      <c r="Q81" s="27">
        <v>8</v>
      </c>
      <c r="R81" s="27"/>
      <c r="S81" s="27">
        <v>67</v>
      </c>
      <c r="T81" s="53">
        <v>10588</v>
      </c>
      <c r="U81" s="27"/>
      <c r="V81" s="27">
        <v>57</v>
      </c>
      <c r="W81" s="53">
        <v>12271</v>
      </c>
      <c r="X81" s="27">
        <v>340</v>
      </c>
      <c r="Y81" s="27"/>
      <c r="Z81" s="53">
        <v>63757</v>
      </c>
      <c r="AA81" s="27">
        <v>330</v>
      </c>
      <c r="AB81" s="53">
        <v>87410</v>
      </c>
      <c r="AC81" s="54" t="s">
        <v>1778</v>
      </c>
      <c r="AD81" s="27">
        <v>348</v>
      </c>
      <c r="AE81" s="27" t="s">
        <v>1777</v>
      </c>
      <c r="AF81" s="27"/>
      <c r="AG81" s="27" t="s">
        <v>1777</v>
      </c>
      <c r="AH81" s="27"/>
      <c r="AI81" s="27" t="s">
        <v>1777</v>
      </c>
      <c r="AJ81" s="27"/>
    </row>
    <row r="82" spans="1:36" x14ac:dyDescent="0.25">
      <c r="A82" s="195" t="s">
        <v>1849</v>
      </c>
      <c r="B82" s="196">
        <v>77</v>
      </c>
      <c r="C82" s="196">
        <v>387</v>
      </c>
      <c r="D82" s="196">
        <v>0</v>
      </c>
      <c r="E82" s="196">
        <v>10951</v>
      </c>
      <c r="F82" s="196">
        <v>6628</v>
      </c>
      <c r="G82" s="196">
        <v>14</v>
      </c>
      <c r="H82" s="196">
        <v>12650</v>
      </c>
      <c r="I82" s="196">
        <v>329</v>
      </c>
      <c r="J82" s="196">
        <v>64221</v>
      </c>
      <c r="K82" s="196">
        <v>8266</v>
      </c>
      <c r="L82" s="197"/>
      <c r="M82" s="196">
        <v>110</v>
      </c>
      <c r="N82" s="144">
        <f t="shared" si="0"/>
        <v>-388</v>
      </c>
      <c r="O82" s="27">
        <v>2018</v>
      </c>
      <c r="P82" s="27">
        <v>0</v>
      </c>
      <c r="Q82" s="27">
        <v>8</v>
      </c>
      <c r="R82" s="27"/>
      <c r="S82" s="27">
        <v>77</v>
      </c>
      <c r="T82" s="53">
        <v>11339</v>
      </c>
      <c r="U82" s="27"/>
      <c r="V82" s="27">
        <v>14</v>
      </c>
      <c r="W82" s="53">
        <v>12643</v>
      </c>
      <c r="X82" s="27">
        <v>329</v>
      </c>
      <c r="Y82" s="54" t="s">
        <v>1778</v>
      </c>
      <c r="Z82" s="53">
        <v>64221</v>
      </c>
      <c r="AA82" s="27">
        <v>110</v>
      </c>
      <c r="AB82" s="53">
        <v>88734</v>
      </c>
      <c r="AC82" s="54" t="s">
        <v>1778</v>
      </c>
      <c r="AD82" s="27">
        <v>349</v>
      </c>
      <c r="AE82" s="27" t="s">
        <v>1777</v>
      </c>
      <c r="AF82" s="27"/>
      <c r="AG82" s="27" t="s">
        <v>1777</v>
      </c>
      <c r="AH82" s="27"/>
      <c r="AI82" s="27" t="s">
        <v>1777</v>
      </c>
      <c r="AJ82" s="27"/>
    </row>
    <row r="83" spans="1:36" x14ac:dyDescent="0.25">
      <c r="A83" s="195" t="s">
        <v>1850</v>
      </c>
      <c r="B83" s="196">
        <v>77</v>
      </c>
      <c r="C83" s="196">
        <v>325</v>
      </c>
      <c r="D83" s="196">
        <v>0</v>
      </c>
      <c r="E83" s="196">
        <v>10810</v>
      </c>
      <c r="F83" s="196">
        <v>6627</v>
      </c>
      <c r="G83" s="196">
        <v>11</v>
      </c>
      <c r="H83" s="196">
        <v>13646</v>
      </c>
      <c r="I83" s="196">
        <v>311</v>
      </c>
      <c r="J83" s="196">
        <v>63067</v>
      </c>
      <c r="K83" s="196">
        <v>11365</v>
      </c>
      <c r="L83" s="197"/>
      <c r="M83" s="196">
        <v>211</v>
      </c>
      <c r="N83" s="144">
        <f t="shared" si="0"/>
        <v>-325</v>
      </c>
      <c r="O83" s="27">
        <v>2019</v>
      </c>
      <c r="P83" s="27">
        <v>0</v>
      </c>
      <c r="Q83" s="27">
        <v>11</v>
      </c>
      <c r="R83" s="27"/>
      <c r="S83" s="27">
        <v>77</v>
      </c>
      <c r="T83" s="53">
        <v>11135</v>
      </c>
      <c r="U83" s="27"/>
      <c r="V83" s="27">
        <v>11</v>
      </c>
      <c r="W83" s="53">
        <v>13633</v>
      </c>
      <c r="X83" s="27">
        <v>311</v>
      </c>
      <c r="Y83" s="54" t="s">
        <v>1778</v>
      </c>
      <c r="Z83" s="53">
        <v>63067</v>
      </c>
      <c r="AA83" s="27">
        <v>211</v>
      </c>
      <c r="AB83" s="53">
        <v>88446</v>
      </c>
      <c r="AC83" s="54" t="s">
        <v>1778</v>
      </c>
      <c r="AD83" s="27">
        <v>343</v>
      </c>
      <c r="AE83" s="27" t="s">
        <v>1777</v>
      </c>
      <c r="AF83" s="27"/>
      <c r="AG83" s="27" t="s">
        <v>1777</v>
      </c>
      <c r="AH83" s="27"/>
      <c r="AI83" s="27" t="s">
        <v>1777</v>
      </c>
      <c r="AJ83" s="27"/>
    </row>
    <row r="84" spans="1:36" x14ac:dyDescent="0.25">
      <c r="A84" s="195" t="s">
        <v>1851</v>
      </c>
      <c r="B84" s="196">
        <v>63</v>
      </c>
      <c r="C84" s="196">
        <v>352</v>
      </c>
      <c r="D84" s="196">
        <v>0</v>
      </c>
      <c r="E84" s="196">
        <v>10397</v>
      </c>
      <c r="F84" s="196">
        <v>5298</v>
      </c>
      <c r="G84" s="196">
        <v>26</v>
      </c>
      <c r="H84" s="196">
        <v>5610</v>
      </c>
      <c r="I84" s="196">
        <v>257</v>
      </c>
      <c r="J84" s="196">
        <v>49947</v>
      </c>
      <c r="K84" s="196">
        <v>8580</v>
      </c>
      <c r="L84" s="197"/>
      <c r="M84" s="196">
        <v>13</v>
      </c>
      <c r="N84" s="144">
        <f t="shared" si="0"/>
        <v>-353</v>
      </c>
      <c r="O84" s="27">
        <v>2020</v>
      </c>
      <c r="P84" s="27">
        <v>0</v>
      </c>
      <c r="Q84" s="27">
        <v>9</v>
      </c>
      <c r="R84" s="27"/>
      <c r="S84" s="27">
        <v>63</v>
      </c>
      <c r="T84" s="53">
        <v>10750</v>
      </c>
      <c r="U84" s="27"/>
      <c r="V84" s="27">
        <v>26</v>
      </c>
      <c r="W84" s="53">
        <v>5600</v>
      </c>
      <c r="X84" s="27">
        <v>257</v>
      </c>
      <c r="Y84" s="54" t="s">
        <v>1778</v>
      </c>
      <c r="Z84" s="53">
        <v>49947</v>
      </c>
      <c r="AA84" s="27">
        <v>13</v>
      </c>
      <c r="AB84" s="53">
        <v>66655</v>
      </c>
      <c r="AC84" s="54" t="s">
        <v>1778</v>
      </c>
      <c r="AD84" s="27">
        <v>323</v>
      </c>
      <c r="AE84" s="27" t="s">
        <v>1777</v>
      </c>
      <c r="AF84" s="27"/>
      <c r="AG84" s="27" t="s">
        <v>1777</v>
      </c>
      <c r="AH84" s="27"/>
      <c r="AI84" s="27" t="s">
        <v>1777</v>
      </c>
      <c r="AJ84" s="27"/>
    </row>
    <row r="85" spans="1:36" x14ac:dyDescent="0.25">
      <c r="A85" s="195" t="s">
        <v>1852</v>
      </c>
      <c r="B85" s="196">
        <v>71</v>
      </c>
      <c r="C85" s="196">
        <v>276</v>
      </c>
      <c r="D85" s="196">
        <v>0</v>
      </c>
      <c r="E85" s="196">
        <v>10321</v>
      </c>
      <c r="F85" s="196">
        <v>5992</v>
      </c>
      <c r="G85" s="196">
        <v>21</v>
      </c>
      <c r="H85" s="196">
        <v>7648</v>
      </c>
      <c r="I85" s="196">
        <v>276</v>
      </c>
      <c r="J85" s="196">
        <v>56126</v>
      </c>
      <c r="K85" s="196">
        <v>7422</v>
      </c>
      <c r="L85" s="196">
        <v>159</v>
      </c>
      <c r="M85" s="196">
        <v>218</v>
      </c>
      <c r="N85" s="144">
        <f t="shared" si="0"/>
        <v>-117</v>
      </c>
      <c r="O85" s="27">
        <v>2021</v>
      </c>
      <c r="P85" s="27">
        <v>0</v>
      </c>
      <c r="Q85" s="27">
        <v>7</v>
      </c>
      <c r="R85" s="27"/>
      <c r="S85" s="27">
        <v>71</v>
      </c>
      <c r="T85" s="53">
        <v>10438</v>
      </c>
      <c r="U85" s="54" t="s">
        <v>1778</v>
      </c>
      <c r="V85" s="27">
        <v>21</v>
      </c>
      <c r="W85" s="53">
        <v>7643</v>
      </c>
      <c r="X85" s="27">
        <v>276</v>
      </c>
      <c r="Y85" s="54" t="s">
        <v>1778</v>
      </c>
      <c r="Z85" s="53">
        <v>56126</v>
      </c>
      <c r="AA85" s="27">
        <v>218</v>
      </c>
      <c r="AB85" s="53">
        <v>74941</v>
      </c>
      <c r="AC85" s="54" t="s">
        <v>1778</v>
      </c>
      <c r="AD85" s="27">
        <v>315</v>
      </c>
      <c r="AE85" s="27" t="s">
        <v>1777</v>
      </c>
      <c r="AF85" s="27"/>
      <c r="AG85" s="27" t="s">
        <v>1777</v>
      </c>
      <c r="AH85" s="27"/>
      <c r="AI85" s="27" t="s">
        <v>1777</v>
      </c>
      <c r="AJ85" s="27"/>
    </row>
    <row r="86" spans="1:36" x14ac:dyDescent="0.25">
      <c r="A86" s="195" t="s">
        <v>1853</v>
      </c>
      <c r="B86" s="196">
        <v>74</v>
      </c>
      <c r="C86" s="196">
        <v>258</v>
      </c>
      <c r="D86" s="196">
        <v>0</v>
      </c>
      <c r="E86" s="196">
        <v>10471</v>
      </c>
      <c r="F86" s="196">
        <v>5995</v>
      </c>
      <c r="G86" s="196">
        <v>17</v>
      </c>
      <c r="H86" s="196">
        <v>10859</v>
      </c>
      <c r="I86" s="196">
        <v>292</v>
      </c>
      <c r="J86" s="196">
        <v>56023</v>
      </c>
      <c r="K86" s="196">
        <v>8478</v>
      </c>
      <c r="L86" s="196">
        <v>151</v>
      </c>
      <c r="M86" s="196">
        <v>223</v>
      </c>
      <c r="N86" s="144">
        <f t="shared" si="0"/>
        <v>-40</v>
      </c>
      <c r="O86" s="27">
        <v>2022</v>
      </c>
      <c r="P86" s="27">
        <v>0</v>
      </c>
      <c r="Q86" s="27">
        <v>8</v>
      </c>
      <c r="R86" s="27"/>
      <c r="S86" s="27">
        <v>74</v>
      </c>
      <c r="T86" s="53">
        <v>10511</v>
      </c>
      <c r="U86" s="27"/>
      <c r="V86" s="27">
        <v>17</v>
      </c>
      <c r="W86" s="53">
        <v>10848</v>
      </c>
      <c r="X86" s="27">
        <v>291</v>
      </c>
      <c r="Y86" s="27"/>
      <c r="Z86" s="53">
        <v>56023</v>
      </c>
      <c r="AA86" s="27">
        <v>223</v>
      </c>
      <c r="AB86" s="53">
        <v>78112</v>
      </c>
      <c r="AC86" s="27"/>
      <c r="AD86" s="27">
        <v>299</v>
      </c>
      <c r="AE86" s="27" t="s">
        <v>1777</v>
      </c>
    </row>
    <row r="87" spans="1:36" x14ac:dyDescent="0.25">
      <c r="A87" s="195" t="s">
        <v>1854</v>
      </c>
      <c r="B87" s="196">
        <v>70</v>
      </c>
      <c r="C87" s="196">
        <v>349</v>
      </c>
      <c r="D87" s="196">
        <v>0</v>
      </c>
      <c r="E87" s="196">
        <v>10204</v>
      </c>
      <c r="F87" s="196">
        <v>6070</v>
      </c>
      <c r="G87" s="196">
        <v>18</v>
      </c>
      <c r="H87" s="196">
        <v>11768</v>
      </c>
      <c r="I87" s="196">
        <v>214</v>
      </c>
      <c r="J87" s="196">
        <v>56714</v>
      </c>
      <c r="K87" s="196">
        <v>7931</v>
      </c>
      <c r="L87" s="197"/>
      <c r="M87" s="196">
        <v>185</v>
      </c>
      <c r="N87" s="196"/>
    </row>
    <row r="88" spans="1:36" x14ac:dyDescent="0.25">
      <c r="A88" s="195"/>
      <c r="B88" s="196"/>
      <c r="C88" s="196"/>
      <c r="D88" s="199"/>
      <c r="E88" s="196"/>
      <c r="F88" s="196"/>
      <c r="G88" s="196"/>
      <c r="H88" s="196"/>
      <c r="I88" s="196"/>
      <c r="J88" s="196"/>
      <c r="K88" s="196"/>
      <c r="L88" s="196"/>
      <c r="M88" s="196"/>
      <c r="N88" s="196"/>
    </row>
    <row r="89" spans="1:36" x14ac:dyDescent="0.25">
      <c r="A89" s="195"/>
      <c r="B89" s="196"/>
      <c r="C89" s="196"/>
      <c r="D89" s="199"/>
      <c r="E89" s="196"/>
      <c r="F89" s="196"/>
      <c r="G89" s="196"/>
      <c r="H89" s="196"/>
      <c r="I89" s="196"/>
      <c r="J89" s="196"/>
      <c r="K89" s="196"/>
      <c r="L89" s="196"/>
      <c r="M89" s="196"/>
      <c r="N89" s="196"/>
    </row>
    <row r="90" spans="1:36" x14ac:dyDescent="0.25">
      <c r="A90" s="195"/>
      <c r="B90" s="196"/>
      <c r="C90" s="196"/>
      <c r="D90" s="199"/>
      <c r="E90" s="196"/>
      <c r="F90" s="196"/>
      <c r="G90" s="196"/>
      <c r="H90" s="196"/>
      <c r="I90" s="196"/>
      <c r="J90" s="196"/>
      <c r="K90" s="196"/>
      <c r="L90" s="196"/>
      <c r="M90" s="196"/>
      <c r="N90" s="196"/>
    </row>
    <row r="91" spans="1:36" x14ac:dyDescent="0.25">
      <c r="A91" s="195"/>
      <c r="B91" s="196"/>
      <c r="C91" s="196"/>
      <c r="D91" s="199"/>
      <c r="E91" s="196"/>
      <c r="F91" s="196"/>
      <c r="G91" s="196"/>
      <c r="H91" s="196"/>
      <c r="I91" s="196"/>
      <c r="J91" s="196"/>
      <c r="K91" s="196"/>
      <c r="L91" s="196"/>
      <c r="M91" s="196"/>
      <c r="N91" s="196"/>
    </row>
    <row r="92" spans="1:36" x14ac:dyDescent="0.25">
      <c r="A92" s="195"/>
      <c r="B92" s="196"/>
      <c r="C92" s="196"/>
      <c r="D92" s="199"/>
      <c r="E92" s="196"/>
      <c r="F92" s="196"/>
      <c r="G92" s="196"/>
      <c r="H92" s="196"/>
      <c r="I92" s="196"/>
      <c r="J92" s="196"/>
      <c r="K92" s="196"/>
      <c r="L92" s="196"/>
      <c r="M92" s="196"/>
      <c r="N92" s="196"/>
    </row>
    <row r="93" spans="1:36" x14ac:dyDescent="0.25">
      <c r="A93" s="195"/>
      <c r="B93" s="196"/>
      <c r="C93" s="196"/>
      <c r="D93" s="199"/>
      <c r="E93" s="196"/>
      <c r="F93" s="196"/>
      <c r="G93" s="196"/>
      <c r="H93" s="196"/>
      <c r="I93" s="196"/>
      <c r="J93" s="196"/>
      <c r="K93" s="196"/>
      <c r="L93" s="196"/>
      <c r="M93" s="196"/>
      <c r="N93" s="196"/>
    </row>
    <row r="94" spans="1:36" x14ac:dyDescent="0.25">
      <c r="A94" s="195"/>
      <c r="B94" s="196"/>
      <c r="C94" s="196"/>
      <c r="D94" s="199"/>
      <c r="E94" s="196"/>
      <c r="F94" s="196"/>
      <c r="G94" s="196"/>
      <c r="H94" s="196"/>
      <c r="I94" s="196"/>
      <c r="J94" s="196"/>
      <c r="K94" s="196"/>
      <c r="L94" s="196"/>
      <c r="M94" s="196"/>
      <c r="N94" s="196"/>
    </row>
    <row r="95" spans="1:36" x14ac:dyDescent="0.25">
      <c r="A95" s="195"/>
      <c r="B95" s="196"/>
      <c r="C95" s="196"/>
      <c r="D95" s="199"/>
      <c r="E95" s="196"/>
      <c r="F95" s="196"/>
      <c r="G95" s="196"/>
      <c r="H95" s="196"/>
      <c r="I95" s="196"/>
      <c r="J95" s="196"/>
      <c r="K95" s="196"/>
      <c r="L95" s="196"/>
      <c r="M95" s="196"/>
      <c r="N95" s="196"/>
    </row>
    <row r="96" spans="1:36" x14ac:dyDescent="0.25">
      <c r="A96" s="195"/>
      <c r="B96" s="196"/>
      <c r="C96" s="196"/>
      <c r="D96" s="199"/>
      <c r="E96" s="196"/>
      <c r="F96" s="196"/>
      <c r="G96" s="196"/>
      <c r="H96" s="196"/>
      <c r="I96" s="196"/>
      <c r="J96" s="196"/>
      <c r="K96" s="196"/>
      <c r="L96" s="196"/>
      <c r="M96" s="196"/>
      <c r="N96" s="196"/>
    </row>
    <row r="97" spans="1:14" x14ac:dyDescent="0.25">
      <c r="A97" s="195"/>
      <c r="B97" s="196"/>
      <c r="C97" s="196"/>
      <c r="D97" s="199"/>
      <c r="E97" s="196"/>
      <c r="F97" s="196"/>
      <c r="G97" s="196"/>
      <c r="H97" s="196"/>
      <c r="I97" s="196"/>
      <c r="J97" s="196"/>
      <c r="K97" s="196"/>
      <c r="L97" s="196"/>
      <c r="M97" s="196"/>
      <c r="N97" s="196"/>
    </row>
    <row r="98" spans="1:14" x14ac:dyDescent="0.25">
      <c r="A98" s="195"/>
      <c r="B98" s="196"/>
      <c r="C98" s="196"/>
      <c r="D98" s="199"/>
      <c r="E98" s="196"/>
      <c r="F98" s="196"/>
      <c r="G98" s="196"/>
      <c r="H98" s="196"/>
      <c r="I98" s="196"/>
      <c r="J98" s="196"/>
      <c r="K98" s="196"/>
      <c r="L98" s="196"/>
      <c r="M98" s="196"/>
      <c r="N98" s="196"/>
    </row>
    <row r="99" spans="1:14" x14ac:dyDescent="0.25">
      <c r="A99" s="195"/>
      <c r="B99" s="196"/>
      <c r="C99" s="196"/>
      <c r="D99" s="196"/>
      <c r="E99" s="196"/>
      <c r="F99" s="196"/>
      <c r="G99" s="196"/>
      <c r="H99" s="196"/>
      <c r="I99" s="196"/>
      <c r="J99" s="196"/>
      <c r="K99" s="196"/>
      <c r="L99" s="196"/>
      <c r="M99" s="196"/>
      <c r="N99" s="196"/>
    </row>
    <row r="100" spans="1:14" x14ac:dyDescent="0.25">
      <c r="A100" s="195"/>
      <c r="B100" s="196"/>
      <c r="C100" s="196"/>
      <c r="D100" s="196"/>
      <c r="E100" s="196"/>
      <c r="F100" s="196"/>
      <c r="G100" s="196"/>
      <c r="H100" s="196"/>
      <c r="I100" s="196"/>
      <c r="J100" s="196"/>
      <c r="K100" s="196"/>
      <c r="L100" s="196"/>
      <c r="M100" s="196"/>
      <c r="N100" s="196"/>
    </row>
    <row r="101" spans="1:14" x14ac:dyDescent="0.25">
      <c r="A101" s="195"/>
      <c r="B101" s="196"/>
      <c r="C101" s="196"/>
      <c r="D101" s="196"/>
      <c r="E101" s="196"/>
      <c r="F101" s="196"/>
      <c r="G101" s="196"/>
      <c r="H101" s="196"/>
      <c r="I101" s="196"/>
      <c r="J101" s="196"/>
      <c r="K101" s="196"/>
      <c r="L101" s="196"/>
      <c r="M101" s="196"/>
      <c r="N101" s="196"/>
    </row>
    <row r="102" spans="1:14" x14ac:dyDescent="0.25">
      <c r="A102" s="195"/>
      <c r="B102" s="196"/>
      <c r="C102" s="196"/>
      <c r="D102" s="196"/>
      <c r="E102" s="196"/>
      <c r="F102" s="196"/>
      <c r="G102" s="196"/>
      <c r="H102" s="196"/>
      <c r="I102" s="196"/>
      <c r="J102" s="196"/>
      <c r="K102" s="196"/>
      <c r="L102" s="196"/>
      <c r="M102" s="197"/>
      <c r="N102" s="196"/>
    </row>
  </sheetData>
  <mergeCells count="38">
    <mergeCell ref="P15:P21"/>
    <mergeCell ref="S15:AC19"/>
    <mergeCell ref="AD15:AD21"/>
    <mergeCell ref="AI15:AJ23"/>
    <mergeCell ref="T20:U20"/>
    <mergeCell ref="V20:V21"/>
    <mergeCell ref="X20:Y21"/>
    <mergeCell ref="AB20:AC21"/>
    <mergeCell ref="S22:AC23"/>
    <mergeCell ref="AE15:AF15"/>
    <mergeCell ref="AG15:AH15"/>
    <mergeCell ref="Q15:R15"/>
    <mergeCell ref="AE21:AF21"/>
    <mergeCell ref="AE22:AF22"/>
    <mergeCell ref="Q16:R16"/>
    <mergeCell ref="Q17:R17"/>
    <mergeCell ref="O15:O23"/>
    <mergeCell ref="T21:U21"/>
    <mergeCell ref="AE23:AF23"/>
    <mergeCell ref="AG16:AH16"/>
    <mergeCell ref="AG17:AH17"/>
    <mergeCell ref="AG18:AH18"/>
    <mergeCell ref="AG19:AH19"/>
    <mergeCell ref="AG20:AH20"/>
    <mergeCell ref="AG21:AH21"/>
    <mergeCell ref="AG22:AH22"/>
    <mergeCell ref="AG23:AH23"/>
    <mergeCell ref="AE16:AF16"/>
    <mergeCell ref="AE17:AF17"/>
    <mergeCell ref="AE18:AF18"/>
    <mergeCell ref="AE19:AF19"/>
    <mergeCell ref="AE20:AF20"/>
    <mergeCell ref="Q23:R23"/>
    <mergeCell ref="Q18:R18"/>
    <mergeCell ref="Q19:R19"/>
    <mergeCell ref="Q20:R20"/>
    <mergeCell ref="Q21:R21"/>
    <mergeCell ref="Q22:R2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28F73-28B0-439B-A7BB-F7F56CEA34D4}">
  <dimension ref="A1:T72"/>
  <sheetViews>
    <sheetView topLeftCell="A16" workbookViewId="0">
      <selection activeCell="T64" sqref="T64"/>
    </sheetView>
    <sheetView workbookViewId="1"/>
  </sheetViews>
  <sheetFormatPr defaultRowHeight="15" x14ac:dyDescent="0.25"/>
  <cols>
    <col min="2" max="2" width="10.5703125" bestFit="1" customWidth="1"/>
    <col min="3" max="3" width="11.5703125" bestFit="1" customWidth="1"/>
    <col min="4" max="4" width="6.7109375" bestFit="1" customWidth="1"/>
    <col min="5" max="5" width="9.5703125" bestFit="1" customWidth="1"/>
    <col min="6" max="7" width="10.5703125" bestFit="1" customWidth="1"/>
    <col min="8" max="8" width="24" customWidth="1"/>
    <col min="10" max="10" width="12.140625" customWidth="1"/>
    <col min="12" max="12" width="10.28515625" customWidth="1"/>
    <col min="13" max="13" width="12" customWidth="1"/>
    <col min="14" max="14" width="13.140625" customWidth="1"/>
    <col min="15" max="15" width="11.5703125" customWidth="1"/>
    <col min="16" max="16" width="11.42578125" customWidth="1"/>
    <col min="17" max="17" width="11" customWidth="1"/>
  </cols>
  <sheetData>
    <row r="1" spans="1:8" x14ac:dyDescent="0.25">
      <c r="A1" s="87" t="s">
        <v>1751</v>
      </c>
      <c r="B1" s="87" t="s">
        <v>26</v>
      </c>
      <c r="C1" s="87" t="s">
        <v>30</v>
      </c>
      <c r="D1" s="87"/>
      <c r="E1" s="87" t="s">
        <v>38</v>
      </c>
      <c r="F1" s="87" t="s">
        <v>40</v>
      </c>
      <c r="G1" s="87" t="s">
        <v>44</v>
      </c>
      <c r="H1" s="90" t="s">
        <v>1882</v>
      </c>
    </row>
    <row r="2" spans="1:8" x14ac:dyDescent="0.25">
      <c r="A2" s="88" t="s">
        <v>1791</v>
      </c>
      <c r="B2" s="89">
        <v>1163247.2133333331</v>
      </c>
      <c r="C2" s="89">
        <v>14815099.639999997</v>
      </c>
      <c r="D2" s="89"/>
      <c r="E2" s="89">
        <v>152492.08333333331</v>
      </c>
      <c r="F2" s="89">
        <v>2015999.92</v>
      </c>
      <c r="G2" s="89">
        <v>2465129.81</v>
      </c>
      <c r="H2" s="37">
        <f t="shared" ref="H2:H33" si="0">SUM(B2:G2)/1000000</f>
        <v>20.611968666666659</v>
      </c>
    </row>
    <row r="3" spans="1:8" x14ac:dyDescent="0.25">
      <c r="A3" s="88" t="s">
        <v>1792</v>
      </c>
      <c r="B3" s="89">
        <v>918944.17999999993</v>
      </c>
      <c r="C3" s="89">
        <v>15241256.359999998</v>
      </c>
      <c r="D3" s="89"/>
      <c r="E3" s="89">
        <v>135199.16666666666</v>
      </c>
      <c r="F3" s="89">
        <v>1958328.8266666667</v>
      </c>
      <c r="G3" s="89">
        <v>2717669.2399999998</v>
      </c>
      <c r="H3" s="37">
        <f t="shared" si="0"/>
        <v>20.971397773333329</v>
      </c>
    </row>
    <row r="4" spans="1:8" x14ac:dyDescent="0.25">
      <c r="A4" s="88" t="s">
        <v>1793</v>
      </c>
      <c r="B4" s="89">
        <v>877763.03999999992</v>
      </c>
      <c r="C4" s="89">
        <v>15629972.379999997</v>
      </c>
      <c r="D4" s="89"/>
      <c r="E4" s="89">
        <v>163308.01666666663</v>
      </c>
      <c r="F4" s="89">
        <v>1903438.8266666667</v>
      </c>
      <c r="G4" s="89">
        <v>2961584.34</v>
      </c>
      <c r="H4" s="37">
        <f t="shared" si="0"/>
        <v>21.536066603333332</v>
      </c>
    </row>
    <row r="5" spans="1:8" x14ac:dyDescent="0.25">
      <c r="A5" s="88" t="s">
        <v>1794</v>
      </c>
      <c r="B5" s="89">
        <v>634803.91333333333</v>
      </c>
      <c r="C5" s="89">
        <v>14802569.979999997</v>
      </c>
      <c r="D5" s="89"/>
      <c r="E5" s="89">
        <v>168212.91666666666</v>
      </c>
      <c r="F5" s="89">
        <v>1696027.8133333332</v>
      </c>
      <c r="G5" s="89">
        <v>3127457.19</v>
      </c>
      <c r="H5" s="37">
        <f t="shared" si="0"/>
        <v>20.429071813333334</v>
      </c>
    </row>
    <row r="6" spans="1:8" x14ac:dyDescent="0.25">
      <c r="A6" s="88" t="s">
        <v>1795</v>
      </c>
      <c r="B6" s="89">
        <v>601206.24666666659</v>
      </c>
      <c r="C6" s="89">
        <v>14316804.699999997</v>
      </c>
      <c r="D6" s="89"/>
      <c r="E6" s="89">
        <v>168150.03333333333</v>
      </c>
      <c r="F6" s="89">
        <v>1357100.36</v>
      </c>
      <c r="G6" s="89">
        <v>3308673.94</v>
      </c>
      <c r="H6" s="37">
        <f t="shared" si="0"/>
        <v>19.751935279999998</v>
      </c>
    </row>
    <row r="7" spans="1:8" x14ac:dyDescent="0.25">
      <c r="A7" s="88" t="s">
        <v>1796</v>
      </c>
      <c r="B7" s="89">
        <v>494845.6333333333</v>
      </c>
      <c r="C7" s="89">
        <v>16014314.139999997</v>
      </c>
      <c r="D7" s="89"/>
      <c r="E7" s="89">
        <v>187769.6333333333</v>
      </c>
      <c r="F7" s="89">
        <v>1113022.8266666667</v>
      </c>
      <c r="G7" s="89">
        <v>3475922.4499999997</v>
      </c>
      <c r="H7" s="37">
        <f t="shared" si="0"/>
        <v>21.285874683333329</v>
      </c>
    </row>
    <row r="8" spans="1:8" x14ac:dyDescent="0.25">
      <c r="A8" s="88" t="s">
        <v>1797</v>
      </c>
      <c r="B8" s="89">
        <v>444833.10666666663</v>
      </c>
      <c r="C8" s="89">
        <v>14306647.519999998</v>
      </c>
      <c r="D8" s="89"/>
      <c r="E8" s="89">
        <v>164377.03333333333</v>
      </c>
      <c r="F8" s="89">
        <v>790416</v>
      </c>
      <c r="G8" s="89">
        <v>3554705.44</v>
      </c>
      <c r="H8" s="37">
        <f t="shared" si="0"/>
        <v>19.260979099999997</v>
      </c>
    </row>
    <row r="9" spans="1:8" x14ac:dyDescent="0.25">
      <c r="A9" s="88" t="s">
        <v>1798</v>
      </c>
      <c r="B9" s="89">
        <v>397700.37999999995</v>
      </c>
      <c r="C9" s="89">
        <v>15450034.599999998</v>
      </c>
      <c r="D9" s="89"/>
      <c r="E9" s="89">
        <v>164880.09999999998</v>
      </c>
      <c r="F9" s="89">
        <v>678513.58666666667</v>
      </c>
      <c r="G9" s="89">
        <v>3937879.6599999997</v>
      </c>
      <c r="H9" s="37">
        <f t="shared" si="0"/>
        <v>20.629008326666664</v>
      </c>
    </row>
    <row r="10" spans="1:8" x14ac:dyDescent="0.25">
      <c r="A10" s="88" t="s">
        <v>1799</v>
      </c>
      <c r="B10" s="89">
        <v>372838.10666666663</v>
      </c>
      <c r="C10" s="89">
        <v>15901473.059999997</v>
      </c>
      <c r="D10" s="89"/>
      <c r="E10" s="89">
        <v>177079.46666666665</v>
      </c>
      <c r="F10" s="89">
        <v>587176.62666666671</v>
      </c>
      <c r="G10" s="89">
        <v>4011530.38</v>
      </c>
      <c r="H10" s="37">
        <f t="shared" si="0"/>
        <v>21.050097639999997</v>
      </c>
    </row>
    <row r="11" spans="1:8" x14ac:dyDescent="0.25">
      <c r="A11" s="88" t="s">
        <v>1800</v>
      </c>
      <c r="B11" s="89">
        <v>283948.27999999997</v>
      </c>
      <c r="C11" s="89">
        <v>16382419.239999996</v>
      </c>
      <c r="D11" s="89"/>
      <c r="E11" s="89">
        <v>198334.0333333333</v>
      </c>
      <c r="F11" s="89">
        <v>589225.85333333339</v>
      </c>
      <c r="G11" s="89">
        <v>4200630.72</v>
      </c>
      <c r="H11" s="37">
        <f t="shared" si="0"/>
        <v>21.654558126666661</v>
      </c>
    </row>
    <row r="12" spans="1:8" x14ac:dyDescent="0.25">
      <c r="A12" s="88" t="s">
        <v>1801</v>
      </c>
      <c r="B12" s="89">
        <v>235471.64666666664</v>
      </c>
      <c r="C12" s="89">
        <v>16639610.899999997</v>
      </c>
      <c r="D12" s="89"/>
      <c r="E12" s="89">
        <v>189404.59999999998</v>
      </c>
      <c r="F12" s="89">
        <v>595227.16</v>
      </c>
      <c r="G12" s="89">
        <v>4425286.58</v>
      </c>
      <c r="H12" s="37">
        <f t="shared" si="0"/>
        <v>22.085000886666663</v>
      </c>
    </row>
    <row r="13" spans="1:8" x14ac:dyDescent="0.25">
      <c r="A13" s="88" t="s">
        <v>1802</v>
      </c>
      <c r="B13" s="89">
        <v>186995.01333333331</v>
      </c>
      <c r="C13" s="89">
        <v>17323329.979999997</v>
      </c>
      <c r="D13" s="89"/>
      <c r="E13" s="89">
        <v>191291.09999999998</v>
      </c>
      <c r="F13" s="89">
        <v>592226.50666666671</v>
      </c>
      <c r="G13" s="89">
        <v>4467455.8499999996</v>
      </c>
      <c r="H13" s="37">
        <f t="shared" si="0"/>
        <v>22.761298449999995</v>
      </c>
    </row>
    <row r="14" spans="1:8" x14ac:dyDescent="0.25">
      <c r="A14" s="88" t="s">
        <v>1803</v>
      </c>
      <c r="B14" s="89">
        <v>126423.21999999999</v>
      </c>
      <c r="C14" s="89">
        <v>17881752.459999997</v>
      </c>
      <c r="D14" s="89"/>
      <c r="E14" s="89">
        <v>212608.55</v>
      </c>
      <c r="F14" s="89">
        <v>627575.66666666663</v>
      </c>
      <c r="G14" s="89">
        <v>4616132.9499999993</v>
      </c>
      <c r="H14" s="37">
        <f t="shared" si="0"/>
        <v>23.464492846666666</v>
      </c>
    </row>
    <row r="15" spans="1:8" x14ac:dyDescent="0.25">
      <c r="A15" s="88" t="s">
        <v>1804</v>
      </c>
      <c r="B15" s="89">
        <v>114520.04666666666</v>
      </c>
      <c r="C15" s="89">
        <v>17977615.479999997</v>
      </c>
      <c r="D15" s="89"/>
      <c r="E15" s="89">
        <v>195567.16666666666</v>
      </c>
      <c r="F15" s="89">
        <v>431874.52</v>
      </c>
      <c r="G15" s="89">
        <v>4494281.22</v>
      </c>
      <c r="H15" s="37">
        <f t="shared" si="0"/>
        <v>23.213858433333328</v>
      </c>
    </row>
    <row r="16" spans="1:8" x14ac:dyDescent="0.25">
      <c r="A16" s="88" t="s">
        <v>1805</v>
      </c>
      <c r="B16" s="89">
        <v>91961.613333333327</v>
      </c>
      <c r="C16" s="89">
        <v>16879231.379999995</v>
      </c>
      <c r="D16" s="89"/>
      <c r="E16" s="89">
        <v>192045.69999999998</v>
      </c>
      <c r="F16" s="89">
        <v>264130.68</v>
      </c>
      <c r="G16" s="89">
        <v>4566238.8199999994</v>
      </c>
      <c r="H16" s="37">
        <f t="shared" si="0"/>
        <v>21.993608193333326</v>
      </c>
    </row>
    <row r="17" spans="1:20" x14ac:dyDescent="0.25">
      <c r="A17" s="88" t="s">
        <v>1806</v>
      </c>
      <c r="B17" s="89">
        <v>65563.446666666656</v>
      </c>
      <c r="C17" s="89">
        <v>16350316.619999997</v>
      </c>
      <c r="D17" s="89"/>
      <c r="E17" s="89">
        <v>204056.41666666663</v>
      </c>
      <c r="F17" s="89">
        <v>245175.33333333334</v>
      </c>
      <c r="G17" s="89">
        <v>4793063.9899999993</v>
      </c>
      <c r="H17" s="37">
        <f t="shared" si="0"/>
        <v>21.658175806666662</v>
      </c>
    </row>
    <row r="18" spans="1:20" x14ac:dyDescent="0.25">
      <c r="A18" s="88" t="s">
        <v>1807</v>
      </c>
      <c r="B18" s="89">
        <v>60859.773333333331</v>
      </c>
      <c r="C18" s="89">
        <v>17706337.219999995</v>
      </c>
      <c r="D18" s="89"/>
      <c r="E18" s="89">
        <v>215815.59999999998</v>
      </c>
      <c r="F18" s="89">
        <v>267277.70666666667</v>
      </c>
      <c r="G18" s="89">
        <v>5062693.3499999996</v>
      </c>
      <c r="H18" s="37">
        <f t="shared" si="0"/>
        <v>23.31298365</v>
      </c>
    </row>
    <row r="19" spans="1:20" x14ac:dyDescent="0.25">
      <c r="A19" s="88" t="s">
        <v>1808</v>
      </c>
      <c r="B19" s="89">
        <v>58747.92</v>
      </c>
      <c r="C19" s="89">
        <v>17226577.279999997</v>
      </c>
      <c r="D19" s="89"/>
      <c r="E19" s="89">
        <v>238642.24999999997</v>
      </c>
      <c r="F19" s="89">
        <v>278841.2</v>
      </c>
      <c r="G19" s="89">
        <v>4967190.8</v>
      </c>
      <c r="H19" s="37">
        <f t="shared" si="0"/>
        <v>22.76999945</v>
      </c>
    </row>
    <row r="20" spans="1:20" x14ac:dyDescent="0.25">
      <c r="A20" s="88" t="s">
        <v>1809</v>
      </c>
      <c r="B20" s="89">
        <v>34365.613333333327</v>
      </c>
      <c r="C20" s="89">
        <v>16458264.459999997</v>
      </c>
      <c r="D20" s="89"/>
      <c r="E20" s="89">
        <v>229209.74999999997</v>
      </c>
      <c r="F20" s="89">
        <v>189333.90666666668</v>
      </c>
      <c r="G20" s="89">
        <v>4632429.2299999995</v>
      </c>
      <c r="H20" s="37">
        <f t="shared" si="0"/>
        <v>21.543602959999998</v>
      </c>
    </row>
    <row r="21" spans="1:20" x14ac:dyDescent="0.25">
      <c r="A21" s="88" t="s">
        <v>1810</v>
      </c>
      <c r="B21" s="89">
        <v>25054.26</v>
      </c>
      <c r="C21" s="89">
        <v>11346014.899999999</v>
      </c>
      <c r="D21" s="89"/>
      <c r="E21" s="89">
        <v>130985.98333333332</v>
      </c>
      <c r="F21" s="89">
        <v>179673.26666666666</v>
      </c>
      <c r="G21" s="89">
        <v>4317720.55</v>
      </c>
      <c r="H21" s="37">
        <f t="shared" si="0"/>
        <v>15.999448959999997</v>
      </c>
    </row>
    <row r="22" spans="1:20" x14ac:dyDescent="0.25">
      <c r="A22" s="88" t="s">
        <v>1811</v>
      </c>
      <c r="B22" s="89">
        <v>47228.719999999994</v>
      </c>
      <c r="C22" s="89">
        <v>9808351.2999999989</v>
      </c>
      <c r="D22" s="89"/>
      <c r="E22" s="89">
        <v>136959.9</v>
      </c>
      <c r="F22" s="89">
        <v>134004.78666666668</v>
      </c>
      <c r="G22" s="89">
        <v>5078195.9799999995</v>
      </c>
      <c r="H22" s="37">
        <f t="shared" si="0"/>
        <v>15.204740686666668</v>
      </c>
    </row>
    <row r="23" spans="1:20" x14ac:dyDescent="0.25">
      <c r="A23" s="88" t="s">
        <v>1812</v>
      </c>
      <c r="B23" s="89">
        <v>54044.246666666659</v>
      </c>
      <c r="C23" s="89">
        <v>8076959.879999999</v>
      </c>
      <c r="D23" s="89"/>
      <c r="E23" s="89">
        <v>144631.66666666666</v>
      </c>
      <c r="F23" s="89">
        <v>75089.52</v>
      </c>
      <c r="G23" s="89">
        <v>5200312.26</v>
      </c>
      <c r="H23" s="37">
        <f t="shared" si="0"/>
        <v>13.551037573333332</v>
      </c>
    </row>
    <row r="24" spans="1:20" x14ac:dyDescent="0.25">
      <c r="A24" s="88" t="s">
        <v>1813</v>
      </c>
      <c r="B24" s="89">
        <v>61243.746666666659</v>
      </c>
      <c r="C24" s="89">
        <v>7810648.9999999981</v>
      </c>
      <c r="D24" s="89"/>
      <c r="E24" s="89">
        <v>144694.54999999999</v>
      </c>
      <c r="F24" s="89">
        <v>211655.84</v>
      </c>
      <c r="G24" s="89">
        <v>5279201.0699999994</v>
      </c>
      <c r="H24" s="37">
        <f t="shared" si="0"/>
        <v>13.507444206666664</v>
      </c>
    </row>
    <row r="25" spans="1:20" x14ac:dyDescent="0.25">
      <c r="A25" s="88" t="s">
        <v>1814</v>
      </c>
      <c r="B25" s="89">
        <v>51356.433333333327</v>
      </c>
      <c r="C25" s="89">
        <v>7584892.6999999983</v>
      </c>
      <c r="D25" s="89"/>
      <c r="E25" s="89">
        <v>171985.91666666666</v>
      </c>
      <c r="F25" s="89">
        <v>68136.786666666667</v>
      </c>
      <c r="G25" s="89">
        <v>4957349.54</v>
      </c>
      <c r="H25" s="37">
        <f t="shared" si="0"/>
        <v>12.833721376666665</v>
      </c>
    </row>
    <row r="26" spans="1:20" x14ac:dyDescent="0.25">
      <c r="A26" s="88" t="s">
        <v>1815</v>
      </c>
      <c r="B26" s="89">
        <v>98681.146666666653</v>
      </c>
      <c r="C26" s="89">
        <v>8920895.4999999981</v>
      </c>
      <c r="D26" s="89"/>
      <c r="E26" s="89">
        <v>174375.48333333331</v>
      </c>
      <c r="F26" s="89">
        <v>283817.89333333331</v>
      </c>
      <c r="G26" s="89">
        <v>5248301.63</v>
      </c>
      <c r="H26" s="37">
        <f t="shared" si="0"/>
        <v>14.726071653333328</v>
      </c>
      <c r="I26" t="s">
        <v>1894</v>
      </c>
    </row>
    <row r="27" spans="1:20" x14ac:dyDescent="0.25">
      <c r="A27" s="88" t="s">
        <v>1816</v>
      </c>
      <c r="B27" s="89">
        <v>68827.22</v>
      </c>
      <c r="C27" s="89">
        <v>8665038.3599999975</v>
      </c>
      <c r="D27" s="89"/>
      <c r="E27" s="89">
        <v>207200.58333333331</v>
      </c>
      <c r="F27" s="89">
        <v>239466.77333333335</v>
      </c>
      <c r="G27" s="89">
        <v>5298354.4899999993</v>
      </c>
      <c r="H27" s="37">
        <f t="shared" si="0"/>
        <v>14.478887426666665</v>
      </c>
      <c r="I27" t="s">
        <v>1893</v>
      </c>
    </row>
    <row r="28" spans="1:20" x14ac:dyDescent="0.25">
      <c r="A28" s="88" t="s">
        <v>1817</v>
      </c>
      <c r="B28" s="89">
        <v>41757.1</v>
      </c>
      <c r="C28" s="89">
        <v>8902879.4799999986</v>
      </c>
      <c r="D28" s="89"/>
      <c r="E28" s="89">
        <v>230656.06666666665</v>
      </c>
      <c r="F28" s="89">
        <v>207703.76</v>
      </c>
      <c r="G28" s="89">
        <v>5551740.4799999995</v>
      </c>
      <c r="H28" s="37">
        <f t="shared" si="0"/>
        <v>14.934736886666663</v>
      </c>
      <c r="I28" t="s">
        <v>1896</v>
      </c>
    </row>
    <row r="29" spans="1:20" x14ac:dyDescent="0.25">
      <c r="A29" s="88" t="s">
        <v>1818</v>
      </c>
      <c r="B29" s="89">
        <v>31677.799999999996</v>
      </c>
      <c r="C29" s="89">
        <v>9163333.2999999989</v>
      </c>
      <c r="D29" s="89"/>
      <c r="E29" s="89">
        <v>275806.3</v>
      </c>
      <c r="F29" s="89">
        <v>219925.93333333335</v>
      </c>
      <c r="G29" s="89">
        <v>5711951.96</v>
      </c>
      <c r="H29" s="37">
        <f t="shared" si="0"/>
        <v>15.402695293333332</v>
      </c>
      <c r="I29" t="s">
        <v>1895</v>
      </c>
    </row>
    <row r="30" spans="1:20" x14ac:dyDescent="0.25">
      <c r="A30" s="88" t="s">
        <v>1819</v>
      </c>
      <c r="B30" s="89">
        <v>34365.613333333327</v>
      </c>
      <c r="C30" s="89">
        <v>9164593.6799999978</v>
      </c>
      <c r="D30" s="89"/>
      <c r="E30" s="89">
        <v>270964.28333333333</v>
      </c>
      <c r="F30" s="89">
        <v>124270.96</v>
      </c>
      <c r="G30" s="89">
        <v>5920681.9099999992</v>
      </c>
      <c r="H30" s="37">
        <f t="shared" si="0"/>
        <v>15.514876446666666</v>
      </c>
      <c r="I30" t="s">
        <v>1892</v>
      </c>
      <c r="N30" s="255" t="s">
        <v>1897</v>
      </c>
      <c r="O30" s="255"/>
      <c r="P30" s="255"/>
      <c r="Q30" s="255"/>
    </row>
    <row r="31" spans="1:20" x14ac:dyDescent="0.25">
      <c r="A31" s="88" t="s">
        <v>1820</v>
      </c>
      <c r="B31" s="89">
        <v>28702.006666666664</v>
      </c>
      <c r="C31" s="89">
        <v>9856319.879999999</v>
      </c>
      <c r="D31" s="89"/>
      <c r="E31" s="89">
        <v>321899.78333333327</v>
      </c>
      <c r="F31" s="89">
        <v>112121.97333333333</v>
      </c>
      <c r="G31" s="89">
        <v>6124067.9499999993</v>
      </c>
      <c r="H31" s="37">
        <f t="shared" si="0"/>
        <v>16.443111593333331</v>
      </c>
      <c r="I31" t="s">
        <v>1884</v>
      </c>
      <c r="J31" t="s">
        <v>1885</v>
      </c>
      <c r="K31" t="s">
        <v>1886</v>
      </c>
      <c r="L31" t="s">
        <v>1755</v>
      </c>
      <c r="M31" t="s">
        <v>1664</v>
      </c>
      <c r="N31" t="s">
        <v>1885</v>
      </c>
      <c r="O31" t="s">
        <v>1886</v>
      </c>
      <c r="P31" t="s">
        <v>1755</v>
      </c>
      <c r="Q31" t="s">
        <v>1664</v>
      </c>
      <c r="T31" s="1" t="s">
        <v>2008</v>
      </c>
    </row>
    <row r="32" spans="1:20" x14ac:dyDescent="0.25">
      <c r="A32" s="88" t="s">
        <v>1821</v>
      </c>
      <c r="B32" s="89">
        <v>30333.89333333333</v>
      </c>
      <c r="C32" s="89">
        <v>8870332.0199999977</v>
      </c>
      <c r="D32" s="89"/>
      <c r="E32" s="89">
        <v>275554.7666666666</v>
      </c>
      <c r="F32" s="89">
        <v>67551.293333333335</v>
      </c>
      <c r="G32" s="89">
        <v>5850364.5199999996</v>
      </c>
      <c r="H32" s="37">
        <f t="shared" si="0"/>
        <v>15.094136493333329</v>
      </c>
      <c r="I32">
        <v>1990</v>
      </c>
      <c r="J32">
        <v>15.09</v>
      </c>
      <c r="K32">
        <v>0.03</v>
      </c>
      <c r="L32">
        <v>9.2100000000000009</v>
      </c>
      <c r="M32">
        <v>5.85</v>
      </c>
      <c r="N32" s="37">
        <f>J32-H32</f>
        <v>-4.1364933333287723E-3</v>
      </c>
      <c r="O32" s="37">
        <f t="shared" ref="O32:O49" si="1">K32-B31/1000000</f>
        <v>1.2979933333333339E-3</v>
      </c>
      <c r="P32" s="37">
        <f t="shared" ref="P32:P64" si="2">L32-(C32+E32+F32)/1000000</f>
        <v>-3.4380799999969014E-3</v>
      </c>
      <c r="Q32" s="37">
        <f>M32-G32/1000000</f>
        <v>-3.6451999999975726E-4</v>
      </c>
      <c r="R32" s="150">
        <f t="shared" ref="R32:R54" si="3">N32/J32</f>
        <v>-2.7412149326234411E-4</v>
      </c>
      <c r="T32" s="133">
        <f>H32-'G MA CO2 P'!G32</f>
        <v>0.10941166339319075</v>
      </c>
    </row>
    <row r="33" spans="1:20" x14ac:dyDescent="0.25">
      <c r="A33" s="88" t="s">
        <v>1822</v>
      </c>
      <c r="B33" s="89">
        <v>11519.199999999999</v>
      </c>
      <c r="C33" s="89">
        <v>8318359.7199999988</v>
      </c>
      <c r="D33" s="89"/>
      <c r="E33" s="89">
        <v>249332.41666666663</v>
      </c>
      <c r="F33" s="89">
        <v>62574.6</v>
      </c>
      <c r="G33" s="89">
        <v>5663221.8499999996</v>
      </c>
      <c r="H33" s="37">
        <f t="shared" si="0"/>
        <v>14.305007786666666</v>
      </c>
      <c r="I33">
        <v>1991</v>
      </c>
      <c r="J33">
        <v>14.3</v>
      </c>
      <c r="K33">
        <v>0.01</v>
      </c>
      <c r="L33">
        <v>8.61</v>
      </c>
      <c r="M33">
        <v>5.67</v>
      </c>
      <c r="N33" s="37">
        <f t="shared" ref="N33:N64" si="4">J33-H33</f>
        <v>-5.0077866666651261E-3</v>
      </c>
      <c r="O33" s="37">
        <f t="shared" si="1"/>
        <v>-2.0333893333333332E-2</v>
      </c>
      <c r="P33" s="37">
        <f t="shared" si="2"/>
        <v>-2.0266736666664897E-2</v>
      </c>
      <c r="Q33" s="37">
        <f t="shared" ref="Q33:Q64" si="5">M33-G33/1000000</f>
        <v>6.7781500000005934E-3</v>
      </c>
      <c r="R33" s="150">
        <f t="shared" si="3"/>
        <v>-3.5019487179476405E-4</v>
      </c>
      <c r="T33" s="133">
        <f>H33-'G MA CO2 P'!G33</f>
        <v>0.11000044782943519</v>
      </c>
    </row>
    <row r="34" spans="1:20" x14ac:dyDescent="0.25">
      <c r="A34" s="88" t="s">
        <v>1823</v>
      </c>
      <c r="B34" s="89">
        <v>24862.273333333331</v>
      </c>
      <c r="C34" s="89">
        <v>9446548.0999999978</v>
      </c>
      <c r="D34" s="89"/>
      <c r="E34" s="89">
        <v>247320.14999999997</v>
      </c>
      <c r="F34" s="89">
        <v>107657.58666666667</v>
      </c>
      <c r="G34" s="89">
        <v>6580205.0599999996</v>
      </c>
      <c r="H34" s="37">
        <f t="shared" ref="H34:H65" si="6">SUM(B34:G34)/1000000</f>
        <v>16.406593169999997</v>
      </c>
      <c r="I34">
        <v>1992</v>
      </c>
      <c r="J34">
        <v>16.399999999999999</v>
      </c>
      <c r="K34">
        <v>0.03</v>
      </c>
      <c r="L34">
        <v>9.7799999999999994</v>
      </c>
      <c r="M34">
        <v>6.59</v>
      </c>
      <c r="N34" s="37">
        <f t="shared" si="4"/>
        <v>-6.5931699999985938E-3</v>
      </c>
      <c r="O34" s="37">
        <f t="shared" si="1"/>
        <v>1.8480799999999999E-2</v>
      </c>
      <c r="P34" s="37">
        <f t="shared" si="2"/>
        <v>-2.1525836666665299E-2</v>
      </c>
      <c r="Q34" s="37">
        <f t="shared" si="5"/>
        <v>9.7949399999999187E-3</v>
      </c>
      <c r="R34" s="150">
        <f t="shared" si="3"/>
        <v>-4.0202256097552404E-4</v>
      </c>
      <c r="T34" s="133">
        <f>H34-'G MA CO2 P'!G34</f>
        <v>0.13465460899220005</v>
      </c>
    </row>
    <row r="35" spans="1:20" x14ac:dyDescent="0.25">
      <c r="A35" s="88" t="s">
        <v>1824</v>
      </c>
      <c r="B35" s="89">
        <v>18526.713333333333</v>
      </c>
      <c r="C35" s="89">
        <v>9454777.6399999987</v>
      </c>
      <c r="D35" s="89"/>
      <c r="E35" s="89">
        <v>272599.24999999994</v>
      </c>
      <c r="F35" s="89">
        <v>103705.50666666667</v>
      </c>
      <c r="G35" s="89">
        <v>6674437.7699999996</v>
      </c>
      <c r="H35" s="37">
        <f t="shared" si="6"/>
        <v>16.524046879999997</v>
      </c>
      <c r="I35">
        <v>1993</v>
      </c>
      <c r="J35">
        <v>16.52</v>
      </c>
      <c r="K35">
        <v>0.02</v>
      </c>
      <c r="L35">
        <v>9.81</v>
      </c>
      <c r="M35">
        <v>6.69</v>
      </c>
      <c r="N35" s="37">
        <f t="shared" si="4"/>
        <v>-4.0468799999970884E-3</v>
      </c>
      <c r="O35" s="37">
        <f t="shared" si="1"/>
        <v>-4.86227333333333E-3</v>
      </c>
      <c r="P35" s="37">
        <f t="shared" si="2"/>
        <v>-2.1082396666663783E-2</v>
      </c>
      <c r="Q35" s="37">
        <f t="shared" si="5"/>
        <v>1.5562230000000454E-2</v>
      </c>
      <c r="R35" s="150">
        <f t="shared" si="3"/>
        <v>-2.4496852300224506E-4</v>
      </c>
      <c r="T35" s="133">
        <f>H35-'G MA CO2 P'!G35</f>
        <v>0.1369559792570918</v>
      </c>
    </row>
    <row r="36" spans="1:20" x14ac:dyDescent="0.25">
      <c r="A36" s="88" t="s">
        <v>1825</v>
      </c>
      <c r="B36" s="89">
        <v>7967.4466666666658</v>
      </c>
      <c r="C36" s="89">
        <v>9486880.2599999979</v>
      </c>
      <c r="D36" s="89"/>
      <c r="E36" s="89">
        <v>281843.09999999998</v>
      </c>
      <c r="F36" s="89">
        <v>90605.093333333338</v>
      </c>
      <c r="G36" s="89">
        <v>6483538.4899999993</v>
      </c>
      <c r="H36" s="37">
        <f t="shared" si="6"/>
        <v>16.350834389999996</v>
      </c>
      <c r="I36">
        <v>1994</v>
      </c>
      <c r="J36">
        <v>16.34</v>
      </c>
      <c r="K36">
        <v>0.01</v>
      </c>
      <c r="L36">
        <v>9.84</v>
      </c>
      <c r="M36">
        <v>6.5</v>
      </c>
      <c r="N36" s="37">
        <f t="shared" si="4"/>
        <v>-1.0834389999995864E-2</v>
      </c>
      <c r="O36" s="37">
        <f t="shared" si="1"/>
        <v>-8.5267133333333332E-3</v>
      </c>
      <c r="P36" s="37">
        <f t="shared" si="2"/>
        <v>-1.9328453333331552E-2</v>
      </c>
      <c r="Q36" s="37">
        <f t="shared" si="5"/>
        <v>1.6461510000000956E-2</v>
      </c>
      <c r="R36" s="150">
        <f t="shared" si="3"/>
        <v>-6.6305936352483862E-4</v>
      </c>
      <c r="T36" s="133">
        <f>H36-'G MA CO2 P'!G36</f>
        <v>1.5004775687657457E-2</v>
      </c>
    </row>
    <row r="37" spans="1:20" x14ac:dyDescent="0.25">
      <c r="A37" s="88" t="s">
        <v>1826</v>
      </c>
      <c r="B37" s="89">
        <v>8351.42</v>
      </c>
      <c r="C37" s="89">
        <v>8657476.0799999982</v>
      </c>
      <c r="D37" s="89"/>
      <c r="E37" s="89">
        <v>294293.99999999994</v>
      </c>
      <c r="F37" s="89">
        <v>53938.573333333334</v>
      </c>
      <c r="G37" s="89">
        <v>5742216.4799999995</v>
      </c>
      <c r="H37" s="37">
        <f t="shared" si="6"/>
        <v>14.756276553333331</v>
      </c>
      <c r="I37">
        <v>1995</v>
      </c>
      <c r="J37">
        <v>14.75</v>
      </c>
      <c r="K37">
        <v>0.01</v>
      </c>
      <c r="L37">
        <v>8.99</v>
      </c>
      <c r="M37">
        <v>5.76</v>
      </c>
      <c r="N37" s="37">
        <f t="shared" si="4"/>
        <v>-6.2765533333308809E-3</v>
      </c>
      <c r="O37" s="37">
        <f t="shared" si="1"/>
        <v>2.0325533333333343E-3</v>
      </c>
      <c r="P37" s="37">
        <f t="shared" si="2"/>
        <v>-1.5708653333332379E-2</v>
      </c>
      <c r="Q37" s="37">
        <f t="shared" si="5"/>
        <v>1.7783520000000053E-2</v>
      </c>
      <c r="R37" s="150">
        <f t="shared" si="3"/>
        <v>-4.2552903954785632E-4</v>
      </c>
      <c r="T37" s="133">
        <f>H37-'G MA CO2 P'!G37</f>
        <v>2.5872276643545078E-2</v>
      </c>
    </row>
    <row r="38" spans="1:20" x14ac:dyDescent="0.25">
      <c r="A38" s="88" t="s">
        <v>1827</v>
      </c>
      <c r="B38" s="89">
        <v>9407.3466666666664</v>
      </c>
      <c r="C38" s="89">
        <v>7922971.0999999987</v>
      </c>
      <c r="D38" s="89"/>
      <c r="E38" s="89">
        <v>348939.61666666664</v>
      </c>
      <c r="F38" s="89">
        <v>61476.800000000003</v>
      </c>
      <c r="G38" s="89">
        <v>6208353.5799999991</v>
      </c>
      <c r="H38" s="37">
        <f t="shared" si="6"/>
        <v>14.551148443333332</v>
      </c>
      <c r="I38">
        <v>1996</v>
      </c>
      <c r="J38">
        <v>14.55</v>
      </c>
      <c r="K38">
        <v>0.01</v>
      </c>
      <c r="L38">
        <v>8.32</v>
      </c>
      <c r="M38">
        <v>6.22</v>
      </c>
      <c r="N38" s="37">
        <f t="shared" si="4"/>
        <v>-1.148443333331528E-3</v>
      </c>
      <c r="O38" s="37">
        <f t="shared" si="1"/>
        <v>1.6485800000000002E-3</v>
      </c>
      <c r="P38" s="37">
        <f t="shared" si="2"/>
        <v>-1.3387516666664823E-2</v>
      </c>
      <c r="Q38" s="37">
        <f t="shared" si="5"/>
        <v>1.1646420000000823E-2</v>
      </c>
      <c r="R38" s="150">
        <f t="shared" si="3"/>
        <v>-7.8930813287390238E-5</v>
      </c>
      <c r="T38" s="133">
        <f>H38-'G MA CO2 P'!G38</f>
        <v>1.6778659326881495E-2</v>
      </c>
    </row>
    <row r="39" spans="1:20" x14ac:dyDescent="0.25">
      <c r="A39" s="88" t="s">
        <v>1828</v>
      </c>
      <c r="B39" s="89">
        <v>7583.4733333333324</v>
      </c>
      <c r="C39" s="89">
        <v>7910144.879999999</v>
      </c>
      <c r="D39" s="89"/>
      <c r="E39" s="89">
        <v>327559.28333333327</v>
      </c>
      <c r="F39" s="89">
        <v>78675.666666666672</v>
      </c>
      <c r="G39" s="89">
        <v>6057454.2599999998</v>
      </c>
      <c r="H39" s="37">
        <f t="shared" si="6"/>
        <v>14.381417563333333</v>
      </c>
      <c r="I39">
        <v>1997</v>
      </c>
      <c r="J39">
        <v>14.38</v>
      </c>
      <c r="K39">
        <v>0.01</v>
      </c>
      <c r="L39">
        <v>8.3000000000000007</v>
      </c>
      <c r="M39">
        <v>6.07</v>
      </c>
      <c r="N39" s="37">
        <f t="shared" si="4"/>
        <v>-1.4175633333319837E-3</v>
      </c>
      <c r="O39" s="37">
        <f t="shared" si="1"/>
        <v>5.9265333333333343E-4</v>
      </c>
      <c r="P39" s="37">
        <f t="shared" si="2"/>
        <v>-1.6379829999998208E-2</v>
      </c>
      <c r="Q39" s="37">
        <f t="shared" si="5"/>
        <v>1.2545740000000194E-2</v>
      </c>
      <c r="R39" s="150">
        <f t="shared" si="3"/>
        <v>-9.8578813166341002E-5</v>
      </c>
      <c r="T39" s="133">
        <f>H39-'G MA CO2 P'!G39</f>
        <v>-2.3294957689005358E-2</v>
      </c>
    </row>
    <row r="40" spans="1:20" x14ac:dyDescent="0.25">
      <c r="A40" s="88" t="s">
        <v>1829</v>
      </c>
      <c r="B40" s="89">
        <v>7487.48</v>
      </c>
      <c r="C40" s="89">
        <v>7325180.2799999984</v>
      </c>
      <c r="D40" s="89"/>
      <c r="E40" s="89">
        <v>299890.61666666664</v>
      </c>
      <c r="F40" s="89">
        <v>81603.133333333331</v>
      </c>
      <c r="G40" s="89">
        <v>5482375.4699999997</v>
      </c>
      <c r="H40" s="37">
        <f t="shared" si="6"/>
        <v>13.196536979999999</v>
      </c>
      <c r="I40">
        <v>1998</v>
      </c>
      <c r="J40">
        <v>13.19</v>
      </c>
      <c r="K40">
        <v>0.01</v>
      </c>
      <c r="L40">
        <v>7.69</v>
      </c>
      <c r="M40">
        <v>5.49</v>
      </c>
      <c r="N40" s="37">
        <f t="shared" si="4"/>
        <v>-6.5369799999999145E-3</v>
      </c>
      <c r="O40" s="37">
        <f t="shared" si="1"/>
        <v>2.4165266666666676E-3</v>
      </c>
      <c r="P40" s="37">
        <f t="shared" si="2"/>
        <v>-1.6674029999998119E-2</v>
      </c>
      <c r="Q40" s="37">
        <f t="shared" si="5"/>
        <v>7.6245300000001848E-3</v>
      </c>
      <c r="R40" s="150">
        <f t="shared" si="3"/>
        <v>-4.9560121304017548E-4</v>
      </c>
      <c r="T40" s="133">
        <f>H40-'G MA CO2 P'!G40</f>
        <v>-4.3116418762338071E-2</v>
      </c>
    </row>
    <row r="41" spans="1:20" x14ac:dyDescent="0.25">
      <c r="A41" s="88" t="s">
        <v>1830</v>
      </c>
      <c r="B41" s="89">
        <v>11711.186666666666</v>
      </c>
      <c r="C41" s="89">
        <v>7690097.3599999985</v>
      </c>
      <c r="D41" s="89"/>
      <c r="E41" s="89">
        <v>308820.05</v>
      </c>
      <c r="F41" s="89">
        <v>74138.093333333338</v>
      </c>
      <c r="G41" s="89">
        <v>5929782.4299999997</v>
      </c>
      <c r="H41" s="37">
        <f t="shared" si="6"/>
        <v>14.014549119999998</v>
      </c>
      <c r="I41">
        <v>1999</v>
      </c>
      <c r="J41">
        <v>14.01</v>
      </c>
      <c r="K41">
        <v>0.01</v>
      </c>
      <c r="L41">
        <v>8.06</v>
      </c>
      <c r="M41">
        <v>5.94</v>
      </c>
      <c r="N41" s="37">
        <f t="shared" si="4"/>
        <v>-4.5491199999982967E-3</v>
      </c>
      <c r="O41" s="37">
        <f t="shared" si="1"/>
        <v>2.5125200000000007E-3</v>
      </c>
      <c r="P41" s="37">
        <f t="shared" si="2"/>
        <v>-1.3055503333331941E-2</v>
      </c>
      <c r="Q41" s="37">
        <f t="shared" si="5"/>
        <v>1.0217570000000897E-2</v>
      </c>
      <c r="R41" s="150">
        <f t="shared" si="3"/>
        <v>-3.2470521056376136E-4</v>
      </c>
      <c r="T41" s="133">
        <f>H41-'G MA CO2 P'!G41</f>
        <v>0.21160871738688058</v>
      </c>
    </row>
    <row r="42" spans="1:20" x14ac:dyDescent="0.25">
      <c r="A42" s="88" t="s">
        <v>1831</v>
      </c>
      <c r="B42" s="89">
        <v>4607.6799999999994</v>
      </c>
      <c r="C42" s="89">
        <v>8820213.379999999</v>
      </c>
      <c r="D42" s="89"/>
      <c r="E42" s="89">
        <v>382079.1333333333</v>
      </c>
      <c r="F42" s="89">
        <v>79114.786666666667</v>
      </c>
      <c r="G42" s="89">
        <v>6304014.8599999994</v>
      </c>
      <c r="H42" s="37">
        <f t="shared" si="6"/>
        <v>15.590029839999998</v>
      </c>
      <c r="I42">
        <v>2000</v>
      </c>
      <c r="J42">
        <v>15.68</v>
      </c>
      <c r="K42">
        <v>0</v>
      </c>
      <c r="L42">
        <v>9.36</v>
      </c>
      <c r="M42">
        <v>6.32</v>
      </c>
      <c r="N42" s="37">
        <f t="shared" si="4"/>
        <v>8.9970160000001798E-2</v>
      </c>
      <c r="O42" s="37">
        <f t="shared" si="1"/>
        <v>-1.1711186666666666E-2</v>
      </c>
      <c r="P42" s="37">
        <f t="shared" si="2"/>
        <v>7.8592699999999738E-2</v>
      </c>
      <c r="Q42" s="37">
        <f t="shared" si="5"/>
        <v>1.5985140000000619E-2</v>
      </c>
      <c r="R42" s="150">
        <f t="shared" si="3"/>
        <v>5.7378928571429717E-3</v>
      </c>
      <c r="T42" s="133">
        <f>H42-'G MA CO2 P'!G42</f>
        <v>0.12943427095177462</v>
      </c>
    </row>
    <row r="43" spans="1:20" x14ac:dyDescent="0.25">
      <c r="A43" s="88" t="s">
        <v>1832</v>
      </c>
      <c r="B43" s="89">
        <v>4319.7</v>
      </c>
      <c r="C43" s="89">
        <v>9617663.2199999988</v>
      </c>
      <c r="D43" s="89"/>
      <c r="E43" s="89">
        <v>346675.81666666665</v>
      </c>
      <c r="F43" s="89">
        <v>81676.320000000007</v>
      </c>
      <c r="G43" s="89">
        <v>5898089.3399999999</v>
      </c>
      <c r="H43" s="37">
        <f t="shared" si="6"/>
        <v>15.948424396666665</v>
      </c>
      <c r="I43">
        <v>2001</v>
      </c>
      <c r="J43">
        <v>16.03</v>
      </c>
      <c r="K43">
        <v>0</v>
      </c>
      <c r="L43">
        <v>10.11</v>
      </c>
      <c r="M43">
        <v>5.91</v>
      </c>
      <c r="N43" s="37">
        <f t="shared" si="4"/>
        <v>8.1575603333336133E-2</v>
      </c>
      <c r="O43" s="37">
        <f t="shared" si="1"/>
        <v>-4.6076799999999994E-3</v>
      </c>
      <c r="P43" s="37">
        <f t="shared" si="2"/>
        <v>6.3984643333334645E-2</v>
      </c>
      <c r="Q43" s="37">
        <f t="shared" si="5"/>
        <v>1.1910659999999851E-2</v>
      </c>
      <c r="R43" s="150">
        <f t="shared" si="3"/>
        <v>5.0889334580995716E-3</v>
      </c>
      <c r="T43" s="133">
        <f>H43-'G MA CO2 P'!G43</f>
        <v>0.13816941982844178</v>
      </c>
    </row>
    <row r="44" spans="1:20" x14ac:dyDescent="0.25">
      <c r="A44" s="88" t="s">
        <v>1833</v>
      </c>
      <c r="B44" s="89">
        <v>24958.266666666663</v>
      </c>
      <c r="C44" s="89">
        <v>9519798.4199999981</v>
      </c>
      <c r="D44" s="89"/>
      <c r="E44" s="89">
        <v>280585.43333333329</v>
      </c>
      <c r="F44" s="89">
        <v>52767.58666666667</v>
      </c>
      <c r="G44" s="89">
        <v>5984173.9099999992</v>
      </c>
      <c r="H44" s="37">
        <f t="shared" si="6"/>
        <v>15.862283616666664</v>
      </c>
      <c r="I44">
        <v>2002</v>
      </c>
      <c r="J44">
        <v>15.95</v>
      </c>
      <c r="K44">
        <v>0.02</v>
      </c>
      <c r="L44">
        <v>9.92</v>
      </c>
      <c r="M44">
        <v>6</v>
      </c>
      <c r="N44" s="37">
        <f t="shared" si="4"/>
        <v>8.7716383333335202E-2</v>
      </c>
      <c r="O44" s="37">
        <f t="shared" si="1"/>
        <v>1.5680300000000001E-2</v>
      </c>
      <c r="P44" s="37">
        <f t="shared" si="2"/>
        <v>6.6848560000002166E-2</v>
      </c>
      <c r="Q44" s="37">
        <f t="shared" si="5"/>
        <v>1.5826090000000903E-2</v>
      </c>
      <c r="R44" s="150">
        <f t="shared" si="3"/>
        <v>5.4994597701150602E-3</v>
      </c>
      <c r="T44" s="133">
        <f>H44-'G MA CO2 P'!G44</f>
        <v>9.9232248271423629E-2</v>
      </c>
    </row>
    <row r="45" spans="1:20" x14ac:dyDescent="0.25">
      <c r="A45" s="88" t="s">
        <v>1834</v>
      </c>
      <c r="B45" s="89">
        <v>15934.893333333332</v>
      </c>
      <c r="C45" s="89">
        <v>8980281.6399999987</v>
      </c>
      <c r="D45" s="89"/>
      <c r="E45" s="89">
        <v>396982.48333333328</v>
      </c>
      <c r="F45" s="89">
        <v>101143.97333333333</v>
      </c>
      <c r="G45" s="89">
        <v>6847612.1999999993</v>
      </c>
      <c r="H45" s="37">
        <f t="shared" si="6"/>
        <v>16.341955189999997</v>
      </c>
      <c r="I45">
        <v>2003</v>
      </c>
      <c r="J45">
        <v>16.420000000000002</v>
      </c>
      <c r="K45">
        <v>0.02</v>
      </c>
      <c r="L45">
        <v>9.5500000000000007</v>
      </c>
      <c r="M45">
        <v>6.86</v>
      </c>
      <c r="N45" s="37">
        <f t="shared" si="4"/>
        <v>7.8044810000005072E-2</v>
      </c>
      <c r="O45" s="37">
        <f t="shared" si="1"/>
        <v>-4.9582666666666622E-3</v>
      </c>
      <c r="P45" s="37">
        <f t="shared" si="2"/>
        <v>7.1591903333336759E-2</v>
      </c>
      <c r="Q45" s="37">
        <f t="shared" si="5"/>
        <v>1.2387800000000837E-2</v>
      </c>
      <c r="R45" s="150">
        <f t="shared" si="3"/>
        <v>4.7530334957372146E-3</v>
      </c>
      <c r="T45" s="133">
        <f>H45-'G MA CO2 P'!G45</f>
        <v>3.8749382427873513E-2</v>
      </c>
    </row>
    <row r="46" spans="1:20" x14ac:dyDescent="0.25">
      <c r="A46" s="88" t="s">
        <v>1835</v>
      </c>
      <c r="B46" s="89">
        <v>8255.4266666666663</v>
      </c>
      <c r="C46" s="89">
        <v>8340824.1399999987</v>
      </c>
      <c r="D46" s="89"/>
      <c r="E46" s="89">
        <v>336048.53333333327</v>
      </c>
      <c r="F46" s="89">
        <v>115927.68000000001</v>
      </c>
      <c r="G46" s="89">
        <v>6136501.7999999998</v>
      </c>
      <c r="H46" s="37">
        <f t="shared" si="6"/>
        <v>14.937557579999998</v>
      </c>
      <c r="I46">
        <v>2004</v>
      </c>
      <c r="J46">
        <v>15.02</v>
      </c>
      <c r="K46">
        <v>0.01</v>
      </c>
      <c r="L46">
        <v>8.86</v>
      </c>
      <c r="M46">
        <v>6.15</v>
      </c>
      <c r="N46" s="37">
        <f t="shared" si="4"/>
        <v>8.2442420000001349E-2</v>
      </c>
      <c r="O46" s="37">
        <f t="shared" si="1"/>
        <v>-5.9348933333333315E-3</v>
      </c>
      <c r="P46" s="37">
        <f t="shared" si="2"/>
        <v>6.7199646666667334E-2</v>
      </c>
      <c r="Q46" s="37">
        <f t="shared" si="5"/>
        <v>1.3498200000000793E-2</v>
      </c>
      <c r="R46" s="150">
        <f t="shared" si="3"/>
        <v>5.4888428761652027E-3</v>
      </c>
      <c r="T46" s="133">
        <f>H46-'G MA CO2 P'!G46</f>
        <v>3.1658108893545034E-2</v>
      </c>
    </row>
    <row r="47" spans="1:20" x14ac:dyDescent="0.25">
      <c r="A47" s="88" t="s">
        <v>1836</v>
      </c>
      <c r="B47" s="89">
        <v>8255.4266666666663</v>
      </c>
      <c r="C47" s="89">
        <v>7947585.5799999982</v>
      </c>
      <c r="D47" s="89"/>
      <c r="E47" s="89">
        <v>410062.21666666662</v>
      </c>
      <c r="F47" s="89">
        <v>124124.58666666667</v>
      </c>
      <c r="G47" s="89">
        <v>6368035.96</v>
      </c>
      <c r="H47" s="37">
        <f t="shared" si="6"/>
        <v>14.858063769999999</v>
      </c>
      <c r="I47">
        <v>2005</v>
      </c>
      <c r="J47">
        <v>14.93</v>
      </c>
      <c r="K47">
        <v>0.01</v>
      </c>
      <c r="L47">
        <v>8.5399999999999991</v>
      </c>
      <c r="M47">
        <v>6.38</v>
      </c>
      <c r="N47" s="37">
        <f t="shared" si="4"/>
        <v>7.1936230000000378E-2</v>
      </c>
      <c r="O47" s="37">
        <f t="shared" si="1"/>
        <v>1.7445733333333342E-3</v>
      </c>
      <c r="P47" s="37">
        <f t="shared" si="2"/>
        <v>5.8227616666668425E-2</v>
      </c>
      <c r="Q47" s="37">
        <f t="shared" si="5"/>
        <v>1.1964039999999621E-2</v>
      </c>
      <c r="R47" s="150">
        <f t="shared" si="3"/>
        <v>4.8182337575351898E-3</v>
      </c>
      <c r="T47" s="133">
        <f>H47-'G MA CO2 P'!G47</f>
        <v>-6.009582296233873E-2</v>
      </c>
    </row>
    <row r="48" spans="1:20" x14ac:dyDescent="0.25">
      <c r="A48" s="88" t="s">
        <v>1837</v>
      </c>
      <c r="B48" s="89">
        <v>3455.7599999999998</v>
      </c>
      <c r="C48" s="89">
        <v>6731096.459999999</v>
      </c>
      <c r="D48" s="89"/>
      <c r="E48" s="89">
        <v>419117.41666666663</v>
      </c>
      <c r="F48" s="89">
        <v>98802</v>
      </c>
      <c r="G48" s="89">
        <v>5549941.54</v>
      </c>
      <c r="H48" s="37">
        <f t="shared" si="6"/>
        <v>12.802413176666667</v>
      </c>
      <c r="I48">
        <v>2006</v>
      </c>
      <c r="J48">
        <v>12.85</v>
      </c>
      <c r="K48">
        <v>0</v>
      </c>
      <c r="L48">
        <v>7.28</v>
      </c>
      <c r="M48">
        <v>5.56</v>
      </c>
      <c r="N48" s="37">
        <f t="shared" si="4"/>
        <v>4.7586823333332973E-2</v>
      </c>
      <c r="O48" s="37">
        <f t="shared" si="1"/>
        <v>-8.2554266666666661E-3</v>
      </c>
      <c r="P48" s="37">
        <f t="shared" si="2"/>
        <v>3.0984123333333891E-2</v>
      </c>
      <c r="Q48" s="37">
        <f t="shared" si="5"/>
        <v>1.0058459999999769E-2</v>
      </c>
      <c r="R48" s="150">
        <f t="shared" si="3"/>
        <v>3.7032547341115155E-3</v>
      </c>
      <c r="T48" s="133">
        <f>H48-'G MA CO2 P'!G48</f>
        <v>-0.10242109028411051</v>
      </c>
    </row>
    <row r="49" spans="1:20" x14ac:dyDescent="0.25">
      <c r="A49" s="88" t="s">
        <v>1838</v>
      </c>
      <c r="B49" s="89">
        <v>5567.6133333333328</v>
      </c>
      <c r="C49" s="89">
        <v>6810500.3999999985</v>
      </c>
      <c r="D49" s="89"/>
      <c r="E49" s="89">
        <v>433329.04999999993</v>
      </c>
      <c r="F49" s="89">
        <v>67038.986666666664</v>
      </c>
      <c r="G49" s="89">
        <v>6190311.2699999996</v>
      </c>
      <c r="H49" s="37">
        <f t="shared" si="6"/>
        <v>13.506747319999997</v>
      </c>
      <c r="I49">
        <v>2007</v>
      </c>
      <c r="J49">
        <v>13.52</v>
      </c>
      <c r="K49">
        <v>0.01</v>
      </c>
      <c r="L49">
        <v>7.31</v>
      </c>
      <c r="M49">
        <v>6.21</v>
      </c>
      <c r="N49" s="37">
        <f t="shared" si="4"/>
        <v>1.325268000000257E-2</v>
      </c>
      <c r="O49" s="37">
        <f t="shared" si="1"/>
        <v>6.5442400000000006E-3</v>
      </c>
      <c r="P49" s="37">
        <f t="shared" si="2"/>
        <v>-8.6843666666513997E-4</v>
      </c>
      <c r="Q49" s="37">
        <f t="shared" si="5"/>
        <v>1.9688730000000376E-2</v>
      </c>
      <c r="R49" s="150">
        <f t="shared" si="3"/>
        <v>9.802278106510777E-4</v>
      </c>
      <c r="T49" s="133">
        <f>H49-'G MA CO2 P'!G49</f>
        <v>-0.10211102163489194</v>
      </c>
    </row>
    <row r="50" spans="1:20" x14ac:dyDescent="0.25">
      <c r="A50" s="88" t="s">
        <v>1839</v>
      </c>
      <c r="B50" s="89">
        <v>0</v>
      </c>
      <c r="C50" s="89">
        <v>6767573.3399999989</v>
      </c>
      <c r="D50" s="89"/>
      <c r="E50" s="89">
        <v>463764.58333333326</v>
      </c>
      <c r="F50" s="89">
        <v>26054.453333333335</v>
      </c>
      <c r="G50" s="89">
        <v>7118352.6699999999</v>
      </c>
      <c r="H50" s="37">
        <f t="shared" si="6"/>
        <v>14.375745046666665</v>
      </c>
      <c r="I50">
        <v>2008</v>
      </c>
      <c r="J50">
        <v>14.4</v>
      </c>
      <c r="K50" t="s">
        <v>1887</v>
      </c>
      <c r="L50">
        <v>7.26</v>
      </c>
      <c r="M50">
        <v>7.14</v>
      </c>
      <c r="N50" s="37">
        <f t="shared" si="4"/>
        <v>2.4254953333334939E-2</v>
      </c>
      <c r="O50" s="63"/>
      <c r="P50" s="37">
        <f t="shared" si="2"/>
        <v>2.60762333333453E-3</v>
      </c>
      <c r="Q50" s="37">
        <f t="shared" si="5"/>
        <v>2.1647329999999521E-2</v>
      </c>
      <c r="R50" s="150">
        <f t="shared" si="3"/>
        <v>1.6843717592593707E-3</v>
      </c>
      <c r="T50" s="133">
        <f>H50-'G MA CO2 P'!G50</f>
        <v>-0.15052964285333204</v>
      </c>
    </row>
    <row r="51" spans="1:20" x14ac:dyDescent="0.25">
      <c r="A51" s="88" t="s">
        <v>1840</v>
      </c>
      <c r="B51" s="89">
        <v>0</v>
      </c>
      <c r="C51" s="89">
        <v>6114622.3599999985</v>
      </c>
      <c r="D51" s="89"/>
      <c r="E51" s="89">
        <v>433454.81666666659</v>
      </c>
      <c r="F51" s="89">
        <v>41204.093333333331</v>
      </c>
      <c r="G51" s="89">
        <v>7246130.3199999994</v>
      </c>
      <c r="H51" s="37">
        <f t="shared" si="6"/>
        <v>13.835411589999998</v>
      </c>
      <c r="I51">
        <v>2009</v>
      </c>
      <c r="J51">
        <v>13.85</v>
      </c>
      <c r="K51" t="s">
        <v>1888</v>
      </c>
      <c r="L51">
        <v>6.59</v>
      </c>
      <c r="M51">
        <v>7.27</v>
      </c>
      <c r="N51" s="37">
        <f t="shared" si="4"/>
        <v>1.4588410000001772E-2</v>
      </c>
      <c r="O51" s="63"/>
      <c r="P51" s="37">
        <f t="shared" si="2"/>
        <v>7.1873000000088894E-4</v>
      </c>
      <c r="Q51" s="37">
        <f t="shared" si="5"/>
        <v>2.3869679999999782E-2</v>
      </c>
      <c r="R51" s="150">
        <f t="shared" si="3"/>
        <v>1.0533148014441713E-3</v>
      </c>
      <c r="T51" s="133">
        <f>H51-'G MA CO2 P'!G51</f>
        <v>-3.0273783063334392E-2</v>
      </c>
    </row>
    <row r="52" spans="1:20" x14ac:dyDescent="0.25">
      <c r="A52" s="88" t="s">
        <v>1841</v>
      </c>
      <c r="B52" s="89">
        <v>0</v>
      </c>
      <c r="C52" s="89">
        <v>6248222.6399999987</v>
      </c>
      <c r="D52" s="89"/>
      <c r="E52" s="89">
        <v>406855.16666666663</v>
      </c>
      <c r="F52" s="89">
        <v>41643.213333333333</v>
      </c>
      <c r="G52" s="89">
        <v>6868352.9199999999</v>
      </c>
      <c r="H52" s="37">
        <f t="shared" si="6"/>
        <v>13.565073939999998</v>
      </c>
      <c r="I52">
        <v>2010</v>
      </c>
      <c r="J52">
        <v>13.59</v>
      </c>
      <c r="K52" t="s">
        <v>1889</v>
      </c>
      <c r="L52">
        <v>6.7</v>
      </c>
      <c r="M52">
        <v>6.89</v>
      </c>
      <c r="N52" s="37">
        <f t="shared" si="4"/>
        <v>2.4926060000002082E-2</v>
      </c>
      <c r="O52" s="63"/>
      <c r="P52" s="37">
        <f t="shared" si="2"/>
        <v>3.2789800000019298E-3</v>
      </c>
      <c r="Q52" s="37">
        <f t="shared" si="5"/>
        <v>2.1647080000000152E-2</v>
      </c>
      <c r="R52" s="150">
        <f t="shared" si="3"/>
        <v>1.8341471670347373E-3</v>
      </c>
      <c r="T52" s="133">
        <f>H52-'G MA CO2 P'!G52</f>
        <v>-1.0960029336667176E-2</v>
      </c>
    </row>
    <row r="53" spans="1:20" x14ac:dyDescent="0.25">
      <c r="A53" s="88" t="s">
        <v>1842</v>
      </c>
      <c r="B53" s="89">
        <v>0</v>
      </c>
      <c r="C53" s="89">
        <v>6078738.5999999987</v>
      </c>
      <c r="D53" s="89"/>
      <c r="E53" s="89">
        <v>480491.54999999993</v>
      </c>
      <c r="F53" s="89">
        <v>25542.146666666667</v>
      </c>
      <c r="G53" s="89">
        <v>7033432.1199999992</v>
      </c>
      <c r="H53" s="37">
        <f t="shared" si="6"/>
        <v>13.618204416666664</v>
      </c>
      <c r="I53">
        <v>2011</v>
      </c>
      <c r="J53">
        <v>13.62</v>
      </c>
      <c r="K53" t="s">
        <v>1889</v>
      </c>
      <c r="L53">
        <v>6.57</v>
      </c>
      <c r="M53">
        <v>7.06</v>
      </c>
      <c r="N53" s="37">
        <f t="shared" si="4"/>
        <v>1.7955833333349602E-3</v>
      </c>
      <c r="O53" s="63"/>
      <c r="P53" s="37">
        <f t="shared" si="2"/>
        <v>-1.4772296666664353E-2</v>
      </c>
      <c r="Q53" s="37">
        <f t="shared" si="5"/>
        <v>2.6567879999999988E-2</v>
      </c>
      <c r="R53" s="150">
        <f t="shared" si="3"/>
        <v>1.3183431228597358E-4</v>
      </c>
      <c r="T53" s="133">
        <f>H53-'G MA CO2 P'!G53</f>
        <v>-4.9799988003334406E-2</v>
      </c>
    </row>
    <row r="54" spans="1:20" x14ac:dyDescent="0.25">
      <c r="A54" s="88" t="s">
        <v>1843</v>
      </c>
      <c r="B54" s="89">
        <v>0</v>
      </c>
      <c r="C54" s="89">
        <v>5097273.2799999993</v>
      </c>
      <c r="D54" s="89"/>
      <c r="E54" s="89">
        <v>375916.56666666659</v>
      </c>
      <c r="F54" s="89">
        <v>12075.8</v>
      </c>
      <c r="G54" s="89">
        <v>6307930.1999999993</v>
      </c>
      <c r="H54" s="37">
        <f t="shared" si="6"/>
        <v>11.793195846666665</v>
      </c>
      <c r="I54">
        <v>2012</v>
      </c>
      <c r="J54">
        <v>11.8</v>
      </c>
      <c r="K54" t="s">
        <v>1887</v>
      </c>
      <c r="L54">
        <v>5.47</v>
      </c>
      <c r="M54">
        <v>6.33</v>
      </c>
      <c r="N54" s="37">
        <f t="shared" si="4"/>
        <v>6.8041533333360604E-3</v>
      </c>
      <c r="O54" s="63"/>
      <c r="P54" s="37">
        <f t="shared" si="2"/>
        <v>-1.5265646666665411E-2</v>
      </c>
      <c r="Q54" s="37">
        <f t="shared" si="5"/>
        <v>2.2069800000000583E-2</v>
      </c>
      <c r="R54" s="150">
        <f t="shared" si="3"/>
        <v>5.7662316384203896E-4</v>
      </c>
      <c r="T54" s="133">
        <f>H54-'G MA CO2 P'!G54</f>
        <v>-1.5442642600000056E-2</v>
      </c>
    </row>
    <row r="55" spans="1:20" x14ac:dyDescent="0.25">
      <c r="A55" s="88" t="s">
        <v>1844</v>
      </c>
      <c r="B55" s="89">
        <v>0</v>
      </c>
      <c r="C55" s="89">
        <v>5503263.919999999</v>
      </c>
      <c r="D55" s="89"/>
      <c r="E55" s="89">
        <v>450244.66666666663</v>
      </c>
      <c r="F55" s="89">
        <v>12441.733333333334</v>
      </c>
      <c r="G55" s="89">
        <v>6385443.3499999996</v>
      </c>
      <c r="H55" s="37">
        <f t="shared" si="6"/>
        <v>12.351393669999998</v>
      </c>
      <c r="I55">
        <v>2013</v>
      </c>
      <c r="J55">
        <v>12.28</v>
      </c>
      <c r="K55" t="s">
        <v>1890</v>
      </c>
      <c r="L55">
        <v>5.88</v>
      </c>
      <c r="M55">
        <v>6.4</v>
      </c>
      <c r="N55" s="105">
        <f t="shared" si="4"/>
        <v>-7.1393669999999076E-2</v>
      </c>
      <c r="O55" s="63"/>
      <c r="P55" s="37">
        <f t="shared" si="2"/>
        <v>-8.5950319999999358E-2</v>
      </c>
      <c r="Q55" s="37">
        <f t="shared" si="5"/>
        <v>1.455665000000117E-2</v>
      </c>
      <c r="R55" s="150">
        <f>N55/J55</f>
        <v>-5.813816775244225E-3</v>
      </c>
      <c r="T55" s="133">
        <f>H55-'G MA CO2 P'!G55</f>
        <v>-1.6952918253334559E-2</v>
      </c>
    </row>
    <row r="56" spans="1:20" x14ac:dyDescent="0.25">
      <c r="A56" s="88" t="s">
        <v>1845</v>
      </c>
      <c r="B56" s="89">
        <v>0</v>
      </c>
      <c r="C56" s="89">
        <v>6242291.4399999985</v>
      </c>
      <c r="D56" s="89"/>
      <c r="E56" s="89">
        <v>511241.49999999994</v>
      </c>
      <c r="F56" s="89">
        <v>21736.44</v>
      </c>
      <c r="G56" s="89">
        <v>6874966.6699999999</v>
      </c>
      <c r="H56" s="37">
        <f t="shared" si="6"/>
        <v>13.650236049999998</v>
      </c>
      <c r="I56">
        <v>2014</v>
      </c>
      <c r="J56">
        <v>13.58</v>
      </c>
      <c r="K56" t="s">
        <v>1889</v>
      </c>
      <c r="L56">
        <v>6.7</v>
      </c>
      <c r="M56">
        <v>6.88</v>
      </c>
      <c r="N56" s="105">
        <f t="shared" si="4"/>
        <v>-7.0236049999998329E-2</v>
      </c>
      <c r="O56" s="63"/>
      <c r="P56" s="37">
        <f t="shared" si="2"/>
        <v>-7.5269379999999053E-2</v>
      </c>
      <c r="Q56" s="37">
        <f t="shared" si="5"/>
        <v>5.033329999999836E-3</v>
      </c>
      <c r="R56" s="150">
        <f t="shared" ref="R56:R64" si="7">N56/J56</f>
        <v>-5.1720213549336031E-3</v>
      </c>
      <c r="T56" s="133">
        <f>H56-'G MA CO2 P'!G56</f>
        <v>-7.7631603536664429E-2</v>
      </c>
    </row>
    <row r="57" spans="1:20" x14ac:dyDescent="0.25">
      <c r="A57" s="88" t="s">
        <v>1846</v>
      </c>
      <c r="B57" s="89">
        <v>0</v>
      </c>
      <c r="C57" s="89">
        <v>6191134.8399999989</v>
      </c>
      <c r="D57" s="89"/>
      <c r="E57" s="89">
        <v>478039.09999999992</v>
      </c>
      <c r="F57" s="89">
        <v>18369.853333333333</v>
      </c>
      <c r="G57" s="89">
        <v>6898035.4299999997</v>
      </c>
      <c r="H57" s="37">
        <f t="shared" si="6"/>
        <v>13.585579223333333</v>
      </c>
      <c r="I57">
        <v>2015</v>
      </c>
      <c r="J57">
        <v>13.49</v>
      </c>
      <c r="K57" t="s">
        <v>1888</v>
      </c>
      <c r="L57">
        <v>6.59</v>
      </c>
      <c r="M57">
        <v>6.9</v>
      </c>
      <c r="N57" s="105">
        <f t="shared" si="4"/>
        <v>-9.5579223333333019E-2</v>
      </c>
      <c r="O57" s="63"/>
      <c r="P57" s="37">
        <f t="shared" si="2"/>
        <v>-9.7543793333332296E-2</v>
      </c>
      <c r="Q57" s="37">
        <f t="shared" si="5"/>
        <v>1.9645700000010535E-3</v>
      </c>
      <c r="R57" s="150">
        <f t="shared" si="7"/>
        <v>-7.0851907585865841E-3</v>
      </c>
      <c r="T57" s="133">
        <f>H57-'G MA CO2 P'!G57</f>
        <v>-4.1574578503333015E-2</v>
      </c>
    </row>
    <row r="58" spans="1:20" x14ac:dyDescent="0.25">
      <c r="A58" s="88" t="s">
        <v>1847</v>
      </c>
      <c r="B58" s="89">
        <v>0</v>
      </c>
      <c r="C58" s="89">
        <v>4807089.3199999994</v>
      </c>
      <c r="D58" s="89"/>
      <c r="E58" s="89">
        <v>474832.04999999993</v>
      </c>
      <c r="F58" s="89">
        <v>21663.253333333334</v>
      </c>
      <c r="G58" s="89">
        <v>6109464.79</v>
      </c>
      <c r="H58" s="37">
        <f t="shared" si="6"/>
        <v>11.413049413333333</v>
      </c>
      <c r="I58">
        <v>2016</v>
      </c>
      <c r="J58">
        <v>11.27</v>
      </c>
      <c r="K58" t="s">
        <v>1891</v>
      </c>
      <c r="L58">
        <v>5.16</v>
      </c>
      <c r="M58">
        <v>6.11</v>
      </c>
      <c r="N58" s="105">
        <f t="shared" si="4"/>
        <v>-0.14304941333333332</v>
      </c>
      <c r="O58" s="63"/>
      <c r="P58" s="37">
        <f t="shared" si="2"/>
        <v>-0.14358462333333222</v>
      </c>
      <c r="Q58" s="37">
        <f t="shared" si="5"/>
        <v>5.3521000000067431E-4</v>
      </c>
      <c r="R58" s="150">
        <f t="shared" si="7"/>
        <v>-1.269293818396924E-2</v>
      </c>
      <c r="T58" s="133">
        <f>H58-'G MA CO2 P'!G58</f>
        <v>-3.1619236220000957E-2</v>
      </c>
    </row>
    <row r="59" spans="1:20" x14ac:dyDescent="0.25">
      <c r="A59" s="88" t="s">
        <v>1848</v>
      </c>
      <c r="B59" s="89">
        <v>0</v>
      </c>
      <c r="C59" s="89">
        <v>5254672.4999999991</v>
      </c>
      <c r="D59" s="89"/>
      <c r="E59" s="89">
        <v>511618.79999999993</v>
      </c>
      <c r="F59" s="89">
        <v>15076.453333333333</v>
      </c>
      <c r="G59" s="89">
        <v>6603273.8199999994</v>
      </c>
      <c r="H59" s="37">
        <f t="shared" si="6"/>
        <v>12.384641573333331</v>
      </c>
      <c r="I59">
        <v>2017</v>
      </c>
      <c r="J59">
        <v>12.24</v>
      </c>
      <c r="K59" t="s">
        <v>1887</v>
      </c>
      <c r="L59">
        <v>5.63</v>
      </c>
      <c r="M59">
        <v>6.61</v>
      </c>
      <c r="N59" s="105">
        <f t="shared" si="4"/>
        <v>-0.14464157333333105</v>
      </c>
      <c r="O59" s="63"/>
      <c r="P59" s="37">
        <f t="shared" si="2"/>
        <v>-0.15136775333333219</v>
      </c>
      <c r="Q59" s="37">
        <f t="shared" si="5"/>
        <v>6.7261800000011362E-3</v>
      </c>
      <c r="R59" s="150">
        <f t="shared" si="7"/>
        <v>-1.1817122004357111E-2</v>
      </c>
      <c r="T59" s="133">
        <f>H59-'G MA CO2 P'!G59</f>
        <v>-3.7181999726666248E-2</v>
      </c>
    </row>
    <row r="60" spans="1:20" x14ac:dyDescent="0.25">
      <c r="A60" s="88" t="s">
        <v>1849</v>
      </c>
      <c r="B60" s="89">
        <v>0</v>
      </c>
      <c r="C60" s="89">
        <v>5698177.9799999986</v>
      </c>
      <c r="D60" s="89"/>
      <c r="E60" s="89">
        <v>543500.64999999991</v>
      </c>
      <c r="F60" s="89">
        <v>14637.333333333334</v>
      </c>
      <c r="G60" s="89">
        <v>7104860.6199999992</v>
      </c>
      <c r="H60" s="37">
        <f t="shared" si="6"/>
        <v>13.361176583333332</v>
      </c>
      <c r="I60">
        <v>2018</v>
      </c>
      <c r="J60">
        <v>13.28</v>
      </c>
      <c r="K60" t="s">
        <v>1891</v>
      </c>
      <c r="L60">
        <v>6.17</v>
      </c>
      <c r="M60">
        <v>7.11</v>
      </c>
      <c r="N60" s="105">
        <f t="shared" si="4"/>
        <v>-8.1176583333332886E-2</v>
      </c>
      <c r="O60" s="63"/>
      <c r="P60" s="37">
        <f t="shared" si="2"/>
        <v>-8.6315963333332135E-2</v>
      </c>
      <c r="Q60" s="37">
        <f t="shared" si="5"/>
        <v>5.1393800000010259E-3</v>
      </c>
      <c r="R60" s="150">
        <f t="shared" si="7"/>
        <v>-6.1126945281124168E-3</v>
      </c>
      <c r="T60" s="133">
        <f>H60-'G MA CO2 P'!G60</f>
        <v>-3.4939324126666449E-2</v>
      </c>
    </row>
    <row r="61" spans="1:20" x14ac:dyDescent="0.25">
      <c r="A61" s="88" t="s">
        <v>1850</v>
      </c>
      <c r="B61" s="89">
        <v>0</v>
      </c>
      <c r="C61" s="89">
        <v>5631007.1399999987</v>
      </c>
      <c r="D61" s="89"/>
      <c r="E61" s="89">
        <v>650779.61666666658</v>
      </c>
      <c r="F61" s="89">
        <v>17637.986666666668</v>
      </c>
      <c r="G61" s="89">
        <v>7372743.9499999993</v>
      </c>
      <c r="H61" s="37">
        <f t="shared" si="6"/>
        <v>13.672168693333331</v>
      </c>
      <c r="I61">
        <v>2019</v>
      </c>
      <c r="J61">
        <v>13.6</v>
      </c>
      <c r="K61" t="s">
        <v>1890</v>
      </c>
      <c r="L61">
        <v>6.23</v>
      </c>
      <c r="M61">
        <v>7.37</v>
      </c>
      <c r="N61" s="105">
        <f t="shared" si="4"/>
        <v>-7.2168693333331646E-2</v>
      </c>
      <c r="O61" s="63"/>
      <c r="P61" s="37">
        <f t="shared" si="2"/>
        <v>-6.9424743333330596E-2</v>
      </c>
      <c r="Q61" s="37">
        <f t="shared" si="5"/>
        <v>-2.7439499999992734E-3</v>
      </c>
      <c r="R61" s="150">
        <f t="shared" si="7"/>
        <v>-5.3065215686273273E-3</v>
      </c>
      <c r="T61" s="133">
        <f>H61-'G MA CO2 P'!G61</f>
        <v>-3.2836271526665683E-2</v>
      </c>
    </row>
    <row r="62" spans="1:20" x14ac:dyDescent="0.25">
      <c r="A62" s="88" t="s">
        <v>1851</v>
      </c>
      <c r="B62" s="89">
        <v>0</v>
      </c>
      <c r="C62" s="89">
        <v>5055310.0399999991</v>
      </c>
      <c r="D62" s="89"/>
      <c r="E62" s="89">
        <v>543123.35</v>
      </c>
      <c r="F62" s="89">
        <v>20272.706666666665</v>
      </c>
      <c r="G62" s="89">
        <v>6556289.7399999993</v>
      </c>
      <c r="H62" s="37">
        <f t="shared" si="6"/>
        <v>12.174995836666666</v>
      </c>
      <c r="I62">
        <v>2020</v>
      </c>
      <c r="J62">
        <v>12.1</v>
      </c>
      <c r="K62" t="s">
        <v>1891</v>
      </c>
      <c r="L62">
        <v>5.55</v>
      </c>
      <c r="M62">
        <v>6.56</v>
      </c>
      <c r="N62" s="105">
        <f t="shared" si="4"/>
        <v>-7.4995836666666094E-2</v>
      </c>
      <c r="O62" s="63"/>
      <c r="P62" s="37">
        <f t="shared" si="2"/>
        <v>-6.8706096666665495E-2</v>
      </c>
      <c r="Q62" s="37">
        <f t="shared" si="5"/>
        <v>3.7102600000000763E-3</v>
      </c>
      <c r="R62" s="150">
        <f t="shared" si="7"/>
        <v>-6.1980030303029829E-3</v>
      </c>
      <c r="T62" s="133">
        <f>H62-'G MA CO2 P'!G62</f>
        <v>-3.9742515229999498E-2</v>
      </c>
    </row>
    <row r="63" spans="1:20" x14ac:dyDescent="0.25">
      <c r="A63" s="88" t="s">
        <v>1852</v>
      </c>
      <c r="B63" s="89">
        <v>0</v>
      </c>
      <c r="C63" s="89">
        <v>5318432.8999999994</v>
      </c>
      <c r="D63" s="89"/>
      <c r="E63" s="89">
        <v>508348.86666666658</v>
      </c>
      <c r="F63" s="89">
        <v>15588.76</v>
      </c>
      <c r="G63" s="89">
        <v>6693697.0099999998</v>
      </c>
      <c r="H63" s="37">
        <f t="shared" si="6"/>
        <v>12.536067536666666</v>
      </c>
      <c r="I63">
        <v>2021</v>
      </c>
      <c r="J63">
        <v>12.48</v>
      </c>
      <c r="K63" t="s">
        <v>1890</v>
      </c>
      <c r="L63">
        <v>5.79</v>
      </c>
      <c r="M63">
        <v>6.69</v>
      </c>
      <c r="N63" s="105">
        <f t="shared" si="4"/>
        <v>-5.6067536666665418E-2</v>
      </c>
      <c r="O63" s="63"/>
      <c r="P63" s="37">
        <f t="shared" si="2"/>
        <v>-5.237052666666564E-2</v>
      </c>
      <c r="Q63" s="37">
        <f t="shared" si="5"/>
        <v>-3.6970099999997785E-3</v>
      </c>
      <c r="R63" s="150">
        <f t="shared" si="7"/>
        <v>-4.492591079059729E-3</v>
      </c>
      <c r="T63" s="133">
        <f>H63-'G MA CO2 P'!G63</f>
        <v>-3.7885458269999006E-2</v>
      </c>
    </row>
    <row r="64" spans="1:20" x14ac:dyDescent="0.25">
      <c r="A64" s="88" t="s">
        <v>1853</v>
      </c>
      <c r="B64" s="89">
        <v>0</v>
      </c>
      <c r="C64" s="89">
        <v>5247925.7599999988</v>
      </c>
      <c r="D64" s="89"/>
      <c r="E64" s="89">
        <v>498790.59999999992</v>
      </c>
      <c r="F64" s="89">
        <v>13612.72</v>
      </c>
      <c r="G64" s="89">
        <v>7169040.4499999993</v>
      </c>
      <c r="H64" s="37">
        <f t="shared" si="6"/>
        <v>12.929369529999997</v>
      </c>
      <c r="I64">
        <v>2022</v>
      </c>
      <c r="J64">
        <v>12.88</v>
      </c>
      <c r="K64" t="s">
        <v>1891</v>
      </c>
      <c r="L64">
        <v>5.71</v>
      </c>
      <c r="M64">
        <v>7.17</v>
      </c>
      <c r="N64" s="105">
        <f t="shared" si="4"/>
        <v>-4.9369529999996331E-2</v>
      </c>
      <c r="O64" s="63"/>
      <c r="P64" s="37">
        <f t="shared" si="2"/>
        <v>-5.032907999999825E-2</v>
      </c>
      <c r="Q64" s="37">
        <f t="shared" si="5"/>
        <v>9.5955000000103041E-4</v>
      </c>
      <c r="R64" s="150">
        <f t="shared" si="7"/>
        <v>-3.833038043477976E-3</v>
      </c>
      <c r="T64" s="133">
        <f>H64-'G MA CO2 P'!G64</f>
        <v>-4.1692666363333686E-2</v>
      </c>
    </row>
    <row r="65" spans="1:14" x14ac:dyDescent="0.25">
      <c r="A65" s="88" t="s">
        <v>1854</v>
      </c>
      <c r="B65" s="89">
        <v>0</v>
      </c>
      <c r="C65" s="89">
        <v>5261715.7999999989</v>
      </c>
      <c r="D65" s="89"/>
      <c r="E65" s="89">
        <v>479611.18333333329</v>
      </c>
      <c r="F65" s="89">
        <v>25029.84</v>
      </c>
      <c r="G65" s="89">
        <v>5983380.2599999998</v>
      </c>
      <c r="H65" s="37">
        <f t="shared" si="6"/>
        <v>11.749737083333333</v>
      </c>
      <c r="I65">
        <v>2023</v>
      </c>
      <c r="N65" s="106">
        <f>SUM(N55:N64)</f>
        <v>-0.85867810999998717</v>
      </c>
    </row>
    <row r="67" spans="1:14" x14ac:dyDescent="0.25">
      <c r="A67" s="120" t="s">
        <v>1972</v>
      </c>
    </row>
    <row r="68" spans="1:14" x14ac:dyDescent="0.25">
      <c r="A68" s="120" t="s">
        <v>1966</v>
      </c>
    </row>
    <row r="69" spans="1:14" x14ac:dyDescent="0.25">
      <c r="A69" s="120" t="s">
        <v>1964</v>
      </c>
    </row>
    <row r="70" spans="1:14" x14ac:dyDescent="0.25">
      <c r="A70" s="120" t="s">
        <v>1970</v>
      </c>
    </row>
    <row r="71" spans="1:14" x14ac:dyDescent="0.25">
      <c r="A71" s="120" t="s">
        <v>1968</v>
      </c>
    </row>
    <row r="72" spans="1:14" x14ac:dyDescent="0.25">
      <c r="A72" s="120" t="s">
        <v>1969</v>
      </c>
    </row>
  </sheetData>
  <mergeCells count="1">
    <mergeCell ref="N30:Q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EAF78-E552-4864-B672-5E5A785C28F0}">
  <dimension ref="A1:N78"/>
  <sheetViews>
    <sheetView workbookViewId="0">
      <selection activeCell="B3" sqref="B3"/>
    </sheetView>
    <sheetView tabSelected="1" workbookViewId="1">
      <selection activeCell="A18" sqref="A18"/>
    </sheetView>
  </sheetViews>
  <sheetFormatPr defaultRowHeight="15" x14ac:dyDescent="0.25"/>
  <sheetData>
    <row r="1" spans="1:11" x14ac:dyDescent="0.25">
      <c r="A1" s="1" t="s">
        <v>1646</v>
      </c>
    </row>
    <row r="2" spans="1:11" x14ac:dyDescent="0.25">
      <c r="B2" s="2" t="s">
        <v>0</v>
      </c>
    </row>
    <row r="3" spans="1:11" x14ac:dyDescent="0.25">
      <c r="B3" t="s">
        <v>1</v>
      </c>
    </row>
    <row r="4" spans="1:11" x14ac:dyDescent="0.25">
      <c r="B4" t="s">
        <v>2</v>
      </c>
      <c r="J4" t="s">
        <v>3</v>
      </c>
      <c r="K4" t="s">
        <v>4</v>
      </c>
    </row>
    <row r="5" spans="1:11" x14ac:dyDescent="0.25">
      <c r="B5" t="s">
        <v>5</v>
      </c>
      <c r="J5" t="s">
        <v>8</v>
      </c>
      <c r="K5" t="s">
        <v>6</v>
      </c>
    </row>
    <row r="6" spans="1:11" x14ac:dyDescent="0.25">
      <c r="B6" t="s">
        <v>7</v>
      </c>
    </row>
    <row r="8" spans="1:11" x14ac:dyDescent="0.25">
      <c r="A8" t="s">
        <v>9</v>
      </c>
    </row>
    <row r="9" spans="1:11" x14ac:dyDescent="0.25">
      <c r="B9" t="s">
        <v>10</v>
      </c>
    </row>
    <row r="11" spans="1:11" x14ac:dyDescent="0.25">
      <c r="A11" t="s">
        <v>11</v>
      </c>
    </row>
    <row r="12" spans="1:11" x14ac:dyDescent="0.25">
      <c r="B12" t="s">
        <v>12</v>
      </c>
    </row>
    <row r="13" spans="1:11" x14ac:dyDescent="0.25">
      <c r="B13" t="s">
        <v>13</v>
      </c>
    </row>
    <row r="18" spans="1:14" x14ac:dyDescent="0.25">
      <c r="A18" s="1" t="s">
        <v>2131</v>
      </c>
    </row>
    <row r="19" spans="1:14" x14ac:dyDescent="0.25">
      <c r="A19" t="s">
        <v>2134</v>
      </c>
    </row>
    <row r="20" spans="1:14" x14ac:dyDescent="0.25">
      <c r="B20" t="s">
        <v>2132</v>
      </c>
    </row>
    <row r="21" spans="1:14" x14ac:dyDescent="0.25">
      <c r="A21" t="s">
        <v>2137</v>
      </c>
    </row>
    <row r="22" spans="1:14" x14ac:dyDescent="0.25">
      <c r="A22" t="s">
        <v>2133</v>
      </c>
    </row>
    <row r="23" spans="1:14" x14ac:dyDescent="0.25">
      <c r="B23" t="s">
        <v>2135</v>
      </c>
    </row>
    <row r="25" spans="1:14" x14ac:dyDescent="0.25">
      <c r="A25" t="s">
        <v>2138</v>
      </c>
    </row>
    <row r="26" spans="1:14" x14ac:dyDescent="0.25">
      <c r="A26" s="145"/>
      <c r="B26" s="145" t="s">
        <v>2136</v>
      </c>
    </row>
    <row r="27" spans="1:14" x14ac:dyDescent="0.25">
      <c r="B27" s="240" t="s">
        <v>2139</v>
      </c>
      <c r="C27" s="240"/>
      <c r="D27" s="240"/>
      <c r="E27" s="240"/>
      <c r="F27" s="240"/>
      <c r="G27" s="240"/>
      <c r="H27" s="240"/>
      <c r="I27" s="240"/>
      <c r="J27" s="240"/>
      <c r="K27" s="240"/>
      <c r="L27" s="240"/>
      <c r="M27" s="240"/>
      <c r="N27" s="240"/>
    </row>
    <row r="28" spans="1:14" x14ac:dyDescent="0.25">
      <c r="B28" s="240"/>
      <c r="C28" s="240"/>
      <c r="D28" s="240"/>
      <c r="E28" s="240"/>
      <c r="F28" s="240"/>
      <c r="G28" s="240"/>
      <c r="H28" s="240"/>
      <c r="I28" s="240"/>
      <c r="J28" s="240"/>
      <c r="K28" s="240"/>
      <c r="L28" s="240"/>
      <c r="M28" s="240"/>
      <c r="N28" s="240"/>
    </row>
    <row r="29" spans="1:14" x14ac:dyDescent="0.25">
      <c r="B29" s="240"/>
      <c r="C29" s="240"/>
      <c r="D29" s="240"/>
      <c r="E29" s="240"/>
      <c r="F29" s="240"/>
      <c r="G29" s="240"/>
      <c r="H29" s="240"/>
      <c r="I29" s="240"/>
      <c r="J29" s="240"/>
      <c r="K29" s="240"/>
      <c r="L29" s="240"/>
      <c r="M29" s="240"/>
      <c r="N29" s="240"/>
    </row>
    <row r="30" spans="1:14" x14ac:dyDescent="0.25">
      <c r="B30" s="240"/>
      <c r="C30" s="240"/>
      <c r="D30" s="240"/>
      <c r="E30" s="240"/>
      <c r="F30" s="240"/>
      <c r="G30" s="240"/>
      <c r="H30" s="240"/>
      <c r="I30" s="240"/>
      <c r="J30" s="240"/>
      <c r="K30" s="240"/>
      <c r="L30" s="240"/>
      <c r="M30" s="240"/>
      <c r="N30" s="240"/>
    </row>
    <row r="31" spans="1:14" x14ac:dyDescent="0.25">
      <c r="B31" s="240"/>
      <c r="C31" s="240"/>
      <c r="D31" s="240"/>
      <c r="E31" s="240"/>
      <c r="F31" s="240"/>
      <c r="G31" s="240"/>
      <c r="H31" s="240"/>
      <c r="I31" s="240"/>
      <c r="J31" s="240"/>
      <c r="K31" s="240"/>
      <c r="L31" s="240"/>
      <c r="M31" s="240"/>
      <c r="N31" s="240"/>
    </row>
    <row r="32" spans="1:14" x14ac:dyDescent="0.25">
      <c r="B32" s="240"/>
      <c r="C32" s="240"/>
      <c r="D32" s="240"/>
      <c r="E32" s="240"/>
      <c r="F32" s="240"/>
      <c r="G32" s="240"/>
      <c r="H32" s="240"/>
      <c r="I32" s="240"/>
      <c r="J32" s="240"/>
      <c r="K32" s="240"/>
      <c r="L32" s="240"/>
      <c r="M32" s="240"/>
      <c r="N32" s="240"/>
    </row>
    <row r="33" spans="2:14" x14ac:dyDescent="0.25">
      <c r="B33" s="240"/>
      <c r="C33" s="240"/>
      <c r="D33" s="240"/>
      <c r="E33" s="240"/>
      <c r="F33" s="240"/>
      <c r="G33" s="240"/>
      <c r="H33" s="240"/>
      <c r="I33" s="240"/>
      <c r="J33" s="240"/>
      <c r="K33" s="240"/>
      <c r="L33" s="240"/>
      <c r="M33" s="240"/>
      <c r="N33" s="240"/>
    </row>
    <row r="34" spans="2:14" x14ac:dyDescent="0.25">
      <c r="B34" s="240"/>
      <c r="C34" s="240"/>
      <c r="D34" s="240"/>
      <c r="E34" s="240"/>
      <c r="F34" s="240"/>
      <c r="G34" s="240"/>
      <c r="H34" s="240"/>
      <c r="I34" s="240"/>
      <c r="J34" s="240"/>
      <c r="K34" s="240"/>
      <c r="L34" s="240"/>
      <c r="M34" s="240"/>
      <c r="N34" s="240"/>
    </row>
    <row r="35" spans="2:14" x14ac:dyDescent="0.25">
      <c r="B35" s="240"/>
      <c r="C35" s="240"/>
      <c r="D35" s="240"/>
      <c r="E35" s="240"/>
      <c r="F35" s="240"/>
      <c r="G35" s="240"/>
      <c r="H35" s="240"/>
      <c r="I35" s="240"/>
      <c r="J35" s="240"/>
      <c r="K35" s="240"/>
      <c r="L35" s="240"/>
      <c r="M35" s="240"/>
      <c r="N35" s="240"/>
    </row>
    <row r="36" spans="2:14" x14ac:dyDescent="0.25">
      <c r="B36" s="240"/>
      <c r="C36" s="240"/>
      <c r="D36" s="240"/>
      <c r="E36" s="240"/>
      <c r="F36" s="240"/>
      <c r="G36" s="240"/>
      <c r="H36" s="240"/>
      <c r="I36" s="240"/>
      <c r="J36" s="240"/>
      <c r="K36" s="240"/>
      <c r="L36" s="240"/>
      <c r="M36" s="240"/>
      <c r="N36" s="240"/>
    </row>
    <row r="37" spans="2:14" x14ac:dyDescent="0.25">
      <c r="B37" s="240"/>
      <c r="C37" s="240"/>
      <c r="D37" s="240"/>
      <c r="E37" s="240"/>
      <c r="F37" s="240"/>
      <c r="G37" s="240"/>
      <c r="H37" s="240"/>
      <c r="I37" s="240"/>
      <c r="J37" s="240"/>
      <c r="K37" s="240"/>
      <c r="L37" s="240"/>
      <c r="M37" s="240"/>
      <c r="N37" s="240"/>
    </row>
    <row r="38" spans="2:14" x14ac:dyDescent="0.25">
      <c r="B38" s="240"/>
      <c r="C38" s="240"/>
      <c r="D38" s="240"/>
      <c r="E38" s="240"/>
      <c r="F38" s="240"/>
      <c r="G38" s="240"/>
      <c r="H38" s="240"/>
      <c r="I38" s="240"/>
      <c r="J38" s="240"/>
      <c r="K38" s="240"/>
      <c r="L38" s="240"/>
      <c r="M38" s="240"/>
      <c r="N38" s="240"/>
    </row>
    <row r="39" spans="2:14" ht="149.25" customHeight="1" x14ac:dyDescent="0.25">
      <c r="B39" s="240"/>
      <c r="C39" s="240"/>
      <c r="D39" s="240"/>
      <c r="E39" s="240"/>
      <c r="F39" s="240"/>
      <c r="G39" s="240"/>
      <c r="H39" s="240"/>
      <c r="I39" s="240"/>
      <c r="J39" s="240"/>
      <c r="K39" s="240"/>
      <c r="L39" s="240"/>
      <c r="M39" s="240"/>
      <c r="N39" s="240"/>
    </row>
    <row r="41" spans="2:14" x14ac:dyDescent="0.25">
      <c r="B41" t="s">
        <v>2140</v>
      </c>
    </row>
    <row r="42" spans="2:14" x14ac:dyDescent="0.25">
      <c r="C42" t="s">
        <v>2141</v>
      </c>
    </row>
    <row r="43" spans="2:14" x14ac:dyDescent="0.25">
      <c r="C43" t="s">
        <v>2142</v>
      </c>
    </row>
    <row r="44" spans="2:14" x14ac:dyDescent="0.25">
      <c r="C44" t="s">
        <v>2143</v>
      </c>
    </row>
    <row r="45" spans="2:14" x14ac:dyDescent="0.25">
      <c r="C45" s="240" t="s">
        <v>2144</v>
      </c>
      <c r="D45" s="240"/>
      <c r="E45" s="240"/>
      <c r="F45" s="240"/>
      <c r="G45" s="240"/>
      <c r="H45" s="240"/>
      <c r="I45" s="240"/>
      <c r="J45" s="240"/>
      <c r="K45" s="240"/>
      <c r="L45" s="240"/>
    </row>
    <row r="46" spans="2:14" x14ac:dyDescent="0.25">
      <c r="C46" s="240"/>
      <c r="D46" s="240"/>
      <c r="E46" s="240"/>
      <c r="F46" s="240"/>
      <c r="G46" s="240"/>
      <c r="H46" s="240"/>
      <c r="I46" s="240"/>
      <c r="J46" s="240"/>
      <c r="K46" s="240"/>
      <c r="L46" s="240"/>
    </row>
    <row r="47" spans="2:14" x14ac:dyDescent="0.25">
      <c r="C47" s="240"/>
      <c r="D47" s="240"/>
      <c r="E47" s="240"/>
      <c r="F47" s="240"/>
      <c r="G47" s="240"/>
      <c r="H47" s="240"/>
      <c r="I47" s="240"/>
      <c r="J47" s="240"/>
      <c r="K47" s="240"/>
      <c r="L47" s="240"/>
    </row>
    <row r="48" spans="2:14" x14ac:dyDescent="0.25">
      <c r="C48" s="240"/>
      <c r="D48" s="240"/>
      <c r="E48" s="240"/>
      <c r="F48" s="240"/>
      <c r="G48" s="240"/>
      <c r="H48" s="240"/>
      <c r="I48" s="240"/>
      <c r="J48" s="240"/>
      <c r="K48" s="240"/>
      <c r="L48" s="240"/>
    </row>
    <row r="49" spans="1:12" x14ac:dyDescent="0.25">
      <c r="C49" s="240"/>
      <c r="D49" s="240"/>
      <c r="E49" s="240"/>
      <c r="F49" s="240"/>
      <c r="G49" s="240"/>
      <c r="H49" s="240"/>
      <c r="I49" s="240"/>
      <c r="J49" s="240"/>
      <c r="K49" s="240"/>
      <c r="L49" s="240"/>
    </row>
    <row r="50" spans="1:12" x14ac:dyDescent="0.25">
      <c r="C50" s="240"/>
      <c r="D50" s="240"/>
      <c r="E50" s="240"/>
      <c r="F50" s="240"/>
      <c r="G50" s="240"/>
      <c r="H50" s="240"/>
      <c r="I50" s="240"/>
      <c r="J50" s="240"/>
      <c r="K50" s="240"/>
      <c r="L50" s="240"/>
    </row>
    <row r="51" spans="1:12" x14ac:dyDescent="0.25">
      <c r="C51" s="240"/>
      <c r="D51" s="240"/>
      <c r="E51" s="240"/>
      <c r="F51" s="240"/>
      <c r="G51" s="240"/>
      <c r="H51" s="240"/>
      <c r="I51" s="240"/>
      <c r="J51" s="240"/>
      <c r="K51" s="240"/>
      <c r="L51" s="240"/>
    </row>
    <row r="52" spans="1:12" x14ac:dyDescent="0.25">
      <c r="C52" s="240"/>
      <c r="D52" s="240"/>
      <c r="E52" s="240"/>
      <c r="F52" s="240"/>
      <c r="G52" s="240"/>
      <c r="H52" s="240"/>
      <c r="I52" s="240"/>
      <c r="J52" s="240"/>
      <c r="K52" s="240"/>
      <c r="L52" s="240"/>
    </row>
    <row r="53" spans="1:12" x14ac:dyDescent="0.25">
      <c r="C53" t="s">
        <v>2145</v>
      </c>
    </row>
    <row r="54" spans="1:12" x14ac:dyDescent="0.25">
      <c r="C54" t="s">
        <v>2146</v>
      </c>
    </row>
    <row r="56" spans="1:12" x14ac:dyDescent="0.25">
      <c r="C56" t="s">
        <v>2147</v>
      </c>
    </row>
    <row r="57" spans="1:12" x14ac:dyDescent="0.25">
      <c r="D57" t="s">
        <v>2148</v>
      </c>
    </row>
    <row r="59" spans="1:12" x14ac:dyDescent="0.25">
      <c r="C59" t="s">
        <v>2149</v>
      </c>
    </row>
    <row r="61" spans="1:12" x14ac:dyDescent="0.25">
      <c r="A61" t="s">
        <v>2151</v>
      </c>
    </row>
    <row r="62" spans="1:12" x14ac:dyDescent="0.25">
      <c r="B62" t="s">
        <v>2150</v>
      </c>
    </row>
    <row r="63" spans="1:12" x14ac:dyDescent="0.25">
      <c r="B63" t="s">
        <v>2152</v>
      </c>
    </row>
    <row r="64" spans="1:12" x14ac:dyDescent="0.25">
      <c r="B64" t="s">
        <v>2153</v>
      </c>
    </row>
    <row r="65" spans="2:12" ht="137.25" customHeight="1" x14ac:dyDescent="0.25">
      <c r="B65" s="241" t="s">
        <v>2154</v>
      </c>
      <c r="C65" s="241"/>
      <c r="D65" s="241"/>
      <c r="E65" s="241"/>
      <c r="F65" s="241"/>
      <c r="G65" s="241"/>
      <c r="H65" s="241"/>
      <c r="I65" s="241"/>
      <c r="J65" s="241"/>
      <c r="K65" s="241"/>
      <c r="L65" s="241"/>
    </row>
    <row r="78" spans="2:12" x14ac:dyDescent="0.25">
      <c r="L78" s="147"/>
    </row>
  </sheetData>
  <mergeCells count="3">
    <mergeCell ref="B27:N39"/>
    <mergeCell ref="C45:L52"/>
    <mergeCell ref="B65:L65"/>
  </mergeCells>
  <hyperlinks>
    <hyperlink ref="B26" r:id="rId1" xr:uid="{2FD0F29E-9778-4F7E-A927-D054D34A85C3}"/>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F4B33-00A2-4F86-BAB7-7D9F58303137}">
  <dimension ref="A1:S72"/>
  <sheetViews>
    <sheetView topLeftCell="A22" workbookViewId="0">
      <selection activeCell="R31" sqref="R31:R65"/>
    </sheetView>
    <sheetView workbookViewId="1"/>
  </sheetViews>
  <sheetFormatPr defaultRowHeight="15" x14ac:dyDescent="0.25"/>
  <cols>
    <col min="2" max="3" width="9.5703125" bestFit="1" customWidth="1"/>
    <col min="4" max="5" width="8.5703125" bestFit="1" customWidth="1"/>
    <col min="6" max="6" width="10.5703125" bestFit="1" customWidth="1"/>
    <col min="7" max="7" width="24" customWidth="1"/>
    <col min="8" max="11" width="14.5703125" customWidth="1"/>
    <col min="12" max="12" width="25.28515625" customWidth="1"/>
  </cols>
  <sheetData>
    <row r="1" spans="1:12" x14ac:dyDescent="0.25">
      <c r="A1" s="96" t="s">
        <v>1751</v>
      </c>
      <c r="B1" s="96" t="s">
        <v>340</v>
      </c>
      <c r="C1" s="96" t="s">
        <v>420</v>
      </c>
      <c r="D1" s="96" t="s">
        <v>701</v>
      </c>
      <c r="E1" s="96" t="s">
        <v>801</v>
      </c>
      <c r="F1" s="96" t="s">
        <v>974</v>
      </c>
      <c r="G1" s="90" t="s">
        <v>1882</v>
      </c>
      <c r="H1" s="256" t="s">
        <v>1898</v>
      </c>
      <c r="I1" s="257"/>
      <c r="J1" s="257"/>
      <c r="K1" s="257"/>
      <c r="L1" s="257"/>
    </row>
    <row r="2" spans="1:12" x14ac:dyDescent="0.25">
      <c r="A2" s="98" t="s">
        <v>1791</v>
      </c>
      <c r="B2" s="99">
        <v>845357.70652666653</v>
      </c>
      <c r="C2" s="99">
        <v>349410.96378571418</v>
      </c>
      <c r="D2" s="99">
        <v>3628.7740805555559</v>
      </c>
      <c r="E2" s="99">
        <v>47998.011599999998</v>
      </c>
      <c r="F2" s="99">
        <v>2467486.4213999999</v>
      </c>
      <c r="G2" s="37">
        <f>SUMPRODUCT(B2:F2,$H$3:$L$3)/1000000000</f>
        <v>19.311917256689856</v>
      </c>
      <c r="H2" s="97" t="s">
        <v>1886</v>
      </c>
      <c r="I2" t="s">
        <v>1899</v>
      </c>
      <c r="J2" t="s">
        <v>1782</v>
      </c>
      <c r="K2" t="s">
        <v>1724</v>
      </c>
      <c r="L2" t="s">
        <v>1726</v>
      </c>
    </row>
    <row r="3" spans="1:12" x14ac:dyDescent="0.25">
      <c r="A3" s="98" t="s">
        <v>1792</v>
      </c>
      <c r="B3" s="99">
        <v>666565.41951999988</v>
      </c>
      <c r="C3" s="99">
        <v>359463.97708571417</v>
      </c>
      <c r="D3" s="99">
        <v>3220.4651111111111</v>
      </c>
      <c r="E3" s="99">
        <v>46624.663800000002</v>
      </c>
      <c r="F3" s="99">
        <v>2720292.0945199998</v>
      </c>
      <c r="G3" s="37">
        <f t="shared" ref="G3:G65" si="0">SUMPRODUCT(B3:F3,$H$3:$L$3)/1000000000</f>
        <v>19.911941111806179</v>
      </c>
      <c r="H3" s="97">
        <v>1</v>
      </c>
      <c r="I3">
        <v>42000</v>
      </c>
      <c r="J3">
        <v>42000</v>
      </c>
      <c r="K3">
        <v>42000</v>
      </c>
      <c r="L3">
        <v>1000</v>
      </c>
    </row>
    <row r="4" spans="1:12" x14ac:dyDescent="0.25">
      <c r="A4" s="98" t="s">
        <v>1793</v>
      </c>
      <c r="B4" s="99">
        <v>638791.86037333321</v>
      </c>
      <c r="C4" s="99">
        <v>368630.85851428559</v>
      </c>
      <c r="D4" s="99">
        <v>3887.5614555555558</v>
      </c>
      <c r="E4" s="99">
        <v>45320.477400000003</v>
      </c>
      <c r="F4" s="99">
        <v>2964437.0355599998</v>
      </c>
      <c r="G4" s="37">
        <f t="shared" si="0"/>
        <v>20.514309516953702</v>
      </c>
    </row>
    <row r="5" spans="1:12" x14ac:dyDescent="0.25">
      <c r="A5" s="98" t="s">
        <v>1794</v>
      </c>
      <c r="B5" s="99">
        <v>470414.65804666659</v>
      </c>
      <c r="C5" s="99">
        <v>349115.58649523801</v>
      </c>
      <c r="D5" s="99">
        <v>4002.5780666666669</v>
      </c>
      <c r="E5" s="99">
        <v>40380.377400000005</v>
      </c>
      <c r="F5" s="99">
        <v>3192137.5485999999</v>
      </c>
      <c r="G5" s="37">
        <f t="shared" si="0"/>
        <v>19.719546725658038</v>
      </c>
    </row>
    <row r="6" spans="1:12" x14ac:dyDescent="0.25">
      <c r="A6" s="98" t="s">
        <v>1795</v>
      </c>
      <c r="B6" s="99">
        <v>444376.94634666661</v>
      </c>
      <c r="C6" s="99">
        <v>337656.98470952368</v>
      </c>
      <c r="D6" s="99">
        <v>4002.5780666666669</v>
      </c>
      <c r="E6" s="99">
        <v>32308.254000000001</v>
      </c>
      <c r="F6" s="99">
        <v>3380481.0639599999</v>
      </c>
      <c r="G6" s="37">
        <f t="shared" si="0"/>
        <v>19.08757374550634</v>
      </c>
    </row>
    <row r="7" spans="1:12" x14ac:dyDescent="0.25">
      <c r="A7" s="98" t="s">
        <v>1796</v>
      </c>
      <c r="B7" s="99">
        <v>364527.96379999997</v>
      </c>
      <c r="C7" s="99">
        <v>377695.88570476178</v>
      </c>
      <c r="D7" s="99">
        <v>4468.3953416666673</v>
      </c>
      <c r="E7" s="99">
        <v>26498.696400000001</v>
      </c>
      <c r="F7" s="99">
        <v>3554846.8155200002</v>
      </c>
      <c r="G7" s="37">
        <f t="shared" si="0"/>
        <v>20.719056396233796</v>
      </c>
    </row>
    <row r="8" spans="1:12" x14ac:dyDescent="0.25">
      <c r="A8" s="98" t="s">
        <v>1797</v>
      </c>
      <c r="B8" s="99">
        <v>329811.01486666664</v>
      </c>
      <c r="C8" s="99">
        <v>337422.71996190463</v>
      </c>
      <c r="D8" s="99">
        <v>3916.3156083333338</v>
      </c>
      <c r="E8" s="99">
        <v>18821.780999999999</v>
      </c>
      <c r="F8" s="99">
        <v>3635424.51272</v>
      </c>
      <c r="G8" s="37">
        <f t="shared" si="0"/>
        <v>18.762508619684859</v>
      </c>
    </row>
    <row r="9" spans="1:12" x14ac:dyDescent="0.25">
      <c r="A9" s="98" t="s">
        <v>1798</v>
      </c>
      <c r="B9" s="99">
        <v>300301.60827333329</v>
      </c>
      <c r="C9" s="99">
        <v>364383.53678571415</v>
      </c>
      <c r="D9" s="99">
        <v>3927.8172694444447</v>
      </c>
      <c r="E9" s="99">
        <v>16154.127</v>
      </c>
      <c r="F9" s="99">
        <v>4027295.23196</v>
      </c>
      <c r="G9" s="37">
        <f t="shared" si="0"/>
        <v>20.175145737884932</v>
      </c>
    </row>
    <row r="10" spans="1:12" x14ac:dyDescent="0.25">
      <c r="A10" s="98" t="s">
        <v>1799</v>
      </c>
      <c r="B10" s="99">
        <v>282943.13380666665</v>
      </c>
      <c r="C10" s="99">
        <v>375027.30466666655</v>
      </c>
      <c r="D10" s="99">
        <v>4215.3587972222222</v>
      </c>
      <c r="E10" s="99">
        <v>13980.483</v>
      </c>
      <c r="F10" s="99">
        <v>4106667.0044399998</v>
      </c>
      <c r="G10" s="37">
        <f t="shared" si="0"/>
        <v>20.622322099057133</v>
      </c>
    </row>
    <row r="11" spans="1:12" x14ac:dyDescent="0.25">
      <c r="A11" s="98" t="s">
        <v>1800</v>
      </c>
      <c r="B11" s="99">
        <v>218716.77827999997</v>
      </c>
      <c r="C11" s="99">
        <v>386373.86679047608</v>
      </c>
      <c r="D11" s="99">
        <v>4721.4318861111115</v>
      </c>
      <c r="E11" s="99">
        <v>14029.884</v>
      </c>
      <c r="F11" s="99">
        <v>4300272.7367599998</v>
      </c>
      <c r="G11" s="37">
        <f t="shared" si="0"/>
        <v>21.315749125954941</v>
      </c>
    </row>
    <row r="12" spans="1:12" x14ac:dyDescent="0.25">
      <c r="A12" s="98" t="s">
        <v>1801</v>
      </c>
      <c r="B12" s="99">
        <v>180528.1344533333</v>
      </c>
      <c r="C12" s="99">
        <v>392444.37938095228</v>
      </c>
      <c r="D12" s="99">
        <v>4508.6511555555562</v>
      </c>
      <c r="E12" s="99">
        <v>14168.2068</v>
      </c>
      <c r="F12" s="99">
        <v>4530220.65496</v>
      </c>
      <c r="G12" s="37">
        <f t="shared" si="0"/>
        <v>21.79749315122778</v>
      </c>
    </row>
    <row r="13" spans="1:12" x14ac:dyDescent="0.25">
      <c r="A13" s="98" t="s">
        <v>1802</v>
      </c>
      <c r="B13" s="99">
        <v>144075.33807333332</v>
      </c>
      <c r="C13" s="99">
        <v>408567.90527142846</v>
      </c>
      <c r="D13" s="99">
        <v>4554.6578</v>
      </c>
      <c r="E13" s="99">
        <v>14099.045400000001</v>
      </c>
      <c r="F13" s="99">
        <v>4573414.6858400004</v>
      </c>
      <c r="G13" s="37">
        <f t="shared" si="0"/>
        <v>22.516866316978071</v>
      </c>
    </row>
    <row r="14" spans="1:12" x14ac:dyDescent="0.25">
      <c r="A14" s="98" t="s">
        <v>1803</v>
      </c>
      <c r="B14" s="99">
        <v>97207.457013333318</v>
      </c>
      <c r="C14" s="99">
        <v>421737.6582571427</v>
      </c>
      <c r="D14" s="99">
        <v>5060.7308888888892</v>
      </c>
      <c r="E14" s="99">
        <v>14938.8624</v>
      </c>
      <c r="F14" s="99">
        <v>4723442.6839600001</v>
      </c>
      <c r="G14" s="37">
        <f t="shared" si="0"/>
        <v>23.276504456350334</v>
      </c>
    </row>
    <row r="15" spans="1:12" x14ac:dyDescent="0.25">
      <c r="A15" s="98" t="s">
        <v>1804</v>
      </c>
      <c r="B15" s="99">
        <v>90264.067226666652</v>
      </c>
      <c r="C15" s="99">
        <v>423998.82234285702</v>
      </c>
      <c r="D15" s="99">
        <v>4658.1727500000006</v>
      </c>
      <c r="E15" s="99">
        <v>10285.288200000001</v>
      </c>
      <c r="F15" s="99">
        <v>4603782.0628800001</v>
      </c>
      <c r="G15" s="37">
        <f t="shared" si="0"/>
        <v>23.039448225247224</v>
      </c>
    </row>
    <row r="16" spans="1:12" x14ac:dyDescent="0.25">
      <c r="A16" s="98" t="s">
        <v>1805</v>
      </c>
      <c r="B16" s="99">
        <v>72905.592759999985</v>
      </c>
      <c r="C16" s="99">
        <v>398087.10417142842</v>
      </c>
      <c r="D16" s="99">
        <v>4571.910291666667</v>
      </c>
      <c r="E16" s="99">
        <v>6293.6873999999998</v>
      </c>
      <c r="F16" s="99">
        <v>4686387.9062000001</v>
      </c>
      <c r="G16" s="37">
        <f t="shared" si="0"/>
        <v>21.862474290042751</v>
      </c>
    </row>
    <row r="17" spans="1:18" x14ac:dyDescent="0.25">
      <c r="A17" s="98" t="s">
        <v>1806</v>
      </c>
      <c r="B17" s="99">
        <v>52075.423399999992</v>
      </c>
      <c r="C17" s="99">
        <v>385620.14542857133</v>
      </c>
      <c r="D17" s="99">
        <v>4859.4518194444445</v>
      </c>
      <c r="E17" s="99">
        <v>5839.1981999999998</v>
      </c>
      <c r="F17" s="99">
        <v>4945716.5357600003</v>
      </c>
      <c r="G17" s="37">
        <f t="shared" si="0"/>
        <v>21.591158020000062</v>
      </c>
    </row>
    <row r="18" spans="1:18" x14ac:dyDescent="0.25">
      <c r="A18" s="98" t="s">
        <v>1807</v>
      </c>
      <c r="B18" s="99">
        <v>48603.728506666659</v>
      </c>
      <c r="C18" s="99">
        <v>417602.37619047606</v>
      </c>
      <c r="D18" s="99">
        <v>5135.4916861111114</v>
      </c>
      <c r="E18" s="99">
        <v>6362.8487999999998</v>
      </c>
      <c r="F18" s="99">
        <v>5213267.3793200003</v>
      </c>
      <c r="G18" s="37">
        <f t="shared" si="0"/>
        <v>23.235546083465167</v>
      </c>
    </row>
    <row r="19" spans="1:18" x14ac:dyDescent="0.25">
      <c r="A19" s="98" t="s">
        <v>1808</v>
      </c>
      <c r="B19" s="99">
        <v>45132.033613333326</v>
      </c>
      <c r="C19" s="99">
        <v>406286.37033809512</v>
      </c>
      <c r="D19" s="99">
        <v>5681.8205888888888</v>
      </c>
      <c r="E19" s="99">
        <v>6639.4944000000005</v>
      </c>
      <c r="F19" s="99">
        <v>5109503.0386399999</v>
      </c>
      <c r="G19" s="37">
        <f t="shared" si="0"/>
        <v>22.691070954406939</v>
      </c>
    </row>
    <row r="20" spans="1:18" x14ac:dyDescent="0.25">
      <c r="A20" s="98" t="s">
        <v>1809</v>
      </c>
      <c r="B20" s="99">
        <v>26037.711699999996</v>
      </c>
      <c r="C20" s="99">
        <v>388166.50138095225</v>
      </c>
      <c r="D20" s="99">
        <v>5457.5381972222222</v>
      </c>
      <c r="E20" s="99">
        <v>4505.3712000000005</v>
      </c>
      <c r="F20" s="99">
        <v>4755509.3185599996</v>
      </c>
      <c r="G20" s="37">
        <f t="shared" si="0"/>
        <v>21.476970608955025</v>
      </c>
    </row>
    <row r="21" spans="1:18" x14ac:dyDescent="0.25">
      <c r="A21" s="98" t="s">
        <v>1810</v>
      </c>
      <c r="B21" s="99">
        <v>19094.32191333333</v>
      </c>
      <c r="C21" s="99">
        <v>267591.45432380942</v>
      </c>
      <c r="D21" s="99">
        <v>3116.9501611111114</v>
      </c>
      <c r="E21" s="99">
        <v>4278.1266000000005</v>
      </c>
      <c r="F21" s="99">
        <v>4431170.3836399997</v>
      </c>
      <c r="G21" s="37">
        <f t="shared" si="0"/>
        <v>15.980623783528573</v>
      </c>
    </row>
    <row r="22" spans="1:18" x14ac:dyDescent="0.25">
      <c r="A22" s="98" t="s">
        <v>1811</v>
      </c>
      <c r="B22" s="99">
        <v>36452.796379999992</v>
      </c>
      <c r="C22" s="99">
        <v>231331.34556190469</v>
      </c>
      <c r="D22" s="99">
        <v>3260.7209250000001</v>
      </c>
      <c r="E22" s="99">
        <v>3191.3045999999999</v>
      </c>
      <c r="F22" s="99">
        <v>5175828.89824</v>
      </c>
      <c r="G22" s="37">
        <f t="shared" si="0"/>
        <v>15.162766936686376</v>
      </c>
    </row>
    <row r="23" spans="1:18" x14ac:dyDescent="0.25">
      <c r="A23" s="98" t="s">
        <v>1812</v>
      </c>
      <c r="B23" s="99">
        <v>39924.491273333326</v>
      </c>
      <c r="C23" s="99">
        <v>190487.79608571422</v>
      </c>
      <c r="D23" s="99">
        <v>3444.7475027777778</v>
      </c>
      <c r="E23" s="99">
        <v>1788.3162</v>
      </c>
      <c r="F23" s="99">
        <v>5299436.1820400003</v>
      </c>
      <c r="G23" s="37">
        <f t="shared" si="0"/>
        <v>13.519752217647937</v>
      </c>
    </row>
    <row r="24" spans="1:18" x14ac:dyDescent="0.25">
      <c r="A24" s="98" t="s">
        <v>1813</v>
      </c>
      <c r="B24" s="99">
        <v>45132.033613333326</v>
      </c>
      <c r="C24" s="99">
        <v>184213.57501904757</v>
      </c>
      <c r="D24" s="99">
        <v>3444.7475027777778</v>
      </c>
      <c r="E24" s="99">
        <v>5038.902</v>
      </c>
      <c r="F24" s="99">
        <v>5351729.4630800001</v>
      </c>
      <c r="G24" s="37">
        <f t="shared" si="0"/>
        <v>13.445058025030278</v>
      </c>
    </row>
    <row r="25" spans="1:18" x14ac:dyDescent="0.25">
      <c r="A25" s="98" t="s">
        <v>1814</v>
      </c>
      <c r="B25" s="99">
        <v>38188.643826666659</v>
      </c>
      <c r="C25" s="99">
        <v>178886.59836666661</v>
      </c>
      <c r="D25" s="99">
        <v>4094.5913555555558</v>
      </c>
      <c r="E25" s="99">
        <v>1620.3528000000001</v>
      </c>
      <c r="F25" s="99">
        <v>5031337.1908799997</v>
      </c>
      <c r="G25" s="37">
        <f t="shared" si="0"/>
        <v>12.784640165457157</v>
      </c>
    </row>
    <row r="26" spans="1:18" x14ac:dyDescent="0.25">
      <c r="A26" s="98" t="s">
        <v>1815</v>
      </c>
      <c r="B26" s="99">
        <v>71169.745313333318</v>
      </c>
      <c r="C26" s="99">
        <v>210400.29963333326</v>
      </c>
      <c r="D26" s="99">
        <v>4152.0996611111113</v>
      </c>
      <c r="E26" s="99">
        <v>6758.0568000000003</v>
      </c>
      <c r="F26" s="99">
        <v>5307000.6189200003</v>
      </c>
      <c r="G26" s="37">
        <f t="shared" si="0"/>
        <v>14.602110944631978</v>
      </c>
      <c r="H26" t="s">
        <v>1894</v>
      </c>
    </row>
    <row r="27" spans="1:18" x14ac:dyDescent="0.25">
      <c r="A27" s="98" t="s">
        <v>1816</v>
      </c>
      <c r="B27" s="99">
        <v>52075.423399999992</v>
      </c>
      <c r="C27" s="99">
        <v>204360.34331428565</v>
      </c>
      <c r="D27" s="99">
        <v>4934.2126166666667</v>
      </c>
      <c r="E27" s="99">
        <v>5700.8753999999999</v>
      </c>
      <c r="F27" s="99">
        <v>5361047.9722800003</v>
      </c>
      <c r="G27" s="37">
        <f t="shared" si="0"/>
        <v>14.390908163603397</v>
      </c>
      <c r="H27" t="s">
        <v>1893</v>
      </c>
    </row>
    <row r="28" spans="1:18" x14ac:dyDescent="0.25">
      <c r="A28" s="98" t="s">
        <v>1817</v>
      </c>
      <c r="B28" s="99">
        <v>31245.254039999996</v>
      </c>
      <c r="C28" s="99">
        <v>209972.51183333326</v>
      </c>
      <c r="D28" s="99">
        <v>5492.0431805555563</v>
      </c>
      <c r="E28" s="99">
        <v>4949.9802</v>
      </c>
      <c r="F28" s="99">
        <v>5607275.8742000004</v>
      </c>
      <c r="G28" s="37">
        <f t="shared" si="0"/>
        <v>14.86471759843737</v>
      </c>
      <c r="H28" t="s">
        <v>1896</v>
      </c>
    </row>
    <row r="29" spans="1:18" x14ac:dyDescent="0.25">
      <c r="A29" s="98" t="s">
        <v>1818</v>
      </c>
      <c r="B29" s="99">
        <v>22566.016806666663</v>
      </c>
      <c r="C29" s="99">
        <v>216114.32239047613</v>
      </c>
      <c r="D29" s="99">
        <v>6567.4484944444448</v>
      </c>
      <c r="E29" s="99">
        <v>5236.5060000000003</v>
      </c>
      <c r="F29" s="99">
        <v>5747163.1417199997</v>
      </c>
      <c r="G29" s="37">
        <f t="shared" si="0"/>
        <v>15.319753336903471</v>
      </c>
      <c r="H29" t="s">
        <v>1895</v>
      </c>
    </row>
    <row r="30" spans="1:18" x14ac:dyDescent="0.25">
      <c r="A30" s="98" t="s">
        <v>1819</v>
      </c>
      <c r="B30" s="99">
        <v>24301.86425333333</v>
      </c>
      <c r="C30" s="99">
        <v>216144.87866190469</v>
      </c>
      <c r="D30" s="99">
        <v>6452.4318833333336</v>
      </c>
      <c r="E30" s="99">
        <v>2964.06</v>
      </c>
      <c r="F30" s="99">
        <v>5954582.1935599996</v>
      </c>
      <c r="G30" s="37">
        <f t="shared" si="0"/>
        <v>15.428184058324252</v>
      </c>
      <c r="H30" t="s">
        <v>1892</v>
      </c>
      <c r="M30" s="255" t="s">
        <v>1897</v>
      </c>
      <c r="N30" s="255"/>
      <c r="O30" s="255"/>
      <c r="P30" s="255"/>
    </row>
    <row r="31" spans="1:18" x14ac:dyDescent="0.25">
      <c r="A31" s="98" t="s">
        <v>1820</v>
      </c>
      <c r="B31" s="99">
        <v>19094.32191333333</v>
      </c>
      <c r="C31" s="99">
        <v>232461.92760476182</v>
      </c>
      <c r="D31" s="99">
        <v>7665.8571305555561</v>
      </c>
      <c r="E31" s="99">
        <v>2667.654</v>
      </c>
      <c r="F31" s="99">
        <v>6120670.9163600001</v>
      </c>
      <c r="G31" s="37">
        <f t="shared" si="0"/>
        <v>16.318098437565244</v>
      </c>
      <c r="H31" t="s">
        <v>1884</v>
      </c>
      <c r="I31" t="s">
        <v>1885</v>
      </c>
      <c r="J31" t="s">
        <v>1886</v>
      </c>
      <c r="K31" t="s">
        <v>1755</v>
      </c>
      <c r="L31" t="s">
        <v>1664</v>
      </c>
      <c r="M31" t="s">
        <v>1885</v>
      </c>
      <c r="N31" t="s">
        <v>1886</v>
      </c>
      <c r="O31" t="s">
        <v>1755</v>
      </c>
      <c r="P31" t="s">
        <v>1664</v>
      </c>
      <c r="Q31" t="s">
        <v>2169</v>
      </c>
      <c r="R31" t="s">
        <v>2167</v>
      </c>
    </row>
    <row r="32" spans="1:18" x14ac:dyDescent="0.25">
      <c r="A32" s="98" t="s">
        <v>1821</v>
      </c>
      <c r="B32" s="99">
        <v>22566.016806666663</v>
      </c>
      <c r="C32" s="99">
        <v>209208.60504761897</v>
      </c>
      <c r="D32" s="99">
        <v>6561.6976638888891</v>
      </c>
      <c r="E32" s="99">
        <v>1610.4726000000001</v>
      </c>
      <c r="F32" s="99">
        <v>5854709.7008400001</v>
      </c>
      <c r="G32" s="37">
        <f t="shared" si="0"/>
        <v>14.984724829940138</v>
      </c>
      <c r="H32">
        <v>1990</v>
      </c>
      <c r="I32">
        <v>15.09</v>
      </c>
      <c r="J32">
        <v>0.03</v>
      </c>
      <c r="K32">
        <v>9.2100000000000009</v>
      </c>
      <c r="L32">
        <v>5.85</v>
      </c>
      <c r="M32" s="37">
        <f>I32-G32</f>
        <v>0.10527517005986198</v>
      </c>
      <c r="N32" s="37">
        <f>J32-A31/1000000</f>
        <v>2.8010999999999998E-2</v>
      </c>
      <c r="O32" s="37">
        <f>K32-SUMPRODUCT(C32:E32,$I$3:$K$3)/1000000000</f>
        <v>8.0007436916670116E-2</v>
      </c>
      <c r="P32" s="37">
        <f>L32-F32/1000000</f>
        <v>-4.7097008400003304E-3</v>
      </c>
      <c r="Q32" s="150">
        <f t="shared" ref="Q32:Q54" si="1">M32/I32</f>
        <v>6.9764857561207408E-3</v>
      </c>
      <c r="R32">
        <f>ABS(M32)</f>
        <v>0.10527517005986198</v>
      </c>
    </row>
    <row r="33" spans="1:18" x14ac:dyDescent="0.25">
      <c r="A33" s="98" t="s">
        <v>1822</v>
      </c>
      <c r="B33" s="99">
        <v>8679.2372333333315</v>
      </c>
      <c r="C33" s="99">
        <v>196181.44799523804</v>
      </c>
      <c r="D33" s="99">
        <v>5934.8571333333339</v>
      </c>
      <c r="E33" s="99">
        <v>1491.9102</v>
      </c>
      <c r="F33" s="99">
        <v>5643453.6157999998</v>
      </c>
      <c r="G33" s="37">
        <f t="shared" si="0"/>
        <v>14.195007338837231</v>
      </c>
      <c r="H33">
        <v>1991</v>
      </c>
      <c r="I33">
        <v>14.3</v>
      </c>
      <c r="J33">
        <v>0.01</v>
      </c>
      <c r="K33">
        <v>8.61</v>
      </c>
      <c r="L33">
        <v>5.67</v>
      </c>
      <c r="M33" s="37">
        <f t="shared" ref="M33:M64" si="2">I33-G33</f>
        <v>0.10499266116277006</v>
      </c>
      <c r="N33" s="37">
        <f t="shared" ref="N33:N49" si="3">J33-A32/1000000</f>
        <v>8.0099999999999998E-3</v>
      </c>
      <c r="O33" s="37">
        <f t="shared" ref="O33:O64" si="4">K33-SUMPRODUCT(C33:E33,$I$3:$K$3)/1000000000</f>
        <v>5.8454956200002073E-2</v>
      </c>
      <c r="P33" s="37">
        <f t="shared" ref="P33:P64" si="5">L33-F33/1000000</f>
        <v>2.6546384200000439E-2</v>
      </c>
      <c r="Q33" s="150">
        <f t="shared" si="1"/>
        <v>7.3421441372566471E-3</v>
      </c>
      <c r="R33">
        <f t="shared" ref="R33:R64" si="6">ABS(M33)</f>
        <v>0.10499266116277006</v>
      </c>
    </row>
    <row r="34" spans="1:18" x14ac:dyDescent="0.25">
      <c r="A34" s="98" t="s">
        <v>1823</v>
      </c>
      <c r="B34" s="99">
        <v>17358.474466666663</v>
      </c>
      <c r="C34" s="99">
        <v>222795.96040952374</v>
      </c>
      <c r="D34" s="99">
        <v>5888.8504888888892</v>
      </c>
      <c r="E34" s="99">
        <v>2558.9718000000003</v>
      </c>
      <c r="F34" s="99">
        <v>6559682.3291999996</v>
      </c>
      <c r="G34" s="37">
        <f t="shared" si="0"/>
        <v>16.271938561007797</v>
      </c>
      <c r="H34">
        <v>1992</v>
      </c>
      <c r="I34">
        <v>16.399999999999999</v>
      </c>
      <c r="J34">
        <v>0.03</v>
      </c>
      <c r="K34">
        <v>9.7799999999999994</v>
      </c>
      <c r="L34">
        <v>6.59</v>
      </c>
      <c r="M34" s="37">
        <f t="shared" si="2"/>
        <v>0.12806143899220146</v>
      </c>
      <c r="N34" s="37">
        <f t="shared" si="3"/>
        <v>2.8008999999999999E-2</v>
      </c>
      <c r="O34" s="37">
        <f t="shared" si="4"/>
        <v>6.7761126666669114E-2</v>
      </c>
      <c r="P34" s="37">
        <f t="shared" si="5"/>
        <v>3.0317670800000585E-2</v>
      </c>
      <c r="Q34" s="150">
        <f t="shared" si="1"/>
        <v>7.8086243287927726E-3</v>
      </c>
      <c r="R34">
        <f t="shared" si="6"/>
        <v>0.12806143899220146</v>
      </c>
    </row>
    <row r="35" spans="1:18" x14ac:dyDescent="0.25">
      <c r="A35" s="98" t="s">
        <v>1824</v>
      </c>
      <c r="B35" s="99">
        <v>13886.779573333331</v>
      </c>
      <c r="C35" s="99">
        <v>222989.48346190469</v>
      </c>
      <c r="D35" s="99">
        <v>6492.6876972222226</v>
      </c>
      <c r="E35" s="99">
        <v>2470.0500000000002</v>
      </c>
      <c r="F35" s="99">
        <v>6645083.7252799999</v>
      </c>
      <c r="G35" s="37">
        <f t="shared" si="0"/>
        <v>16.387090900742905</v>
      </c>
      <c r="H35">
        <v>1993</v>
      </c>
      <c r="I35">
        <v>16.52</v>
      </c>
      <c r="J35">
        <v>0.02</v>
      </c>
      <c r="K35">
        <v>9.81</v>
      </c>
      <c r="L35">
        <v>6.69</v>
      </c>
      <c r="M35" s="37">
        <f t="shared" si="2"/>
        <v>0.13290909925709471</v>
      </c>
      <c r="N35" s="37">
        <f t="shared" si="3"/>
        <v>1.8008E-2</v>
      </c>
      <c r="O35" s="37">
        <f t="shared" si="4"/>
        <v>6.8006711316670021E-2</v>
      </c>
      <c r="P35" s="37">
        <f t="shared" si="5"/>
        <v>4.491627472000026E-2</v>
      </c>
      <c r="Q35" s="150">
        <f t="shared" si="1"/>
        <v>8.0453449913495591E-3</v>
      </c>
      <c r="R35">
        <f t="shared" si="6"/>
        <v>0.13290909925709471</v>
      </c>
    </row>
    <row r="36" spans="1:18" x14ac:dyDescent="0.25">
      <c r="A36" s="98" t="s">
        <v>1825</v>
      </c>
      <c r="B36" s="99">
        <v>5207.5423399999991</v>
      </c>
      <c r="C36" s="99">
        <v>223936.72787619042</v>
      </c>
      <c r="D36" s="99">
        <v>6711.2192583333335</v>
      </c>
      <c r="E36" s="99">
        <v>2153.8836000000001</v>
      </c>
      <c r="F36" s="99">
        <v>6558147.5159200002</v>
      </c>
      <c r="G36" s="37">
        <f t="shared" si="0"/>
        <v>16.335829614312338</v>
      </c>
      <c r="H36">
        <v>1994</v>
      </c>
      <c r="I36">
        <v>16.34</v>
      </c>
      <c r="J36">
        <v>0.01</v>
      </c>
      <c r="K36">
        <v>9.84</v>
      </c>
      <c r="L36">
        <v>6.5</v>
      </c>
      <c r="M36" s="37">
        <f t="shared" si="2"/>
        <v>4.170385687661593E-3</v>
      </c>
      <c r="N36" s="37">
        <f t="shared" si="3"/>
        <v>8.0070000000000002E-3</v>
      </c>
      <c r="O36" s="37">
        <f t="shared" si="4"/>
        <v>6.2323109150002054E-2</v>
      </c>
      <c r="P36" s="37">
        <f t="shared" si="5"/>
        <v>-5.8147515920000004E-2</v>
      </c>
      <c r="Q36" s="150">
        <f t="shared" si="1"/>
        <v>2.5522556228039123E-4</v>
      </c>
      <c r="R36">
        <f t="shared" si="6"/>
        <v>4.170385687661593E-3</v>
      </c>
    </row>
    <row r="37" spans="1:18" x14ac:dyDescent="0.25">
      <c r="A37" s="98" t="s">
        <v>1826</v>
      </c>
      <c r="B37" s="99">
        <v>6943.3897866666657</v>
      </c>
      <c r="C37" s="99">
        <v>204360.34331428565</v>
      </c>
      <c r="D37" s="99">
        <v>7004.5116166666667</v>
      </c>
      <c r="E37" s="99">
        <v>1284.4259999999999</v>
      </c>
      <c r="F37" s="99">
        <v>5799127.5341999996</v>
      </c>
      <c r="G37" s="37">
        <f t="shared" si="0"/>
        <v>14.730404276689786</v>
      </c>
      <c r="H37">
        <v>1995</v>
      </c>
      <c r="I37">
        <v>14.75</v>
      </c>
      <c r="J37">
        <v>0.01</v>
      </c>
      <c r="K37">
        <v>8.99</v>
      </c>
      <c r="L37">
        <v>5.76</v>
      </c>
      <c r="M37" s="37">
        <f t="shared" si="2"/>
        <v>1.9595723310214197E-2</v>
      </c>
      <c r="N37" s="37">
        <f t="shared" si="3"/>
        <v>8.0059999999999992E-3</v>
      </c>
      <c r="O37" s="37">
        <f t="shared" si="4"/>
        <v>5.8730200900003027E-2</v>
      </c>
      <c r="P37" s="37">
        <f t="shared" si="5"/>
        <v>-3.9127534199999481E-2</v>
      </c>
      <c r="Q37" s="150">
        <f t="shared" si="1"/>
        <v>1.3285236142518099E-3</v>
      </c>
      <c r="R37">
        <f t="shared" si="6"/>
        <v>1.9595723310214197E-2</v>
      </c>
    </row>
    <row r="38" spans="1:18" x14ac:dyDescent="0.25">
      <c r="A38" s="98" t="s">
        <v>1827</v>
      </c>
      <c r="B38" s="99">
        <v>6943.3897866666657</v>
      </c>
      <c r="C38" s="99">
        <v>187024.75199047613</v>
      </c>
      <c r="D38" s="99">
        <v>8309.9501527777775</v>
      </c>
      <c r="E38" s="99">
        <v>1462.2696000000001</v>
      </c>
      <c r="F38" s="99">
        <v>6268890.0274</v>
      </c>
      <c r="G38" s="37">
        <f t="shared" si="0"/>
        <v>14.534369784006451</v>
      </c>
      <c r="H38">
        <v>1996</v>
      </c>
      <c r="I38">
        <v>14.55</v>
      </c>
      <c r="J38">
        <v>0.01</v>
      </c>
      <c r="K38">
        <v>8.32</v>
      </c>
      <c r="L38">
        <v>6.22</v>
      </c>
      <c r="M38" s="37">
        <f t="shared" si="2"/>
        <v>1.5630215993549967E-2</v>
      </c>
      <c r="N38" s="37">
        <f t="shared" si="3"/>
        <v>8.005E-3</v>
      </c>
      <c r="O38" s="37">
        <f t="shared" si="4"/>
        <v>5.4527186783335679E-2</v>
      </c>
      <c r="P38" s="37">
        <f t="shared" si="5"/>
        <v>-4.8890027400000591E-2</v>
      </c>
      <c r="Q38" s="150">
        <f t="shared" si="1"/>
        <v>1.0742416490412349E-3</v>
      </c>
      <c r="R38">
        <f t="shared" si="6"/>
        <v>1.5630215993549967E-2</v>
      </c>
    </row>
    <row r="39" spans="1:18" x14ac:dyDescent="0.25">
      <c r="A39" s="98" t="s">
        <v>1828</v>
      </c>
      <c r="B39" s="99">
        <v>5207.5423399999991</v>
      </c>
      <c r="C39" s="99">
        <v>186719.18927619042</v>
      </c>
      <c r="D39" s="99">
        <v>7798.1262333333334</v>
      </c>
      <c r="E39" s="99">
        <v>1877.2380000000001</v>
      </c>
      <c r="F39" s="99">
        <v>6156136.0660800003</v>
      </c>
      <c r="G39" s="37">
        <f t="shared" si="0"/>
        <v>14.404712521022338</v>
      </c>
      <c r="H39">
        <v>1997</v>
      </c>
      <c r="I39">
        <v>14.38</v>
      </c>
      <c r="J39">
        <v>0.01</v>
      </c>
      <c r="K39">
        <v>8.3000000000000007</v>
      </c>
      <c r="L39">
        <v>6.07</v>
      </c>
      <c r="M39" s="37">
        <f t="shared" si="2"/>
        <v>-2.4712521022337341E-2</v>
      </c>
      <c r="N39" s="37">
        <f t="shared" si="3"/>
        <v>8.0040000000000007E-3</v>
      </c>
      <c r="O39" s="37">
        <f t="shared" si="4"/>
        <v>5.1428752600003236E-2</v>
      </c>
      <c r="P39" s="37">
        <f t="shared" si="5"/>
        <v>-8.6136066079999907E-2</v>
      </c>
      <c r="Q39" s="150">
        <f t="shared" si="1"/>
        <v>-1.7185341461987023E-3</v>
      </c>
      <c r="R39">
        <f t="shared" si="6"/>
        <v>2.4712521022337341E-2</v>
      </c>
    </row>
    <row r="40" spans="1:18" x14ac:dyDescent="0.25">
      <c r="A40" s="98" t="s">
        <v>1829</v>
      </c>
      <c r="B40" s="99">
        <v>5207.5423399999991</v>
      </c>
      <c r="C40" s="99">
        <v>172938.3108619047</v>
      </c>
      <c r="D40" s="99">
        <v>7142.5315500000006</v>
      </c>
      <c r="E40" s="99">
        <v>1946.3994</v>
      </c>
      <c r="F40" s="99">
        <v>5594504.0351200001</v>
      </c>
      <c r="G40" s="37">
        <f t="shared" si="0"/>
        <v>13.239653398762337</v>
      </c>
      <c r="H40">
        <v>1998</v>
      </c>
      <c r="I40">
        <v>13.19</v>
      </c>
      <c r="J40">
        <v>0.01</v>
      </c>
      <c r="K40">
        <v>7.69</v>
      </c>
      <c r="L40">
        <v>5.49</v>
      </c>
      <c r="M40" s="37">
        <f t="shared" si="2"/>
        <v>-4.9653398762337986E-2</v>
      </c>
      <c r="N40" s="37">
        <f t="shared" si="3"/>
        <v>8.0029999999999997E-3</v>
      </c>
      <c r="O40" s="37">
        <f t="shared" si="4"/>
        <v>4.48558439000033E-2</v>
      </c>
      <c r="P40" s="37">
        <f t="shared" si="5"/>
        <v>-0.10450403511999973</v>
      </c>
      <c r="Q40" s="150">
        <f t="shared" si="1"/>
        <v>-3.7644729918376034E-3</v>
      </c>
      <c r="R40">
        <f t="shared" si="6"/>
        <v>4.9653398762337986E-2</v>
      </c>
    </row>
    <row r="41" spans="1:18" x14ac:dyDescent="0.25">
      <c r="A41" s="98" t="s">
        <v>1830</v>
      </c>
      <c r="B41" s="99">
        <v>6943.3897866666657</v>
      </c>
      <c r="C41" s="99">
        <v>181555.17940476185</v>
      </c>
      <c r="D41" s="99">
        <v>7355.3122805555558</v>
      </c>
      <c r="E41" s="99">
        <v>1768.5558000000001</v>
      </c>
      <c r="F41" s="99">
        <v>5794413.4648399996</v>
      </c>
      <c r="G41" s="37">
        <f t="shared" si="0"/>
        <v>13.802940402613117</v>
      </c>
      <c r="H41">
        <v>1999</v>
      </c>
      <c r="I41">
        <v>14.01</v>
      </c>
      <c r="J41">
        <v>0.01</v>
      </c>
      <c r="K41">
        <v>8.06</v>
      </c>
      <c r="L41">
        <v>5.94</v>
      </c>
      <c r="M41" s="37">
        <f t="shared" si="2"/>
        <v>0.20705959738688229</v>
      </c>
      <c r="N41" s="37">
        <f t="shared" si="3"/>
        <v>8.0020000000000004E-3</v>
      </c>
      <c r="O41" s="37">
        <f t="shared" si="4"/>
        <v>5.1480005616669544E-2</v>
      </c>
      <c r="P41" s="37">
        <f t="shared" si="5"/>
        <v>0.14558653516000053</v>
      </c>
      <c r="Q41" s="150">
        <f t="shared" si="1"/>
        <v>1.4779414517264975E-2</v>
      </c>
      <c r="R41">
        <f t="shared" si="6"/>
        <v>0.20705959738688229</v>
      </c>
    </row>
    <row r="42" spans="1:18" x14ac:dyDescent="0.25">
      <c r="A42" s="98" t="s">
        <v>1831</v>
      </c>
      <c r="B42" s="99">
        <v>3471.6948933333329</v>
      </c>
      <c r="C42" s="99">
        <v>208240.98978571422</v>
      </c>
      <c r="D42" s="99">
        <v>9097.8139388888885</v>
      </c>
      <c r="E42" s="99">
        <v>1887.1182000000001</v>
      </c>
      <c r="F42" s="99">
        <v>6253103.3765200004</v>
      </c>
      <c r="G42" s="37">
        <f t="shared" si="0"/>
        <v>15.460595569048223</v>
      </c>
      <c r="H42">
        <v>2000</v>
      </c>
      <c r="I42">
        <v>15.68</v>
      </c>
      <c r="J42">
        <v>0</v>
      </c>
      <c r="K42">
        <v>9.36</v>
      </c>
      <c r="L42">
        <v>6.32</v>
      </c>
      <c r="M42" s="37">
        <f t="shared" si="2"/>
        <v>0.21940443095177642</v>
      </c>
      <c r="N42" s="37">
        <f t="shared" si="3"/>
        <v>-1.9989999999999999E-3</v>
      </c>
      <c r="O42" s="37">
        <f t="shared" si="4"/>
        <v>0.15251127916666896</v>
      </c>
      <c r="P42" s="37">
        <f t="shared" si="5"/>
        <v>6.6896623479999917E-2</v>
      </c>
      <c r="Q42" s="150">
        <f t="shared" si="1"/>
        <v>1.3992629524985742E-2</v>
      </c>
      <c r="R42">
        <f t="shared" si="6"/>
        <v>0.21940443095177642</v>
      </c>
    </row>
    <row r="43" spans="1:18" x14ac:dyDescent="0.25">
      <c r="A43" s="98" t="s">
        <v>1832</v>
      </c>
      <c r="B43" s="99">
        <v>3471.6948933333329</v>
      </c>
      <c r="C43" s="99">
        <v>227063.6529857142</v>
      </c>
      <c r="D43" s="99">
        <v>8252.4418472222223</v>
      </c>
      <c r="E43" s="99">
        <v>1946.3994</v>
      </c>
      <c r="F43" s="99">
        <v>5845226.7473600004</v>
      </c>
      <c r="G43" s="37">
        <f t="shared" si="0"/>
        <v>15.810254976838223</v>
      </c>
      <c r="H43">
        <v>2001</v>
      </c>
      <c r="I43">
        <v>16.03</v>
      </c>
      <c r="J43">
        <v>0</v>
      </c>
      <c r="K43">
        <v>10.11</v>
      </c>
      <c r="L43">
        <v>5.91</v>
      </c>
      <c r="M43" s="37">
        <f t="shared" si="2"/>
        <v>0.21974502316177791</v>
      </c>
      <c r="N43" s="37">
        <f t="shared" si="3"/>
        <v>-2E-3</v>
      </c>
      <c r="O43" s="37">
        <f t="shared" si="4"/>
        <v>0.14497524221667035</v>
      </c>
      <c r="P43" s="37">
        <f t="shared" si="5"/>
        <v>6.4773252639999335E-2</v>
      </c>
      <c r="Q43" s="150">
        <f t="shared" si="1"/>
        <v>1.3708360771165183E-2</v>
      </c>
      <c r="R43">
        <f t="shared" si="6"/>
        <v>0.21974502316177791</v>
      </c>
    </row>
    <row r="44" spans="1:18" x14ac:dyDescent="0.25">
      <c r="A44" s="98" t="s">
        <v>1833</v>
      </c>
      <c r="B44" s="99">
        <v>19094.32191333333</v>
      </c>
      <c r="C44" s="99">
        <v>224751.56178095232</v>
      </c>
      <c r="D44" s="99">
        <v>6682.465105555556</v>
      </c>
      <c r="E44" s="99">
        <v>1254.7854</v>
      </c>
      <c r="F44" s="99">
        <v>5990102.1580400001</v>
      </c>
      <c r="G44" s="37">
        <f t="shared" si="0"/>
        <v>15.76305136839524</v>
      </c>
      <c r="H44">
        <v>2002</v>
      </c>
      <c r="I44">
        <v>15.95</v>
      </c>
      <c r="J44">
        <v>0.02</v>
      </c>
      <c r="K44">
        <v>9.92</v>
      </c>
      <c r="L44">
        <v>6</v>
      </c>
      <c r="M44" s="37">
        <f t="shared" si="2"/>
        <v>0.18694863160475883</v>
      </c>
      <c r="N44" s="37">
        <f t="shared" si="3"/>
        <v>1.7999000000000001E-2</v>
      </c>
      <c r="O44" s="37">
        <f t="shared" si="4"/>
        <v>0.14706988396667064</v>
      </c>
      <c r="P44" s="37">
        <f t="shared" si="5"/>
        <v>9.8978419599999867E-3</v>
      </c>
      <c r="Q44" s="150">
        <f t="shared" si="1"/>
        <v>1.172091734199115E-2</v>
      </c>
      <c r="R44">
        <f t="shared" si="6"/>
        <v>0.18694863160475883</v>
      </c>
    </row>
    <row r="45" spans="1:18" x14ac:dyDescent="0.25">
      <c r="A45" s="98" t="s">
        <v>1834</v>
      </c>
      <c r="B45" s="99">
        <v>12150.932126666665</v>
      </c>
      <c r="C45" s="99">
        <v>212019.78201904756</v>
      </c>
      <c r="D45" s="99">
        <v>9454.3654333333343</v>
      </c>
      <c r="E45" s="99">
        <v>2410.7688000000003</v>
      </c>
      <c r="F45" s="99">
        <v>6900027.17404</v>
      </c>
      <c r="G45" s="37">
        <f t="shared" si="0"/>
        <v>16.303205807572123</v>
      </c>
      <c r="H45">
        <v>2003</v>
      </c>
      <c r="I45">
        <v>16.420000000000002</v>
      </c>
      <c r="J45">
        <v>0.02</v>
      </c>
      <c r="K45">
        <v>9.5500000000000007</v>
      </c>
      <c r="L45">
        <v>6.86</v>
      </c>
      <c r="M45" s="37">
        <f t="shared" si="2"/>
        <v>0.11679419242787858</v>
      </c>
      <c r="N45" s="37">
        <f t="shared" si="3"/>
        <v>1.7998E-2</v>
      </c>
      <c r="O45" s="37">
        <f t="shared" si="4"/>
        <v>0.14683351740000283</v>
      </c>
      <c r="P45" s="37">
        <f t="shared" si="5"/>
        <v>-4.0027174039999558E-2</v>
      </c>
      <c r="Q45" s="150">
        <f t="shared" si="1"/>
        <v>7.1129228031594745E-3</v>
      </c>
      <c r="R45">
        <f t="shared" si="6"/>
        <v>0.11679419242787858</v>
      </c>
    </row>
    <row r="46" spans="1:18" x14ac:dyDescent="0.25">
      <c r="A46" s="98" t="s">
        <v>1835</v>
      </c>
      <c r="B46" s="99">
        <v>6943.3897866666657</v>
      </c>
      <c r="C46" s="99">
        <v>196955.54020476184</v>
      </c>
      <c r="D46" s="99">
        <v>7999.4053027777782</v>
      </c>
      <c r="E46" s="99">
        <v>2756.5758000000001</v>
      </c>
      <c r="F46" s="99">
        <v>6182008.6327999998</v>
      </c>
      <c r="G46" s="37">
        <f t="shared" si="0"/>
        <v>14.905899471106453</v>
      </c>
      <c r="H46">
        <v>2004</v>
      </c>
      <c r="I46">
        <v>15.02</v>
      </c>
      <c r="J46">
        <v>0.01</v>
      </c>
      <c r="K46">
        <v>8.86</v>
      </c>
      <c r="L46">
        <v>6.15</v>
      </c>
      <c r="M46" s="37">
        <f t="shared" si="2"/>
        <v>0.11410052889354638</v>
      </c>
      <c r="N46" s="37">
        <f t="shared" si="3"/>
        <v>7.9970000000000006E-3</v>
      </c>
      <c r="O46" s="37">
        <f t="shared" si="4"/>
        <v>0.13611610508333527</v>
      </c>
      <c r="P46" s="37">
        <f t="shared" si="5"/>
        <v>-3.2008632799999326E-2</v>
      </c>
      <c r="Q46" s="150">
        <f t="shared" si="1"/>
        <v>7.5965731620203985E-3</v>
      </c>
      <c r="R46">
        <f t="shared" si="6"/>
        <v>0.11410052889354638</v>
      </c>
    </row>
    <row r="47" spans="1:18" x14ac:dyDescent="0.25">
      <c r="A47" s="98" t="s">
        <v>1836</v>
      </c>
      <c r="B47" s="99">
        <v>5207.5423399999991</v>
      </c>
      <c r="C47" s="99">
        <v>187666.43369047614</v>
      </c>
      <c r="D47" s="99">
        <v>9764.9102833333345</v>
      </c>
      <c r="E47" s="99">
        <v>2954.1797999999999</v>
      </c>
      <c r="F47" s="99">
        <v>6501962.3869200004</v>
      </c>
      <c r="G47" s="37">
        <f t="shared" si="0"/>
        <v>14.918159592962338</v>
      </c>
      <c r="H47">
        <v>2005</v>
      </c>
      <c r="I47">
        <v>14.93</v>
      </c>
      <c r="J47">
        <v>0.01</v>
      </c>
      <c r="K47">
        <v>8.5399999999999991</v>
      </c>
      <c r="L47">
        <v>6.38</v>
      </c>
      <c r="M47" s="37">
        <f t="shared" si="2"/>
        <v>1.1840407037661649E-2</v>
      </c>
      <c r="N47" s="37">
        <f t="shared" si="3"/>
        <v>7.9959999999999996E-3</v>
      </c>
      <c r="O47" s="37">
        <f t="shared" si="4"/>
        <v>0.12380800150000049</v>
      </c>
      <c r="P47" s="37">
        <f t="shared" si="5"/>
        <v>-0.12196238692000083</v>
      </c>
      <c r="Q47" s="150">
        <f t="shared" si="1"/>
        <v>7.9306142248236091E-4</v>
      </c>
      <c r="R47">
        <f t="shared" si="6"/>
        <v>1.1840407037661649E-2</v>
      </c>
    </row>
    <row r="48" spans="1:18" x14ac:dyDescent="0.25">
      <c r="A48" s="98" t="s">
        <v>1837</v>
      </c>
      <c r="B48" s="99">
        <v>1735.8474466666664</v>
      </c>
      <c r="C48" s="99">
        <v>159350.95549999995</v>
      </c>
      <c r="D48" s="99">
        <v>9977.6910138888888</v>
      </c>
      <c r="E48" s="99">
        <v>2351.4875999999999</v>
      </c>
      <c r="F48" s="99">
        <v>5694266.8983199997</v>
      </c>
      <c r="G48" s="37">
        <f t="shared" si="0"/>
        <v>12.904834266950777</v>
      </c>
      <c r="H48">
        <v>2006</v>
      </c>
      <c r="I48">
        <v>12.85</v>
      </c>
      <c r="J48">
        <v>0</v>
      </c>
      <c r="K48">
        <v>7.28</v>
      </c>
      <c r="L48">
        <v>5.56</v>
      </c>
      <c r="M48" s="37">
        <f t="shared" si="2"/>
        <v>-5.4834266950777533E-2</v>
      </c>
      <c r="N48" s="37">
        <f t="shared" si="3"/>
        <v>-2.0049999999999998E-3</v>
      </c>
      <c r="O48" s="37">
        <f t="shared" si="4"/>
        <v>6.9434367216669735E-2</v>
      </c>
      <c r="P48" s="37">
        <f t="shared" si="5"/>
        <v>-0.13426689831999994</v>
      </c>
      <c r="Q48" s="150">
        <f t="shared" si="1"/>
        <v>-4.2672581284651781E-3</v>
      </c>
      <c r="R48">
        <f t="shared" si="6"/>
        <v>5.4834266950777533E-2</v>
      </c>
    </row>
    <row r="49" spans="1:18" x14ac:dyDescent="0.25">
      <c r="A49" s="98" t="s">
        <v>1838</v>
      </c>
      <c r="B49" s="99">
        <v>3471.6948933333329</v>
      </c>
      <c r="C49" s="99">
        <v>161764.90094285709</v>
      </c>
      <c r="D49" s="99">
        <v>10316.990016666667</v>
      </c>
      <c r="E49" s="99">
        <v>1590.7121999999999</v>
      </c>
      <c r="F49" s="99">
        <v>6314605.5372399995</v>
      </c>
      <c r="G49" s="37">
        <f t="shared" si="0"/>
        <v>13.608858341634889</v>
      </c>
      <c r="H49">
        <v>2007</v>
      </c>
      <c r="I49">
        <v>13.52</v>
      </c>
      <c r="J49">
        <v>0.01</v>
      </c>
      <c r="K49">
        <v>7.31</v>
      </c>
      <c r="L49">
        <v>6.21</v>
      </c>
      <c r="M49" s="37">
        <f t="shared" si="2"/>
        <v>-8.8858341634889371E-2</v>
      </c>
      <c r="N49" s="37">
        <f t="shared" si="3"/>
        <v>7.9940000000000011E-3</v>
      </c>
      <c r="O49" s="37">
        <f t="shared" si="4"/>
        <v>1.5750667300002519E-2</v>
      </c>
      <c r="P49" s="37">
        <f t="shared" si="5"/>
        <v>-0.10460553723999944</v>
      </c>
      <c r="Q49" s="150">
        <f t="shared" si="1"/>
        <v>-6.572362546959273E-3</v>
      </c>
      <c r="R49">
        <f t="shared" si="6"/>
        <v>8.8858341634889371E-2</v>
      </c>
    </row>
    <row r="50" spans="1:18" x14ac:dyDescent="0.25">
      <c r="A50" s="98" t="s">
        <v>1839</v>
      </c>
      <c r="B50" s="99">
        <v>0</v>
      </c>
      <c r="C50" s="99">
        <v>160858.39822380946</v>
      </c>
      <c r="D50" s="99">
        <v>11041.594666666668</v>
      </c>
      <c r="E50" s="99">
        <v>622.45260000000007</v>
      </c>
      <c r="F50" s="99">
        <v>7280331.9789199997</v>
      </c>
      <c r="G50" s="37">
        <f t="shared" si="0"/>
        <v>14.526274689519997</v>
      </c>
      <c r="H50">
        <v>2008</v>
      </c>
      <c r="I50">
        <v>14.4</v>
      </c>
      <c r="J50" t="s">
        <v>1887</v>
      </c>
      <c r="K50">
        <v>7.26</v>
      </c>
      <c r="L50">
        <v>7.14</v>
      </c>
      <c r="M50" s="37">
        <f t="shared" si="2"/>
        <v>-0.1262746895199971</v>
      </c>
      <c r="N50" s="63"/>
      <c r="O50" s="37">
        <f t="shared" si="4"/>
        <v>1.4057289400001949E-2</v>
      </c>
      <c r="P50" s="37">
        <f t="shared" si="5"/>
        <v>-0.14033197891999993</v>
      </c>
      <c r="Q50" s="150">
        <f t="shared" si="1"/>
        <v>-8.7690756611109085E-3</v>
      </c>
      <c r="R50">
        <f t="shared" si="6"/>
        <v>0.1262746895199971</v>
      </c>
    </row>
    <row r="51" spans="1:18" x14ac:dyDescent="0.25">
      <c r="A51" s="98" t="s">
        <v>1840</v>
      </c>
      <c r="B51" s="99">
        <v>0</v>
      </c>
      <c r="C51" s="99">
        <v>145407.11030476185</v>
      </c>
      <c r="D51" s="99">
        <v>10322.740847222223</v>
      </c>
      <c r="E51" s="99">
        <v>978.13980000000004</v>
      </c>
      <c r="F51" s="99">
        <v>7283949.7530800002</v>
      </c>
      <c r="G51" s="37">
        <f t="shared" si="0"/>
        <v>13.865685373063332</v>
      </c>
      <c r="H51">
        <v>2009</v>
      </c>
      <c r="I51">
        <v>13.85</v>
      </c>
      <c r="J51" t="s">
        <v>1888</v>
      </c>
      <c r="K51">
        <v>6.59</v>
      </c>
      <c r="L51">
        <v>7.27</v>
      </c>
      <c r="M51" s="37">
        <f t="shared" si="2"/>
        <v>-1.5685373063332619E-2</v>
      </c>
      <c r="N51" s="63"/>
      <c r="O51" s="37">
        <f t="shared" si="4"/>
        <v>8.2643800166684045E-3</v>
      </c>
      <c r="P51" s="37">
        <f t="shared" si="5"/>
        <v>-1.3949753080000349E-2</v>
      </c>
      <c r="Q51" s="150">
        <f t="shared" si="1"/>
        <v>-1.1325179107099365E-3</v>
      </c>
      <c r="R51">
        <f t="shared" si="6"/>
        <v>1.5685373063332619E-2</v>
      </c>
    </row>
    <row r="52" spans="1:18" x14ac:dyDescent="0.25">
      <c r="A52" s="98" t="s">
        <v>1841</v>
      </c>
      <c r="B52" s="99">
        <v>0</v>
      </c>
      <c r="C52" s="99">
        <v>148635.88965238089</v>
      </c>
      <c r="D52" s="99">
        <v>9690.1494861111114</v>
      </c>
      <c r="E52" s="99">
        <v>988.02</v>
      </c>
      <c r="F52" s="99">
        <v>6884843.4855199996</v>
      </c>
      <c r="G52" s="37">
        <f t="shared" si="0"/>
        <v>13.576033969336665</v>
      </c>
      <c r="H52">
        <v>2010</v>
      </c>
      <c r="I52">
        <v>13.59</v>
      </c>
      <c r="J52" t="s">
        <v>1889</v>
      </c>
      <c r="K52">
        <v>6.7</v>
      </c>
      <c r="L52">
        <v>6.89</v>
      </c>
      <c r="M52" s="37">
        <f t="shared" si="2"/>
        <v>1.3966030663334905E-2</v>
      </c>
      <c r="N52" s="63"/>
      <c r="O52" s="37">
        <f t="shared" si="4"/>
        <v>8.8095161833354751E-3</v>
      </c>
      <c r="P52" s="37">
        <f t="shared" si="5"/>
        <v>5.1565144800003182E-3</v>
      </c>
      <c r="Q52" s="150">
        <f t="shared" si="1"/>
        <v>1.0276696588178739E-3</v>
      </c>
      <c r="R52">
        <f t="shared" si="6"/>
        <v>1.3966030663334905E-2</v>
      </c>
    </row>
    <row r="53" spans="1:18" x14ac:dyDescent="0.25">
      <c r="A53" s="98" t="s">
        <v>1842</v>
      </c>
      <c r="B53" s="99">
        <v>0</v>
      </c>
      <c r="C53" s="99">
        <v>144734.87233333327</v>
      </c>
      <c r="D53" s="99">
        <v>11438.401975000001</v>
      </c>
      <c r="E53" s="99">
        <v>612.57240000000002</v>
      </c>
      <c r="F53" s="99">
        <v>7082998.8429199997</v>
      </c>
      <c r="G53" s="37">
        <f t="shared" si="0"/>
        <v>13.668004404669999</v>
      </c>
      <c r="H53">
        <v>2011</v>
      </c>
      <c r="I53">
        <v>13.62</v>
      </c>
      <c r="J53" t="s">
        <v>1889</v>
      </c>
      <c r="K53">
        <v>6.57</v>
      </c>
      <c r="L53">
        <v>7.06</v>
      </c>
      <c r="M53" s="37">
        <f t="shared" si="2"/>
        <v>-4.8004404669999445E-2</v>
      </c>
      <c r="N53" s="63"/>
      <c r="O53" s="37">
        <f t="shared" si="4"/>
        <v>-1.5005561749997121E-2</v>
      </c>
      <c r="P53" s="37">
        <f t="shared" si="5"/>
        <v>-2.2998842919999873E-2</v>
      </c>
      <c r="Q53" s="150">
        <f t="shared" si="1"/>
        <v>-3.5245524720998126E-3</v>
      </c>
      <c r="R53">
        <f t="shared" si="6"/>
        <v>4.8004404669999445E-2</v>
      </c>
    </row>
    <row r="54" spans="1:18" x14ac:dyDescent="0.25">
      <c r="A54" s="98" t="s">
        <v>1843</v>
      </c>
      <c r="B54" s="99">
        <v>0</v>
      </c>
      <c r="C54" s="99">
        <v>121430.62265714281</v>
      </c>
      <c r="D54" s="99">
        <v>8948.2923444444441</v>
      </c>
      <c r="E54" s="99">
        <v>286.5258</v>
      </c>
      <c r="F54" s="99">
        <v>6320689.9755999995</v>
      </c>
      <c r="G54" s="37">
        <f t="shared" si="0"/>
        <v>11.808638489266665</v>
      </c>
      <c r="H54">
        <v>2012</v>
      </c>
      <c r="I54">
        <v>11.8</v>
      </c>
      <c r="J54" t="s">
        <v>1887</v>
      </c>
      <c r="K54">
        <v>5.47</v>
      </c>
      <c r="L54">
        <v>6.33</v>
      </c>
      <c r="M54" s="37">
        <f t="shared" si="2"/>
        <v>-8.6384892666639956E-3</v>
      </c>
      <c r="N54" s="63"/>
      <c r="O54" s="37">
        <f t="shared" si="4"/>
        <v>-1.7948513666665278E-2</v>
      </c>
      <c r="P54" s="37">
        <f t="shared" si="5"/>
        <v>9.310024400000394E-3</v>
      </c>
      <c r="Q54" s="150">
        <f t="shared" si="1"/>
        <v>-7.3207536158169449E-4</v>
      </c>
      <c r="R54">
        <f t="shared" si="6"/>
        <v>8.6384892666639956E-3</v>
      </c>
    </row>
    <row r="55" spans="1:18" x14ac:dyDescent="0.25">
      <c r="A55" s="98" t="s">
        <v>1844</v>
      </c>
      <c r="B55" s="99">
        <v>0</v>
      </c>
      <c r="C55" s="99">
        <v>130943.80849523806</v>
      </c>
      <c r="D55" s="99">
        <v>10719.548155555556</v>
      </c>
      <c r="E55" s="99">
        <v>296.40600000000001</v>
      </c>
      <c r="F55" s="99">
        <v>6406036.5569200004</v>
      </c>
      <c r="G55" s="37">
        <f t="shared" si="0"/>
        <v>12.368346588253333</v>
      </c>
      <c r="H55">
        <v>2013</v>
      </c>
      <c r="I55">
        <v>12.28</v>
      </c>
      <c r="J55" t="s">
        <v>1890</v>
      </c>
      <c r="K55">
        <v>5.88</v>
      </c>
      <c r="L55">
        <v>6.4</v>
      </c>
      <c r="M55" s="105">
        <f t="shared" si="2"/>
        <v>-8.8346588253333636E-2</v>
      </c>
      <c r="N55" s="63"/>
      <c r="O55" s="37">
        <f t="shared" si="4"/>
        <v>-8.2310031333332034E-2</v>
      </c>
      <c r="P55" s="37">
        <f t="shared" si="5"/>
        <v>-6.0365569199998248E-3</v>
      </c>
      <c r="Q55" s="150">
        <f>M55/I55</f>
        <v>-7.1943475776330328E-3</v>
      </c>
      <c r="R55">
        <f t="shared" si="6"/>
        <v>8.8346588253333636E-2</v>
      </c>
    </row>
    <row r="56" spans="1:18" x14ac:dyDescent="0.25">
      <c r="A56" s="98" t="s">
        <v>1845</v>
      </c>
      <c r="B56" s="99">
        <v>0</v>
      </c>
      <c r="C56" s="99">
        <v>148544.22083809518</v>
      </c>
      <c r="D56" s="99">
        <v>12174.508286111111</v>
      </c>
      <c r="E56" s="99">
        <v>513.7704</v>
      </c>
      <c r="F56" s="99">
        <v>6956102.6735199997</v>
      </c>
      <c r="G56" s="37">
        <f t="shared" si="0"/>
        <v>13.727867653536663</v>
      </c>
      <c r="H56">
        <v>2014</v>
      </c>
      <c r="I56">
        <v>13.58</v>
      </c>
      <c r="J56" t="s">
        <v>1889</v>
      </c>
      <c r="K56">
        <v>6.7</v>
      </c>
      <c r="L56">
        <v>6.88</v>
      </c>
      <c r="M56" s="105">
        <f t="shared" si="2"/>
        <v>-0.14786765353666276</v>
      </c>
      <c r="N56" s="63"/>
      <c r="O56" s="37">
        <f t="shared" si="4"/>
        <v>-7.1764980016664204E-2</v>
      </c>
      <c r="P56" s="37">
        <f t="shared" si="5"/>
        <v>-7.6102673519999442E-2</v>
      </c>
      <c r="Q56" s="150">
        <f t="shared" ref="Q56:Q64" si="7">M56/I56</f>
        <v>-1.0888634281050276E-2</v>
      </c>
      <c r="R56">
        <f t="shared" si="6"/>
        <v>0.14786765353666276</v>
      </c>
    </row>
    <row r="57" spans="1:18" x14ac:dyDescent="0.25">
      <c r="A57" s="98" t="s">
        <v>1846</v>
      </c>
      <c r="B57" s="99">
        <v>0</v>
      </c>
      <c r="C57" s="99">
        <v>147332.15540476187</v>
      </c>
      <c r="D57" s="99">
        <v>11380.893669444446</v>
      </c>
      <c r="E57" s="99">
        <v>434.72880000000004</v>
      </c>
      <c r="F57" s="99">
        <v>6942947.13112</v>
      </c>
      <c r="G57" s="37">
        <f t="shared" si="0"/>
        <v>13.627153801836666</v>
      </c>
      <c r="H57">
        <v>2015</v>
      </c>
      <c r="I57">
        <v>13.49</v>
      </c>
      <c r="J57" t="s">
        <v>1888</v>
      </c>
      <c r="K57">
        <v>6.59</v>
      </c>
      <c r="L57">
        <v>6.9</v>
      </c>
      <c r="M57" s="105">
        <f t="shared" si="2"/>
        <v>-0.13715380183666603</v>
      </c>
      <c r="N57" s="63"/>
      <c r="O57" s="37">
        <f t="shared" si="4"/>
        <v>-9.4206670716665109E-2</v>
      </c>
      <c r="P57" s="37">
        <f t="shared" si="5"/>
        <v>-4.2947131120000037E-2</v>
      </c>
      <c r="Q57" s="150">
        <f t="shared" si="7"/>
        <v>-1.0167072041265088E-2</v>
      </c>
      <c r="R57">
        <f t="shared" si="6"/>
        <v>0.13715380183666603</v>
      </c>
    </row>
    <row r="58" spans="1:18" x14ac:dyDescent="0.25">
      <c r="A58" s="98" t="s">
        <v>1847</v>
      </c>
      <c r="B58" s="99">
        <v>0</v>
      </c>
      <c r="C58" s="99">
        <v>114392.49480476187</v>
      </c>
      <c r="D58" s="99">
        <v>11306.132872222222</v>
      </c>
      <c r="E58" s="99">
        <v>513.7704</v>
      </c>
      <c r="F58" s="99">
        <v>6143747.9303200003</v>
      </c>
      <c r="G58" s="37">
        <f t="shared" si="0"/>
        <v>11.444668649553334</v>
      </c>
      <c r="H58">
        <v>2016</v>
      </c>
      <c r="I58">
        <v>11.27</v>
      </c>
      <c r="J58" t="s">
        <v>1891</v>
      </c>
      <c r="K58">
        <v>5.16</v>
      </c>
      <c r="L58">
        <v>6.11</v>
      </c>
      <c r="M58" s="105">
        <f t="shared" si="2"/>
        <v>-0.17466864955333428</v>
      </c>
      <c r="N58" s="63"/>
      <c r="O58" s="37">
        <f t="shared" si="4"/>
        <v>-0.14092071923333194</v>
      </c>
      <c r="P58" s="37">
        <f t="shared" si="5"/>
        <v>-3.3747930319999675E-2</v>
      </c>
      <c r="Q58" s="150">
        <f t="shared" si="7"/>
        <v>-1.549854920615211E-2</v>
      </c>
      <c r="R58">
        <f t="shared" si="6"/>
        <v>0.17466864955333428</v>
      </c>
    </row>
    <row r="59" spans="1:18" x14ac:dyDescent="0.25">
      <c r="A59" s="98" t="s">
        <v>1848</v>
      </c>
      <c r="B59" s="99">
        <v>0</v>
      </c>
      <c r="C59" s="99">
        <v>125066.81895714282</v>
      </c>
      <c r="D59" s="99">
        <v>12180.259116666668</v>
      </c>
      <c r="E59" s="99">
        <v>355.68720000000002</v>
      </c>
      <c r="F59" s="99">
        <v>6642507.4315600004</v>
      </c>
      <c r="G59" s="37">
        <f t="shared" si="0"/>
        <v>12.421823573059998</v>
      </c>
      <c r="H59">
        <v>2017</v>
      </c>
      <c r="I59">
        <v>12.24</v>
      </c>
      <c r="J59" t="s">
        <v>1887</v>
      </c>
      <c r="K59">
        <v>5.63</v>
      </c>
      <c r="L59">
        <v>6.61</v>
      </c>
      <c r="M59" s="105">
        <f t="shared" si="2"/>
        <v>-0.1818235730599973</v>
      </c>
      <c r="N59" s="63"/>
      <c r="O59" s="37">
        <f t="shared" si="4"/>
        <v>-0.14931614149999817</v>
      </c>
      <c r="P59" s="37">
        <f t="shared" si="5"/>
        <v>-3.2507431560000022E-2</v>
      </c>
      <c r="Q59" s="150">
        <f t="shared" si="7"/>
        <v>-1.4854867080065139E-2</v>
      </c>
      <c r="R59">
        <f t="shared" si="6"/>
        <v>0.1818235730599973</v>
      </c>
    </row>
    <row r="60" spans="1:18" x14ac:dyDescent="0.25">
      <c r="A60" s="98" t="s">
        <v>1849</v>
      </c>
      <c r="B60" s="99">
        <v>0</v>
      </c>
      <c r="C60" s="99">
        <v>135618.91802380947</v>
      </c>
      <c r="D60" s="99">
        <v>12939.368750000001</v>
      </c>
      <c r="E60" s="99">
        <v>345.80700000000002</v>
      </c>
      <c r="F60" s="99">
        <v>7142143.9689600002</v>
      </c>
      <c r="G60" s="37">
        <f t="shared" si="0"/>
        <v>13.396115907459999</v>
      </c>
      <c r="H60">
        <v>2018</v>
      </c>
      <c r="I60">
        <v>13.28</v>
      </c>
      <c r="J60" t="s">
        <v>1891</v>
      </c>
      <c r="K60">
        <v>6.17</v>
      </c>
      <c r="L60">
        <v>7.11</v>
      </c>
      <c r="M60" s="105">
        <f t="shared" si="2"/>
        <v>-0.11611590745999933</v>
      </c>
      <c r="N60" s="63"/>
      <c r="O60" s="37">
        <f t="shared" si="4"/>
        <v>-8.3971938499997734E-2</v>
      </c>
      <c r="P60" s="37">
        <f t="shared" si="5"/>
        <v>-3.2143968959999825E-2</v>
      </c>
      <c r="Q60" s="150">
        <f t="shared" si="7"/>
        <v>-8.7436677304216365E-3</v>
      </c>
      <c r="R60">
        <f t="shared" si="6"/>
        <v>0.11611590745999933</v>
      </c>
    </row>
    <row r="61" spans="1:18" x14ac:dyDescent="0.25">
      <c r="A61" s="98" t="s">
        <v>1850</v>
      </c>
      <c r="B61" s="99">
        <v>0</v>
      </c>
      <c r="C61" s="99">
        <v>134050.36275714281</v>
      </c>
      <c r="D61" s="99">
        <v>15492.737516666668</v>
      </c>
      <c r="E61" s="99">
        <v>424.84860000000003</v>
      </c>
      <c r="F61" s="99">
        <v>7406351.11216</v>
      </c>
      <c r="G61" s="37">
        <f t="shared" si="0"/>
        <v>13.705004964859997</v>
      </c>
      <c r="H61">
        <v>2019</v>
      </c>
      <c r="I61">
        <v>13.6</v>
      </c>
      <c r="J61" t="s">
        <v>1890</v>
      </c>
      <c r="K61">
        <v>6.23</v>
      </c>
      <c r="L61">
        <v>7.37</v>
      </c>
      <c r="M61" s="105">
        <f t="shared" si="2"/>
        <v>-0.10500496485999733</v>
      </c>
      <c r="N61" s="63"/>
      <c r="O61" s="37">
        <f t="shared" si="4"/>
        <v>-6.8653852699997131E-2</v>
      </c>
      <c r="P61" s="37">
        <f t="shared" si="5"/>
        <v>-3.6351112160000199E-2</v>
      </c>
      <c r="Q61" s="150">
        <f t="shared" si="7"/>
        <v>-7.7209532985292153E-3</v>
      </c>
      <c r="R61">
        <f t="shared" si="6"/>
        <v>0.10500496485999733</v>
      </c>
    </row>
    <row r="62" spans="1:18" x14ac:dyDescent="0.25">
      <c r="A62" s="98" t="s">
        <v>1851</v>
      </c>
      <c r="B62" s="99">
        <v>0</v>
      </c>
      <c r="C62" s="99">
        <v>120361.15315714282</v>
      </c>
      <c r="D62" s="99">
        <v>12933.617919444445</v>
      </c>
      <c r="E62" s="99">
        <v>484.12979999999999</v>
      </c>
      <c r="F62" s="99">
        <v>6596024.5150800003</v>
      </c>
      <c r="G62" s="37">
        <f t="shared" si="0"/>
        <v>12.214738351896665</v>
      </c>
      <c r="H62">
        <v>2020</v>
      </c>
      <c r="I62">
        <v>12.1</v>
      </c>
      <c r="J62" t="s">
        <v>1891</v>
      </c>
      <c r="K62">
        <v>5.55</v>
      </c>
      <c r="L62">
        <v>6.56</v>
      </c>
      <c r="M62" s="105">
        <f t="shared" si="2"/>
        <v>-0.11473835189666559</v>
      </c>
      <c r="N62" s="63"/>
      <c r="O62" s="37">
        <f t="shared" si="4"/>
        <v>-6.8713836816665541E-2</v>
      </c>
      <c r="P62" s="37">
        <f t="shared" si="5"/>
        <v>-3.6024515080000263E-2</v>
      </c>
      <c r="Q62" s="150">
        <f t="shared" si="7"/>
        <v>-9.4825084212120329E-3</v>
      </c>
      <c r="R62">
        <f t="shared" si="6"/>
        <v>0.11473835189666559</v>
      </c>
    </row>
    <row r="63" spans="1:18" x14ac:dyDescent="0.25">
      <c r="A63" s="98" t="s">
        <v>1852</v>
      </c>
      <c r="B63" s="99">
        <v>0</v>
      </c>
      <c r="C63" s="99">
        <v>126625.18879999996</v>
      </c>
      <c r="D63" s="99">
        <v>12105.498319444445</v>
      </c>
      <c r="E63" s="99">
        <v>365.56740000000002</v>
      </c>
      <c r="F63" s="99">
        <v>6731910.3051199997</v>
      </c>
      <c r="G63" s="37">
        <f t="shared" si="0"/>
        <v>12.573952994936665</v>
      </c>
      <c r="H63">
        <v>2021</v>
      </c>
      <c r="I63">
        <v>12.48</v>
      </c>
      <c r="J63" t="s">
        <v>1890</v>
      </c>
      <c r="K63">
        <v>5.79</v>
      </c>
      <c r="L63">
        <v>6.69</v>
      </c>
      <c r="M63" s="105">
        <f t="shared" si="2"/>
        <v>-9.3952994936664425E-2</v>
      </c>
      <c r="N63" s="63"/>
      <c r="O63" s="37">
        <f t="shared" si="4"/>
        <v>-5.2042689816665266E-2</v>
      </c>
      <c r="P63" s="37">
        <f t="shared" si="5"/>
        <v>-4.1910305119999158E-2</v>
      </c>
      <c r="Q63" s="150">
        <f t="shared" si="7"/>
        <v>-7.5282848506942647E-3</v>
      </c>
      <c r="R63">
        <f t="shared" si="6"/>
        <v>9.3952994936664425E-2</v>
      </c>
    </row>
    <row r="64" spans="1:18" x14ac:dyDescent="0.25">
      <c r="A64" s="98" t="s">
        <v>1853</v>
      </c>
      <c r="B64" s="99">
        <v>0</v>
      </c>
      <c r="C64" s="99">
        <v>124954.77929523806</v>
      </c>
      <c r="D64" s="99">
        <v>11875.465097222223</v>
      </c>
      <c r="E64" s="99">
        <v>326.04660000000001</v>
      </c>
      <c r="F64" s="99">
        <v>7210497.97468</v>
      </c>
      <c r="G64" s="37">
        <f t="shared" si="0"/>
        <v>12.971062196363331</v>
      </c>
      <c r="H64">
        <v>2022</v>
      </c>
      <c r="I64">
        <v>12.88</v>
      </c>
      <c r="J64" t="s">
        <v>1891</v>
      </c>
      <c r="K64">
        <v>5.71</v>
      </c>
      <c r="L64">
        <v>7.17</v>
      </c>
      <c r="M64" s="105">
        <f t="shared" si="2"/>
        <v>-9.1062196363330017E-2</v>
      </c>
      <c r="N64" s="63"/>
      <c r="O64" s="37">
        <f t="shared" si="4"/>
        <v>-5.0564221683331745E-2</v>
      </c>
      <c r="P64" s="37">
        <f t="shared" si="5"/>
        <v>-4.0497974680000048E-2</v>
      </c>
      <c r="Q64" s="150">
        <f t="shared" si="7"/>
        <v>-7.0700463015007774E-3</v>
      </c>
      <c r="R64">
        <f t="shared" si="6"/>
        <v>9.1062196363330017E-2</v>
      </c>
    </row>
    <row r="65" spans="1:19" x14ac:dyDescent="0.25">
      <c r="A65" s="98" t="s">
        <v>1854</v>
      </c>
      <c r="B65" s="99">
        <v>0</v>
      </c>
      <c r="C65" s="99">
        <v>125280.71285714282</v>
      </c>
      <c r="D65" s="99">
        <v>11421.149483333335</v>
      </c>
      <c r="E65" s="99">
        <v>592.81200000000001</v>
      </c>
      <c r="F65" s="99">
        <v>6018934.7218000004</v>
      </c>
      <c r="G65" s="37">
        <f t="shared" si="0"/>
        <v>11.785311044099998</v>
      </c>
      <c r="M65" s="106">
        <f>SUM(M55:M64)</f>
        <v>-1.2507346817566507</v>
      </c>
      <c r="R65">
        <f>AVERAGE(R32:R64)</f>
        <v>9.9026960704180517E-2</v>
      </c>
      <c r="S65" t="s">
        <v>2168</v>
      </c>
    </row>
    <row r="67" spans="1:19" x14ac:dyDescent="0.25">
      <c r="A67" s="120" t="s">
        <v>1971</v>
      </c>
    </row>
    <row r="68" spans="1:19" x14ac:dyDescent="0.25">
      <c r="A68" s="120" t="s">
        <v>1966</v>
      </c>
    </row>
    <row r="69" spans="1:19" x14ac:dyDescent="0.25">
      <c r="A69" s="120" t="s">
        <v>1964</v>
      </c>
    </row>
    <row r="70" spans="1:19" x14ac:dyDescent="0.25">
      <c r="A70" s="120" t="s">
        <v>1967</v>
      </c>
    </row>
    <row r="71" spans="1:19" x14ac:dyDescent="0.25">
      <c r="A71" s="120" t="s">
        <v>1968</v>
      </c>
    </row>
    <row r="72" spans="1:19" x14ac:dyDescent="0.25">
      <c r="A72" s="120" t="s">
        <v>1969</v>
      </c>
    </row>
  </sheetData>
  <mergeCells count="2">
    <mergeCell ref="H1:L1"/>
    <mergeCell ref="M30:P30"/>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FE0D7-DA53-461E-A704-BDB17E3C6127}">
  <dimension ref="A1:AG48"/>
  <sheetViews>
    <sheetView workbookViewId="0">
      <selection activeCell="R2" sqref="R2"/>
    </sheetView>
    <sheetView workbookViewId="1">
      <selection sqref="A1:J1"/>
    </sheetView>
  </sheetViews>
  <sheetFormatPr defaultRowHeight="15" x14ac:dyDescent="0.25"/>
  <cols>
    <col min="1" max="1" width="22.7109375" customWidth="1"/>
    <col min="2" max="2" width="8.5703125" customWidth="1"/>
    <col min="3" max="33" width="6.7109375" customWidth="1"/>
  </cols>
  <sheetData>
    <row r="1" spans="1:33" ht="68.25" customHeight="1" x14ac:dyDescent="0.45">
      <c r="A1" s="258" t="s">
        <v>1917</v>
      </c>
      <c r="B1" s="259"/>
      <c r="C1" s="259"/>
      <c r="D1" s="259"/>
      <c r="E1" s="259"/>
      <c r="F1" s="259"/>
      <c r="G1" s="259"/>
      <c r="H1" s="259"/>
      <c r="I1" s="259"/>
      <c r="J1" s="259"/>
    </row>
    <row r="2" spans="1:33" ht="27.75" customHeight="1" x14ac:dyDescent="0.25">
      <c r="A2" s="145" t="s">
        <v>1918</v>
      </c>
      <c r="K2" t="s">
        <v>2155</v>
      </c>
      <c r="R2" t="s">
        <v>2156</v>
      </c>
    </row>
    <row r="3" spans="1:33" x14ac:dyDescent="0.25">
      <c r="A3" t="s">
        <v>1919</v>
      </c>
    </row>
    <row r="4" spans="1:33" x14ac:dyDescent="0.25">
      <c r="A4" s="151"/>
      <c r="B4" s="151" t="s">
        <v>1920</v>
      </c>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row>
    <row r="5" spans="1:33" s="147" customFormat="1" ht="28.5" x14ac:dyDescent="0.3">
      <c r="A5" s="126"/>
      <c r="B5" s="140">
        <v>1990</v>
      </c>
      <c r="C5" s="140">
        <v>1991</v>
      </c>
      <c r="D5" s="140">
        <v>1992</v>
      </c>
      <c r="E5" s="140">
        <v>1993</v>
      </c>
      <c r="F5" s="140">
        <v>1994</v>
      </c>
      <c r="G5" s="140">
        <v>1995</v>
      </c>
      <c r="H5" s="140">
        <v>1996</v>
      </c>
      <c r="I5" s="140">
        <v>1997</v>
      </c>
      <c r="J5" s="140">
        <v>1998</v>
      </c>
      <c r="K5" s="140">
        <v>1999</v>
      </c>
      <c r="L5" s="140">
        <v>2000</v>
      </c>
      <c r="M5" s="140">
        <v>2001</v>
      </c>
      <c r="N5" s="140">
        <v>2002</v>
      </c>
      <c r="O5" s="140">
        <v>2003</v>
      </c>
      <c r="P5" s="140">
        <v>2004</v>
      </c>
      <c r="Q5" s="140">
        <v>2005</v>
      </c>
      <c r="R5" s="140">
        <v>2006</v>
      </c>
      <c r="S5" s="140">
        <v>2007</v>
      </c>
      <c r="T5" s="140">
        <v>2008</v>
      </c>
      <c r="U5" s="140">
        <v>2009</v>
      </c>
      <c r="V5" s="140">
        <v>2010</v>
      </c>
      <c r="W5" s="140">
        <v>2011</v>
      </c>
      <c r="X5" s="140">
        <v>2012</v>
      </c>
      <c r="Y5" s="140">
        <v>2013</v>
      </c>
      <c r="Z5" s="140">
        <v>2014</v>
      </c>
      <c r="AA5" s="140">
        <v>2015</v>
      </c>
      <c r="AB5" s="140">
        <v>2016</v>
      </c>
      <c r="AC5" s="140">
        <v>2017</v>
      </c>
      <c r="AD5" s="140">
        <v>2018</v>
      </c>
      <c r="AE5" s="140">
        <v>2019</v>
      </c>
      <c r="AF5" s="140">
        <v>2020</v>
      </c>
      <c r="AG5" s="130" t="s">
        <v>1921</v>
      </c>
    </row>
    <row r="6" spans="1:33" x14ac:dyDescent="0.25">
      <c r="A6" s="151" t="s">
        <v>1922</v>
      </c>
      <c r="B6" s="151">
        <v>8.15</v>
      </c>
      <c r="C6" s="151">
        <v>7.89</v>
      </c>
      <c r="D6" s="151">
        <v>9.36</v>
      </c>
      <c r="E6" s="151">
        <v>8.94</v>
      </c>
      <c r="F6" s="151">
        <v>8.5399999999999991</v>
      </c>
      <c r="G6" s="151">
        <v>7.85</v>
      </c>
      <c r="H6" s="151">
        <v>8.32</v>
      </c>
      <c r="I6" s="151">
        <v>8.07</v>
      </c>
      <c r="J6" s="151">
        <v>7.02</v>
      </c>
      <c r="K6" s="151">
        <v>7.93</v>
      </c>
      <c r="L6" s="151">
        <v>8.75</v>
      </c>
      <c r="M6" s="151">
        <v>8.4600000000000009</v>
      </c>
      <c r="N6" s="151">
        <v>8.1999999999999993</v>
      </c>
      <c r="O6" s="151">
        <v>9.77</v>
      </c>
      <c r="P6" s="151">
        <v>10.27</v>
      </c>
      <c r="Q6" s="151">
        <v>9.35</v>
      </c>
      <c r="R6" s="151">
        <v>8.06</v>
      </c>
      <c r="S6" s="151">
        <v>8.2899999999999991</v>
      </c>
      <c r="T6" s="151">
        <v>8.1199999999999992</v>
      </c>
      <c r="U6" s="151">
        <v>8.1300000000000008</v>
      </c>
      <c r="V6" s="151">
        <v>7.59</v>
      </c>
      <c r="W6" s="151">
        <v>7.23</v>
      </c>
      <c r="X6" s="151">
        <v>6.67</v>
      </c>
      <c r="Y6" s="151">
        <v>7.26</v>
      </c>
      <c r="Z6" s="151">
        <v>7.54</v>
      </c>
      <c r="AA6" s="151">
        <v>7.73</v>
      </c>
      <c r="AB6" s="151">
        <v>6.31</v>
      </c>
      <c r="AC6" s="151">
        <v>6.54</v>
      </c>
      <c r="AD6" s="151">
        <v>7.51</v>
      </c>
      <c r="AE6" s="151">
        <v>7.33</v>
      </c>
      <c r="AF6" s="131">
        <v>6.59</v>
      </c>
      <c r="AG6" s="141">
        <v>7.1720337291687457</v>
      </c>
    </row>
    <row r="7" spans="1:33" x14ac:dyDescent="0.25">
      <c r="A7" s="151" t="s">
        <v>1788</v>
      </c>
      <c r="B7" s="151">
        <v>15.08</v>
      </c>
      <c r="C7" s="151">
        <v>14.3</v>
      </c>
      <c r="D7" s="151">
        <v>16.399999999999999</v>
      </c>
      <c r="E7" s="151">
        <v>16.52</v>
      </c>
      <c r="F7" s="151">
        <v>16.34</v>
      </c>
      <c r="G7" s="151">
        <v>14.75</v>
      </c>
      <c r="H7" s="151">
        <v>14.55</v>
      </c>
      <c r="I7" s="151">
        <v>14.38</v>
      </c>
      <c r="J7" s="151">
        <v>13.19</v>
      </c>
      <c r="K7" s="151">
        <v>14.01</v>
      </c>
      <c r="L7" s="151">
        <v>15.68</v>
      </c>
      <c r="M7" s="151">
        <v>16.03</v>
      </c>
      <c r="N7" s="151">
        <v>15.95</v>
      </c>
      <c r="O7" s="151">
        <v>16.420000000000002</v>
      </c>
      <c r="P7" s="151">
        <v>15.02</v>
      </c>
      <c r="Q7" s="151">
        <v>14.93</v>
      </c>
      <c r="R7" s="151">
        <v>12.85</v>
      </c>
      <c r="S7" s="151">
        <v>13.53</v>
      </c>
      <c r="T7" s="151">
        <v>14.4</v>
      </c>
      <c r="U7" s="151">
        <v>13.86</v>
      </c>
      <c r="V7" s="151">
        <v>13.59</v>
      </c>
      <c r="W7" s="151">
        <v>13.64</v>
      </c>
      <c r="X7" s="151">
        <v>11.81</v>
      </c>
      <c r="Y7" s="151">
        <v>12.36</v>
      </c>
      <c r="Z7" s="151">
        <v>13.65</v>
      </c>
      <c r="AA7" s="151">
        <v>13.58</v>
      </c>
      <c r="AB7" s="151">
        <v>11.4</v>
      </c>
      <c r="AC7" s="151">
        <v>12.37</v>
      </c>
      <c r="AD7" s="151">
        <v>13.35</v>
      </c>
      <c r="AE7" s="151">
        <v>13.66</v>
      </c>
      <c r="AF7" s="131">
        <v>12.16</v>
      </c>
      <c r="AG7" s="141">
        <v>12.534808568672453</v>
      </c>
    </row>
    <row r="8" spans="1:33" x14ac:dyDescent="0.25">
      <c r="A8" s="151" t="s">
        <v>1923</v>
      </c>
      <c r="B8" s="151">
        <v>2.99</v>
      </c>
      <c r="C8" s="151">
        <v>3</v>
      </c>
      <c r="D8" s="151">
        <v>3.01</v>
      </c>
      <c r="E8" s="151">
        <v>3.13</v>
      </c>
      <c r="F8" s="151">
        <v>3.21</v>
      </c>
      <c r="G8" s="151">
        <v>3.94</v>
      </c>
      <c r="H8" s="151">
        <v>4.0599999999999996</v>
      </c>
      <c r="I8" s="151">
        <v>3.93</v>
      </c>
      <c r="J8" s="151">
        <v>4.2300000000000004</v>
      </c>
      <c r="K8" s="151">
        <v>4.03</v>
      </c>
      <c r="L8" s="151">
        <v>3.94</v>
      </c>
      <c r="M8" s="151">
        <v>3.91</v>
      </c>
      <c r="N8" s="151">
        <v>3.52</v>
      </c>
      <c r="O8" s="151">
        <v>4.82</v>
      </c>
      <c r="P8" s="151">
        <v>5.25</v>
      </c>
      <c r="Q8" s="151">
        <v>4.67</v>
      </c>
      <c r="R8" s="151">
        <v>4.05</v>
      </c>
      <c r="S8" s="151">
        <v>3.86</v>
      </c>
      <c r="T8" s="151">
        <v>3.12</v>
      </c>
      <c r="U8" s="151">
        <v>2.94</v>
      </c>
      <c r="V8" s="151">
        <v>2.67</v>
      </c>
      <c r="W8" s="151">
        <v>2.73</v>
      </c>
      <c r="X8" s="151">
        <v>2.25</v>
      </c>
      <c r="Y8" s="151">
        <v>2.42</v>
      </c>
      <c r="Z8" s="151">
        <v>2.57</v>
      </c>
      <c r="AA8" s="151">
        <v>3.05</v>
      </c>
      <c r="AB8" s="151">
        <v>2.96</v>
      </c>
      <c r="AC8" s="151">
        <v>2.99</v>
      </c>
      <c r="AD8" s="151">
        <v>3.12</v>
      </c>
      <c r="AE8" s="151">
        <v>3.03</v>
      </c>
      <c r="AF8" s="131">
        <v>2.87</v>
      </c>
      <c r="AG8" s="141">
        <v>2.6677028240694538</v>
      </c>
    </row>
    <row r="9" spans="1:33" x14ac:dyDescent="0.25">
      <c r="A9" s="151" t="s">
        <v>1924</v>
      </c>
      <c r="B9" s="151">
        <v>2.4500000000000002</v>
      </c>
      <c r="C9" s="151">
        <v>2.44</v>
      </c>
      <c r="D9" s="151">
        <v>2.56</v>
      </c>
      <c r="E9" s="151">
        <v>2.5499999999999998</v>
      </c>
      <c r="F9" s="151">
        <v>2.61</v>
      </c>
      <c r="G9" s="151">
        <v>2.74</v>
      </c>
      <c r="H9" s="151">
        <v>2.91</v>
      </c>
      <c r="I9" s="151">
        <v>2.89</v>
      </c>
      <c r="J9" s="151">
        <v>2.81</v>
      </c>
      <c r="K9" s="151">
        <v>2.84</v>
      </c>
      <c r="L9" s="151">
        <v>2.92</v>
      </c>
      <c r="M9" s="151">
        <v>2.85</v>
      </c>
      <c r="N9" s="151">
        <v>2.66</v>
      </c>
      <c r="O9" s="151">
        <v>3.3</v>
      </c>
      <c r="P9" s="151">
        <v>3.39</v>
      </c>
      <c r="Q9" s="151">
        <v>3.17</v>
      </c>
      <c r="R9" s="151">
        <v>2.79</v>
      </c>
      <c r="S9" s="151">
        <v>2.78</v>
      </c>
      <c r="T9" s="151">
        <v>2.73</v>
      </c>
      <c r="U9" s="151">
        <v>2.54</v>
      </c>
      <c r="V9" s="151">
        <v>2.2599999999999998</v>
      </c>
      <c r="W9" s="151">
        <v>2.37</v>
      </c>
      <c r="X9" s="151">
        <v>1.94</v>
      </c>
      <c r="Y9" s="151">
        <v>2.31</v>
      </c>
      <c r="Z9" s="151">
        <v>2.74</v>
      </c>
      <c r="AA9" s="151">
        <v>2.74</v>
      </c>
      <c r="AB9" s="151">
        <v>2.5499999999999998</v>
      </c>
      <c r="AC9" s="151">
        <v>2.79</v>
      </c>
      <c r="AD9" s="151">
        <v>3.04</v>
      </c>
      <c r="AE9" s="151">
        <v>2.97</v>
      </c>
      <c r="AF9" s="131">
        <v>2.78</v>
      </c>
      <c r="AG9" s="141">
        <v>2.4525912250939697</v>
      </c>
    </row>
    <row r="10" spans="1:33" x14ac:dyDescent="0.25">
      <c r="A10" s="151" t="s">
        <v>1925</v>
      </c>
      <c r="B10" s="151">
        <v>33.79</v>
      </c>
      <c r="C10" s="151">
        <v>33.04</v>
      </c>
      <c r="D10" s="151">
        <v>36.42</v>
      </c>
      <c r="E10" s="151">
        <v>35.86</v>
      </c>
      <c r="F10" s="151">
        <v>35.44</v>
      </c>
      <c r="G10" s="151">
        <v>34.42</v>
      </c>
      <c r="H10" s="151">
        <v>36.76</v>
      </c>
      <c r="I10" s="151">
        <v>34.869999999999997</v>
      </c>
      <c r="J10" s="151">
        <v>31.76</v>
      </c>
      <c r="K10" s="151">
        <v>34.479999999999997</v>
      </c>
      <c r="L10" s="151">
        <v>39.630000000000003</v>
      </c>
      <c r="M10" s="151">
        <v>38.53</v>
      </c>
      <c r="N10" s="151">
        <v>36.299999999999997</v>
      </c>
      <c r="O10" s="151">
        <v>39.380000000000003</v>
      </c>
      <c r="P10" s="151">
        <v>38.44</v>
      </c>
      <c r="Q10" s="151">
        <v>39.409999999999997</v>
      </c>
      <c r="R10" s="151">
        <v>32.69</v>
      </c>
      <c r="S10" s="151">
        <v>36.4</v>
      </c>
      <c r="T10" s="151">
        <v>35.130000000000003</v>
      </c>
      <c r="U10" s="151">
        <v>32.68</v>
      </c>
      <c r="V10" s="151">
        <v>31.51</v>
      </c>
      <c r="W10" s="151">
        <v>30.91</v>
      </c>
      <c r="X10" s="151">
        <v>30.19</v>
      </c>
      <c r="Y10" s="151">
        <v>32.01</v>
      </c>
      <c r="Z10" s="151">
        <v>35.340000000000003</v>
      </c>
      <c r="AA10" s="151">
        <v>35.35</v>
      </c>
      <c r="AB10" s="151">
        <v>30.72</v>
      </c>
      <c r="AC10" s="151">
        <v>31.38</v>
      </c>
      <c r="AD10" s="151">
        <v>36.4</v>
      </c>
      <c r="AE10" s="151">
        <v>35.72</v>
      </c>
      <c r="AF10" s="131">
        <v>31.5</v>
      </c>
      <c r="AG10" s="141">
        <v>33.709302132189066</v>
      </c>
    </row>
    <row r="11" spans="1:33" x14ac:dyDescent="0.25">
      <c r="A11" s="151" t="s">
        <v>1926</v>
      </c>
      <c r="B11" s="151">
        <v>2.34</v>
      </c>
      <c r="C11" s="151">
        <v>2.36</v>
      </c>
      <c r="D11" s="151">
        <v>2.78</v>
      </c>
      <c r="E11" s="151">
        <v>2.66</v>
      </c>
      <c r="F11" s="151">
        <v>2.71</v>
      </c>
      <c r="G11" s="151">
        <v>2.5</v>
      </c>
      <c r="H11" s="151">
        <v>2.68</v>
      </c>
      <c r="I11" s="151">
        <v>2.63</v>
      </c>
      <c r="J11" s="151">
        <v>2.39</v>
      </c>
      <c r="K11" s="151">
        <v>2.34</v>
      </c>
      <c r="L11" s="151">
        <v>2.54</v>
      </c>
      <c r="M11" s="151">
        <v>2.6</v>
      </c>
      <c r="N11" s="151">
        <v>2.4900000000000002</v>
      </c>
      <c r="O11" s="151">
        <v>2.83</v>
      </c>
      <c r="P11" s="151">
        <v>2.82</v>
      </c>
      <c r="Q11" s="151">
        <v>2.72</v>
      </c>
      <c r="R11" s="151">
        <v>2.21</v>
      </c>
      <c r="S11" s="151">
        <v>2.29</v>
      </c>
      <c r="T11" s="151">
        <v>2.2400000000000002</v>
      </c>
      <c r="U11" s="151">
        <v>2.34</v>
      </c>
      <c r="V11" s="151">
        <v>2.23</v>
      </c>
      <c r="W11" s="151">
        <v>2.13</v>
      </c>
      <c r="X11" s="151">
        <v>2.0499999999999998</v>
      </c>
      <c r="Y11" s="151">
        <v>2.25</v>
      </c>
      <c r="Z11" s="151">
        <v>2.3199999999999998</v>
      </c>
      <c r="AA11" s="151">
        <v>2.44</v>
      </c>
      <c r="AB11" s="151">
        <v>1.82</v>
      </c>
      <c r="AC11" s="151">
        <v>1.85</v>
      </c>
      <c r="AD11" s="151">
        <v>2.2999999999999998</v>
      </c>
      <c r="AE11" s="151">
        <v>2.06</v>
      </c>
      <c r="AF11" s="131">
        <v>1.89</v>
      </c>
      <c r="AG11" s="141">
        <v>2.126080231513821</v>
      </c>
    </row>
    <row r="12" spans="1:33" x14ac:dyDescent="0.25">
      <c r="A12" s="151" t="s">
        <v>1927</v>
      </c>
      <c r="B12" s="151">
        <v>1.4</v>
      </c>
      <c r="C12" s="151">
        <v>1.47</v>
      </c>
      <c r="D12" s="151">
        <v>1.6</v>
      </c>
      <c r="E12" s="151">
        <v>1.56</v>
      </c>
      <c r="F12" s="151">
        <v>1.48</v>
      </c>
      <c r="G12" s="151">
        <v>1.43</v>
      </c>
      <c r="H12" s="151">
        <v>1.51</v>
      </c>
      <c r="I12" s="151">
        <v>1.47</v>
      </c>
      <c r="J12" s="151">
        <v>1.4</v>
      </c>
      <c r="K12" s="151">
        <v>1.38</v>
      </c>
      <c r="L12" s="151">
        <v>1.61</v>
      </c>
      <c r="M12" s="151">
        <v>1.59</v>
      </c>
      <c r="N12" s="151">
        <v>1.49</v>
      </c>
      <c r="O12" s="151">
        <v>1.6</v>
      </c>
      <c r="P12" s="151">
        <v>1.8</v>
      </c>
      <c r="Q12" s="151">
        <v>1.66</v>
      </c>
      <c r="R12" s="151">
        <v>1.54</v>
      </c>
      <c r="S12" s="151">
        <v>1.51</v>
      </c>
      <c r="T12" s="151">
        <v>1.32</v>
      </c>
      <c r="U12" s="151">
        <v>1.48</v>
      </c>
      <c r="V12" s="151">
        <v>1.32</v>
      </c>
      <c r="W12" s="151">
        <v>1.28</v>
      </c>
      <c r="X12" s="151">
        <v>1.1100000000000001</v>
      </c>
      <c r="Y12" s="151">
        <v>1.28</v>
      </c>
      <c r="Z12" s="151">
        <v>1.4</v>
      </c>
      <c r="AA12" s="151">
        <v>1.43</v>
      </c>
      <c r="AB12" s="151">
        <v>1.32</v>
      </c>
      <c r="AC12" s="151">
        <v>1.38</v>
      </c>
      <c r="AD12" s="151">
        <v>1.48</v>
      </c>
      <c r="AE12" s="151">
        <v>1.55</v>
      </c>
      <c r="AF12" s="131">
        <v>1.42</v>
      </c>
      <c r="AG12" s="141">
        <v>1.3563050926387918</v>
      </c>
    </row>
    <row r="13" spans="1:33" x14ac:dyDescent="0.25">
      <c r="A13" t="s">
        <v>1928</v>
      </c>
      <c r="B13">
        <v>15.09</v>
      </c>
      <c r="C13">
        <v>14.3</v>
      </c>
      <c r="D13">
        <v>16.41</v>
      </c>
      <c r="E13">
        <v>16.52</v>
      </c>
      <c r="F13">
        <v>16.350000000000001</v>
      </c>
      <c r="G13">
        <v>14.76</v>
      </c>
      <c r="H13">
        <v>14.55</v>
      </c>
      <c r="I13">
        <v>14.38</v>
      </c>
      <c r="J13">
        <v>13.2</v>
      </c>
      <c r="K13">
        <v>14.01</v>
      </c>
      <c r="L13">
        <v>15.59</v>
      </c>
      <c r="M13">
        <v>15.95</v>
      </c>
      <c r="N13">
        <v>15.86</v>
      </c>
      <c r="O13">
        <v>16.34</v>
      </c>
      <c r="P13">
        <v>14.94</v>
      </c>
      <c r="Q13">
        <v>14.85</v>
      </c>
      <c r="R13">
        <v>12.8</v>
      </c>
      <c r="S13">
        <v>13.5</v>
      </c>
      <c r="T13">
        <v>14.37</v>
      </c>
      <c r="U13">
        <v>13.83</v>
      </c>
      <c r="V13">
        <v>13.56</v>
      </c>
      <c r="W13">
        <v>13.6</v>
      </c>
      <c r="X13">
        <v>11.78</v>
      </c>
      <c r="Y13">
        <v>12.26</v>
      </c>
      <c r="Z13">
        <v>13.57</v>
      </c>
      <c r="AA13">
        <v>13.49</v>
      </c>
      <c r="AB13">
        <v>11.27</v>
      </c>
      <c r="AC13">
        <v>12.23</v>
      </c>
      <c r="AD13">
        <v>13.27</v>
      </c>
      <c r="AE13">
        <v>13.6</v>
      </c>
      <c r="AF13">
        <v>12.1</v>
      </c>
      <c r="AG13">
        <v>12.02</v>
      </c>
    </row>
    <row r="14" spans="1:33" x14ac:dyDescent="0.25">
      <c r="A14" t="s">
        <v>1929</v>
      </c>
      <c r="B14">
        <f>B13-B7</f>
        <v>9.9999999999997868E-3</v>
      </c>
      <c r="C14" s="148">
        <f t="shared" ref="C14:AG14" si="0">C13-C7</f>
        <v>0</v>
      </c>
      <c r="D14" s="148">
        <f t="shared" si="0"/>
        <v>1.0000000000001563E-2</v>
      </c>
      <c r="E14" s="148">
        <f t="shared" si="0"/>
        <v>0</v>
      </c>
      <c r="F14" s="148">
        <f t="shared" si="0"/>
        <v>1.0000000000001563E-2</v>
      </c>
      <c r="G14" s="148">
        <f t="shared" si="0"/>
        <v>9.9999999999997868E-3</v>
      </c>
      <c r="H14" s="148">
        <f t="shared" si="0"/>
        <v>0</v>
      </c>
      <c r="I14" s="148">
        <f t="shared" si="0"/>
        <v>0</v>
      </c>
      <c r="J14" s="148">
        <f t="shared" si="0"/>
        <v>9.9999999999997868E-3</v>
      </c>
      <c r="K14" s="148">
        <f t="shared" si="0"/>
        <v>0</v>
      </c>
      <c r="L14" s="148">
        <f t="shared" si="0"/>
        <v>-8.9999999999999858E-2</v>
      </c>
      <c r="M14" s="148">
        <f t="shared" si="0"/>
        <v>-8.0000000000001847E-2</v>
      </c>
      <c r="N14" s="148">
        <f t="shared" si="0"/>
        <v>-8.9999999999999858E-2</v>
      </c>
      <c r="O14" s="148">
        <f t="shared" si="0"/>
        <v>-8.0000000000001847E-2</v>
      </c>
      <c r="P14" s="148">
        <f t="shared" si="0"/>
        <v>-8.0000000000000071E-2</v>
      </c>
      <c r="Q14" s="148">
        <f t="shared" si="0"/>
        <v>-8.0000000000000071E-2</v>
      </c>
      <c r="R14" s="148">
        <f t="shared" si="0"/>
        <v>-4.9999999999998934E-2</v>
      </c>
      <c r="S14" s="148">
        <f t="shared" si="0"/>
        <v>-2.9999999999999361E-2</v>
      </c>
      <c r="T14" s="148">
        <f t="shared" si="0"/>
        <v>-3.0000000000001137E-2</v>
      </c>
      <c r="U14" s="148">
        <f t="shared" si="0"/>
        <v>-2.9999999999999361E-2</v>
      </c>
      <c r="V14" s="148">
        <f t="shared" si="0"/>
        <v>-2.9999999999999361E-2</v>
      </c>
      <c r="W14" s="148">
        <f t="shared" si="0"/>
        <v>-4.0000000000000924E-2</v>
      </c>
      <c r="X14" s="148">
        <f t="shared" si="0"/>
        <v>-3.0000000000001137E-2</v>
      </c>
      <c r="Y14" s="148">
        <f t="shared" si="0"/>
        <v>-9.9999999999999645E-2</v>
      </c>
      <c r="Z14" s="148">
        <f t="shared" si="0"/>
        <v>-8.0000000000000071E-2</v>
      </c>
      <c r="AA14" s="148">
        <f t="shared" si="0"/>
        <v>-8.9999999999999858E-2</v>
      </c>
      <c r="AB14" s="148">
        <f t="shared" si="0"/>
        <v>-0.13000000000000078</v>
      </c>
      <c r="AC14" s="148">
        <f t="shared" si="0"/>
        <v>-0.13999999999999879</v>
      </c>
      <c r="AD14" s="148">
        <f t="shared" si="0"/>
        <v>-8.0000000000000071E-2</v>
      </c>
      <c r="AE14" s="148">
        <f t="shared" si="0"/>
        <v>-6.0000000000000497E-2</v>
      </c>
      <c r="AF14" s="148">
        <f t="shared" si="0"/>
        <v>-6.0000000000000497E-2</v>
      </c>
      <c r="AG14" s="148">
        <f t="shared" si="0"/>
        <v>-0.5148085686724535</v>
      </c>
    </row>
    <row r="15" spans="1:33" x14ac:dyDescent="0.25">
      <c r="B15" t="s">
        <v>1930</v>
      </c>
    </row>
    <row r="16" spans="1:33" x14ac:dyDescent="0.25">
      <c r="B16" s="148">
        <v>15.08486138166197</v>
      </c>
      <c r="C16" s="148">
        <v>14.295364882071031</v>
      </c>
      <c r="D16" s="148">
        <v>16.396053585147097</v>
      </c>
      <c r="E16" s="148">
        <v>16.518072434056428</v>
      </c>
      <c r="F16" s="148">
        <v>16.3428113958593</v>
      </c>
      <c r="G16" s="148">
        <v>14.751248409471906</v>
      </c>
      <c r="H16" s="148">
        <v>14.548991126703283</v>
      </c>
      <c r="I16" s="148">
        <v>14.378872297176235</v>
      </c>
      <c r="J16" s="148">
        <v>13.187544748996455</v>
      </c>
      <c r="K16" s="148">
        <v>14.010791823643141</v>
      </c>
      <c r="L16" s="148">
        <v>15.683527402244092</v>
      </c>
      <c r="M16" s="148">
        <v>16.029224958256101</v>
      </c>
      <c r="N16" s="148">
        <v>15.947971065235583</v>
      </c>
      <c r="O16" s="148">
        <v>16.424653443467118</v>
      </c>
      <c r="P16" s="148">
        <v>15.024988630915237</v>
      </c>
      <c r="Q16" s="148">
        <v>14.931951651274961</v>
      </c>
      <c r="R16" s="148">
        <v>12.852053091877158</v>
      </c>
      <c r="S16" s="148">
        <v>13.532616183766081</v>
      </c>
      <c r="T16" s="148">
        <v>14.403792131722831</v>
      </c>
      <c r="U16" s="148">
        <v>13.860012327830605</v>
      </c>
      <c r="V16" s="148">
        <v>13.594991277715856</v>
      </c>
      <c r="W16" s="148">
        <v>13.644099459253489</v>
      </c>
      <c r="X16" s="148">
        <v>11.813408450046495</v>
      </c>
      <c r="Y16" s="148">
        <v>12.35970798894218</v>
      </c>
      <c r="Z16" s="148">
        <v>13.651884039136588</v>
      </c>
      <c r="AA16" s="148">
        <v>13.575808713995468</v>
      </c>
      <c r="AB16" s="148">
        <v>11.399566863934842</v>
      </c>
      <c r="AC16" s="148">
        <v>12.370323013462375</v>
      </c>
      <c r="AD16" s="148">
        <v>13.35182517216054</v>
      </c>
      <c r="AE16" s="148">
        <v>13.66070463209819</v>
      </c>
      <c r="AF16" s="148">
        <v>12.163287120750113</v>
      </c>
      <c r="AG16" s="148">
        <v>12.531045530297638</v>
      </c>
    </row>
    <row r="17" spans="1:33" x14ac:dyDescent="0.25">
      <c r="A17" t="s">
        <v>1931</v>
      </c>
    </row>
    <row r="18" spans="1:33" x14ac:dyDescent="0.25">
      <c r="B18" t="s">
        <v>1886</v>
      </c>
      <c r="C18" t="s">
        <v>1664</v>
      </c>
      <c r="D18" t="s">
        <v>1932</v>
      </c>
      <c r="E18" t="s">
        <v>1660</v>
      </c>
      <c r="F18" t="s">
        <v>1662</v>
      </c>
    </row>
    <row r="19" spans="1:33" x14ac:dyDescent="0.25">
      <c r="A19" t="s">
        <v>1933</v>
      </c>
      <c r="B19">
        <v>57.79</v>
      </c>
      <c r="C19">
        <v>31.82</v>
      </c>
      <c r="D19">
        <v>44.58</v>
      </c>
      <c r="E19">
        <v>37.81</v>
      </c>
      <c r="F19">
        <v>44.01</v>
      </c>
    </row>
    <row r="20" spans="1:33" x14ac:dyDescent="0.25">
      <c r="A20" t="s">
        <v>1934</v>
      </c>
      <c r="B20">
        <f>B19/2204.62*44/12</f>
        <v>9.6114825533047274E-2</v>
      </c>
      <c r="C20">
        <f>C19/2204.62*44/12</f>
        <v>5.2922196720220867E-2</v>
      </c>
      <c r="D20">
        <f>D19/2204.62*44/12</f>
        <v>7.4144296976349666E-2</v>
      </c>
      <c r="E20">
        <f>E19/2204.62*44/12</f>
        <v>6.2884608987792315E-2</v>
      </c>
      <c r="F20">
        <f>F19/2204.62*44/12</f>
        <v>7.3196287795629186E-2</v>
      </c>
    </row>
    <row r="21" spans="1:33" x14ac:dyDescent="0.25">
      <c r="A21" t="s">
        <v>1935</v>
      </c>
    </row>
    <row r="23" spans="1:33" x14ac:dyDescent="0.25">
      <c r="A23" s="1" t="s">
        <v>1938</v>
      </c>
    </row>
    <row r="24" spans="1:33" x14ac:dyDescent="0.25">
      <c r="A24" s="142" t="s">
        <v>1786</v>
      </c>
      <c r="B24" s="142" t="s">
        <v>1821</v>
      </c>
      <c r="C24" s="142" t="s">
        <v>1822</v>
      </c>
      <c r="D24" s="142" t="s">
        <v>1823</v>
      </c>
      <c r="E24" s="142" t="s">
        <v>1824</v>
      </c>
      <c r="F24" s="142" t="s">
        <v>1825</v>
      </c>
      <c r="G24" s="142" t="s">
        <v>1826</v>
      </c>
      <c r="H24" s="142" t="s">
        <v>1827</v>
      </c>
      <c r="I24" s="142" t="s">
        <v>1828</v>
      </c>
      <c r="J24" s="142" t="s">
        <v>1829</v>
      </c>
      <c r="K24" s="142" t="s">
        <v>1830</v>
      </c>
      <c r="L24" s="142" t="s">
        <v>1831</v>
      </c>
      <c r="M24" s="142" t="s">
        <v>1832</v>
      </c>
      <c r="N24" s="142" t="s">
        <v>1833</v>
      </c>
      <c r="O24" s="142" t="s">
        <v>1834</v>
      </c>
      <c r="P24" s="142" t="s">
        <v>1835</v>
      </c>
      <c r="Q24" s="142" t="s">
        <v>1836</v>
      </c>
      <c r="R24" s="142" t="s">
        <v>1837</v>
      </c>
      <c r="S24" s="142" t="s">
        <v>1838</v>
      </c>
      <c r="T24" s="142" t="s">
        <v>1839</v>
      </c>
      <c r="U24" s="142" t="s">
        <v>1840</v>
      </c>
      <c r="V24" s="142" t="s">
        <v>1841</v>
      </c>
      <c r="W24" s="142" t="s">
        <v>1842</v>
      </c>
      <c r="X24" s="142" t="s">
        <v>1843</v>
      </c>
      <c r="Y24" s="142" t="s">
        <v>1844</v>
      </c>
      <c r="Z24" s="142" t="s">
        <v>1845</v>
      </c>
      <c r="AA24" s="142" t="s">
        <v>1846</v>
      </c>
      <c r="AB24" s="142" t="s">
        <v>1847</v>
      </c>
      <c r="AC24" s="142" t="s">
        <v>1848</v>
      </c>
      <c r="AD24" s="142" t="s">
        <v>1849</v>
      </c>
      <c r="AE24" s="142" t="s">
        <v>1850</v>
      </c>
      <c r="AF24" s="142" t="s">
        <v>1851</v>
      </c>
      <c r="AG24" s="142" t="s">
        <v>1852</v>
      </c>
    </row>
    <row r="25" spans="1:33" x14ac:dyDescent="0.25">
      <c r="A25" s="119" t="s">
        <v>1922</v>
      </c>
      <c r="B25" s="124">
        <v>8.1021986512715589</v>
      </c>
      <c r="C25" s="124">
        <v>7.8527514039548922</v>
      </c>
      <c r="D25" s="124">
        <v>9.3163644435464512</v>
      </c>
      <c r="E25" s="124">
        <v>8.9002918145748922</v>
      </c>
      <c r="F25" s="124">
        <v>8.5030329139282266</v>
      </c>
      <c r="G25" s="124">
        <v>7.8117168587656725</v>
      </c>
      <c r="H25" s="124">
        <v>8.2970502535541115</v>
      </c>
      <c r="I25" s="124">
        <v>8.0487224549341114</v>
      </c>
      <c r="J25" s="124">
        <v>7.0071149196874458</v>
      </c>
      <c r="K25" s="124">
        <v>7.9186951771874456</v>
      </c>
      <c r="L25" s="124">
        <v>8.6511321919733319</v>
      </c>
      <c r="M25" s="124">
        <v>8.3947515098699999</v>
      </c>
      <c r="N25" s="124">
        <v>8.1281996071099982</v>
      </c>
      <c r="O25" s="124">
        <v>9.6765706050674449</v>
      </c>
      <c r="P25" s="124">
        <v>10.163789024839998</v>
      </c>
      <c r="Q25" s="124">
        <v>9.2674806627699979</v>
      </c>
      <c r="R25" s="124">
        <v>8.0123549985233318</v>
      </c>
      <c r="S25" s="124">
        <v>8.2907557114799992</v>
      </c>
      <c r="T25" s="124">
        <v>8.1317601436499984</v>
      </c>
      <c r="U25" s="124">
        <v>8.1402228211333316</v>
      </c>
      <c r="V25" s="124">
        <v>7.6012601731733316</v>
      </c>
      <c r="W25" s="124">
        <v>7.2452392164899999</v>
      </c>
      <c r="X25" s="124">
        <v>6.6710581767499981</v>
      </c>
      <c r="Y25" s="124">
        <v>7.2928123605700002</v>
      </c>
      <c r="Z25" s="124">
        <v>7.559098613879998</v>
      </c>
      <c r="AA25" s="124">
        <v>7.7578813550333319</v>
      </c>
      <c r="AB25" s="124">
        <v>6.3356236870666649</v>
      </c>
      <c r="AC25" s="124">
        <v>6.5716506902933327</v>
      </c>
      <c r="AD25" s="124">
        <v>7.533291174933332</v>
      </c>
      <c r="AE25" s="124">
        <v>7.3482950285799982</v>
      </c>
      <c r="AF25" s="124">
        <v>6.6179041876933322</v>
      </c>
      <c r="AG25" s="124">
        <v>7.19126061423</v>
      </c>
    </row>
    <row r="26" spans="1:33" x14ac:dyDescent="0.25">
      <c r="A26" s="119" t="s">
        <v>1788</v>
      </c>
      <c r="B26" s="124">
        <v>14.984724829940138</v>
      </c>
      <c r="C26" s="124">
        <v>14.195007338837232</v>
      </c>
      <c r="D26" s="124">
        <v>16.271938561007797</v>
      </c>
      <c r="E26" s="124">
        <v>16.387090900742905</v>
      </c>
      <c r="F26" s="124">
        <v>16.335829614312338</v>
      </c>
      <c r="G26" s="124">
        <v>14.730404276689784</v>
      </c>
      <c r="H26" s="124">
        <v>14.534369784006451</v>
      </c>
      <c r="I26" s="124">
        <v>14.404712521022338</v>
      </c>
      <c r="J26" s="124">
        <v>13.239653398762337</v>
      </c>
      <c r="K26" s="124">
        <v>13.802940402613117</v>
      </c>
      <c r="L26" s="124">
        <v>15.460595569048223</v>
      </c>
      <c r="M26" s="124">
        <v>15.810254976838223</v>
      </c>
      <c r="N26" s="124">
        <v>15.763051368395246</v>
      </c>
      <c r="O26" s="124">
        <v>16.303205807572127</v>
      </c>
      <c r="P26" s="124">
        <v>14.905899471106451</v>
      </c>
      <c r="Q26" s="124">
        <v>14.91815959296234</v>
      </c>
      <c r="R26" s="124">
        <v>12.904834266950779</v>
      </c>
      <c r="S26" s="124">
        <v>13.608858341634892</v>
      </c>
      <c r="T26" s="124">
        <v>14.526274689519999</v>
      </c>
      <c r="U26" s="124">
        <v>13.865685373063332</v>
      </c>
      <c r="V26" s="124">
        <v>13.576033969336665</v>
      </c>
      <c r="W26" s="124">
        <v>13.668004404669997</v>
      </c>
      <c r="X26" s="124">
        <v>11.808638489266665</v>
      </c>
      <c r="Y26" s="124">
        <v>12.368346588253331</v>
      </c>
      <c r="Z26" s="124">
        <v>13.727867653536666</v>
      </c>
      <c r="AA26" s="124">
        <v>13.627153801836666</v>
      </c>
      <c r="AB26" s="124">
        <v>11.444668649553332</v>
      </c>
      <c r="AC26" s="124">
        <v>12.421823573060001</v>
      </c>
      <c r="AD26" s="124">
        <v>13.396115907459999</v>
      </c>
      <c r="AE26" s="124">
        <v>13.705004964859999</v>
      </c>
      <c r="AF26" s="124">
        <v>12.214738351896667</v>
      </c>
      <c r="AG26" s="124">
        <v>12.573952994936665</v>
      </c>
    </row>
    <row r="27" spans="1:33" x14ac:dyDescent="0.25">
      <c r="A27" s="119" t="s">
        <v>1923</v>
      </c>
      <c r="B27" s="124">
        <v>2.9525450058736862</v>
      </c>
      <c r="C27" s="124">
        <v>2.9723933414482255</v>
      </c>
      <c r="D27" s="124">
        <v>2.9795829814213461</v>
      </c>
      <c r="E27" s="124">
        <v>3.1024537706972328</v>
      </c>
      <c r="F27" s="124">
        <v>3.1881418267707793</v>
      </c>
      <c r="G27" s="124">
        <v>3.923130897546665</v>
      </c>
      <c r="H27" s="124">
        <v>4.0368645432866659</v>
      </c>
      <c r="I27" s="124">
        <v>3.904974280056666</v>
      </c>
      <c r="J27" s="124">
        <v>4.2132702535000002</v>
      </c>
      <c r="K27" s="124">
        <v>4.0094120834533324</v>
      </c>
      <c r="L27" s="124">
        <v>3.8785853946033324</v>
      </c>
      <c r="M27" s="124">
        <v>3.8591725797899992</v>
      </c>
      <c r="N27" s="124">
        <v>3.4724117016599991</v>
      </c>
      <c r="O27" s="124">
        <v>4.760119181326667</v>
      </c>
      <c r="P27" s="124">
        <v>5.1723963660233316</v>
      </c>
      <c r="Q27" s="124">
        <v>4.6155759254733324</v>
      </c>
      <c r="R27" s="124">
        <v>4.008646398899999</v>
      </c>
      <c r="S27" s="124">
        <v>3.8420095921166655</v>
      </c>
      <c r="T27" s="124">
        <v>3.1128280752433333</v>
      </c>
      <c r="U27" s="124">
        <v>2.9348017910933328</v>
      </c>
      <c r="V27" s="124">
        <v>2.661270942256666</v>
      </c>
      <c r="W27" s="124">
        <v>2.7281182533733332</v>
      </c>
      <c r="X27" s="124">
        <v>2.2517671577866665</v>
      </c>
      <c r="Y27" s="124">
        <v>2.4165021707566661</v>
      </c>
      <c r="Z27" s="124">
        <v>2.5735216846533326</v>
      </c>
      <c r="AA27" s="124">
        <v>3.050330012399999</v>
      </c>
      <c r="AB27" s="124">
        <v>2.9660337968433326</v>
      </c>
      <c r="AC27" s="124">
        <v>2.9961119094133331</v>
      </c>
      <c r="AD27" s="124">
        <v>3.1239281436733326</v>
      </c>
      <c r="AE27" s="124">
        <v>3.0377609304899997</v>
      </c>
      <c r="AF27" s="124">
        <v>2.8708828966033324</v>
      </c>
      <c r="AG27" s="124">
        <v>2.6660342511366664</v>
      </c>
    </row>
    <row r="28" spans="1:33" x14ac:dyDescent="0.25">
      <c r="A28" s="119" t="s">
        <v>1924</v>
      </c>
      <c r="B28" s="124">
        <v>2.4355589474915598</v>
      </c>
      <c r="C28" s="124">
        <v>2.4299691238964529</v>
      </c>
      <c r="D28" s="124">
        <v>2.5457866353656726</v>
      </c>
      <c r="E28" s="124">
        <v>2.5374490843748929</v>
      </c>
      <c r="F28" s="124">
        <v>2.5986352948341129</v>
      </c>
      <c r="G28" s="124">
        <v>2.7289465185507802</v>
      </c>
      <c r="H28" s="124">
        <v>2.9000725875841131</v>
      </c>
      <c r="I28" s="124">
        <v>2.8816826268374465</v>
      </c>
      <c r="J28" s="124">
        <v>2.8087900630533329</v>
      </c>
      <c r="K28" s="124">
        <v>2.8323985722633331</v>
      </c>
      <c r="L28" s="124">
        <v>2.8791938124399992</v>
      </c>
      <c r="M28" s="124">
        <v>2.808131744036666</v>
      </c>
      <c r="N28" s="124">
        <v>2.6237895625699998</v>
      </c>
      <c r="O28" s="124">
        <v>3.2570731504666663</v>
      </c>
      <c r="P28" s="124">
        <v>3.3475209114599993</v>
      </c>
      <c r="Q28" s="124">
        <v>3.1464570578466664</v>
      </c>
      <c r="R28" s="124">
        <v>2.7707634488966661</v>
      </c>
      <c r="S28" s="124">
        <v>2.7721454175066667</v>
      </c>
      <c r="T28" s="124">
        <v>2.7246108300399992</v>
      </c>
      <c r="U28" s="124">
        <v>2.5394150048299995</v>
      </c>
      <c r="V28" s="124">
        <v>2.2587237672633331</v>
      </c>
      <c r="W28" s="124">
        <v>2.3705885928999995</v>
      </c>
      <c r="X28" s="124">
        <v>1.9430103396366663</v>
      </c>
      <c r="Y28" s="124">
        <v>2.3089674408166667</v>
      </c>
      <c r="Z28" s="124">
        <v>2.7409859744666663</v>
      </c>
      <c r="AA28" s="124">
        <v>2.7434191726699999</v>
      </c>
      <c r="AB28" s="124">
        <v>2.5529204439933326</v>
      </c>
      <c r="AC28" s="124">
        <v>2.8009909116933329</v>
      </c>
      <c r="AD28" s="124">
        <v>3.0479096815566664</v>
      </c>
      <c r="AE28" s="124">
        <v>2.9791659834566664</v>
      </c>
      <c r="AF28" s="124">
        <v>2.7844545534299994</v>
      </c>
      <c r="AG28" s="124">
        <v>2.457854345429999</v>
      </c>
    </row>
    <row r="29" spans="1:33" x14ac:dyDescent="0.25">
      <c r="A29" s="119" t="s">
        <v>1925</v>
      </c>
      <c r="B29" s="124">
        <v>33.646216185272898</v>
      </c>
      <c r="C29" s="124">
        <v>32.955057167842334</v>
      </c>
      <c r="D29" s="124">
        <v>36.302133851378997</v>
      </c>
      <c r="E29" s="124">
        <v>35.758411371186085</v>
      </c>
      <c r="F29" s="124">
        <v>35.402964575375172</v>
      </c>
      <c r="G29" s="124">
        <v>34.315131098692625</v>
      </c>
      <c r="H29" s="124">
        <v>36.735830994536521</v>
      </c>
      <c r="I29" s="124">
        <v>34.846548563905174</v>
      </c>
      <c r="J29" s="124">
        <v>31.736572441445816</v>
      </c>
      <c r="K29" s="124">
        <v>34.450963379853825</v>
      </c>
      <c r="L29" s="124">
        <v>39.356482027178572</v>
      </c>
      <c r="M29" s="124">
        <v>38.266953683010144</v>
      </c>
      <c r="N29" s="124">
        <v>36.217448063260562</v>
      </c>
      <c r="O29" s="124">
        <v>39.245982813445245</v>
      </c>
      <c r="P29" s="124">
        <v>38.278059403822482</v>
      </c>
      <c r="Q29" s="124">
        <v>39.300050726633472</v>
      </c>
      <c r="R29" s="124">
        <v>32.754103354346803</v>
      </c>
      <c r="S29" s="124">
        <v>36.516255436240137</v>
      </c>
      <c r="T29" s="124">
        <v>35.341006937976665</v>
      </c>
      <c r="U29" s="124">
        <v>32.909959500879999</v>
      </c>
      <c r="V29" s="124">
        <v>31.677607511110001</v>
      </c>
      <c r="W29" s="124">
        <v>31.026024486233332</v>
      </c>
      <c r="X29" s="124">
        <v>30.20430847012333</v>
      </c>
      <c r="Y29" s="124">
        <v>31.991309446836667</v>
      </c>
      <c r="Z29" s="124">
        <v>35.381935295263332</v>
      </c>
      <c r="AA29" s="124">
        <v>35.431597921976667</v>
      </c>
      <c r="AB29" s="124">
        <v>30.82995352547</v>
      </c>
      <c r="AC29" s="124">
        <v>31.465135604393332</v>
      </c>
      <c r="AD29" s="124">
        <v>36.491508657780003</v>
      </c>
      <c r="AE29" s="124">
        <v>35.828068391536668</v>
      </c>
      <c r="AF29" s="124">
        <v>31.569071514053334</v>
      </c>
      <c r="AG29" s="124">
        <v>33.802253788306665</v>
      </c>
    </row>
    <row r="30" spans="1:33" x14ac:dyDescent="0.25">
      <c r="A30" s="119" t="s">
        <v>1926</v>
      </c>
      <c r="B30" s="124">
        <v>2.3380563839707795</v>
      </c>
      <c r="C30" s="124">
        <v>2.3501827372574464</v>
      </c>
      <c r="D30" s="124">
        <v>2.7892500955474464</v>
      </c>
      <c r="E30" s="124">
        <v>2.6546841486841126</v>
      </c>
      <c r="F30" s="124">
        <v>2.7013505070566661</v>
      </c>
      <c r="G30" s="124">
        <v>2.49813497362</v>
      </c>
      <c r="H30" s="124">
        <v>2.6005247694066664</v>
      </c>
      <c r="I30" s="124">
        <v>2.613068912153333</v>
      </c>
      <c r="J30" s="124">
        <v>2.3865748216933333</v>
      </c>
      <c r="K30" s="124">
        <v>2.3320651692433332</v>
      </c>
      <c r="L30" s="124">
        <v>2.4976407019666667</v>
      </c>
      <c r="M30" s="124">
        <v>2.5817584760366667</v>
      </c>
      <c r="N30" s="124">
        <v>2.4675811214999994</v>
      </c>
      <c r="O30" s="124">
        <v>2.8131551189241129</v>
      </c>
      <c r="P30" s="124">
        <v>2.794485914733333</v>
      </c>
      <c r="Q30" s="124">
        <v>2.7116784806466665</v>
      </c>
      <c r="R30" s="124">
        <v>2.2122546525566662</v>
      </c>
      <c r="S30" s="124">
        <v>2.2933419751366664</v>
      </c>
      <c r="T30" s="124">
        <v>2.2470323894700002</v>
      </c>
      <c r="U30" s="124">
        <v>2.3476623775733332</v>
      </c>
      <c r="V30" s="124">
        <v>2.2352094420699999</v>
      </c>
      <c r="W30" s="124">
        <v>2.1344429768566666</v>
      </c>
      <c r="X30" s="124">
        <v>2.055767426863333</v>
      </c>
      <c r="Y30" s="124">
        <v>2.2568157561766666</v>
      </c>
      <c r="Z30" s="124">
        <v>2.3294023343066663</v>
      </c>
      <c r="AA30" s="124">
        <v>2.4494159263199999</v>
      </c>
      <c r="AB30" s="124">
        <v>1.8286559756666665</v>
      </c>
      <c r="AC30" s="124">
        <v>1.8554332581766664</v>
      </c>
      <c r="AD30" s="124">
        <v>2.3124700442800004</v>
      </c>
      <c r="AE30" s="124">
        <v>2.0722239730866665</v>
      </c>
      <c r="AF30" s="124">
        <v>1.8981384599466664</v>
      </c>
      <c r="AG30" s="124">
        <v>2.1364203986766666</v>
      </c>
    </row>
    <row r="31" spans="1:33" x14ac:dyDescent="0.25">
      <c r="A31" s="119" t="s">
        <v>1927</v>
      </c>
      <c r="B31" s="124">
        <v>1.3947919821474464</v>
      </c>
      <c r="C31" s="124">
        <v>1.4631155432774463</v>
      </c>
      <c r="D31" s="124">
        <v>1.5921358677141133</v>
      </c>
      <c r="E31" s="124">
        <v>1.5523648356807798</v>
      </c>
      <c r="F31" s="124">
        <v>1.4802815111441132</v>
      </c>
      <c r="G31" s="124">
        <v>1.4315207891233332</v>
      </c>
      <c r="H31" s="124">
        <v>1.5038829904633333</v>
      </c>
      <c r="I31" s="124">
        <v>1.4698616774599997</v>
      </c>
      <c r="J31" s="124">
        <v>1.3988290214066665</v>
      </c>
      <c r="K31" s="124">
        <v>1.3757394124833331</v>
      </c>
      <c r="L31" s="124">
        <v>1.5949836125299999</v>
      </c>
      <c r="M31" s="124">
        <v>1.5827118568066665</v>
      </c>
      <c r="N31" s="124">
        <v>1.4840628043266664</v>
      </c>
      <c r="O31" s="124">
        <v>1.5895704338799994</v>
      </c>
      <c r="P31" s="124">
        <v>1.7826270805199995</v>
      </c>
      <c r="Q31" s="124">
        <v>1.6445627940133332</v>
      </c>
      <c r="R31" s="124">
        <v>1.5383719824733333</v>
      </c>
      <c r="S31" s="124">
        <v>1.5120552430866665</v>
      </c>
      <c r="T31" s="124">
        <v>1.3251438751833333</v>
      </c>
      <c r="U31" s="124">
        <v>1.4862129567633331</v>
      </c>
      <c r="V31" s="124">
        <v>1.3197149114966666</v>
      </c>
      <c r="W31" s="124">
        <v>1.2874264350566664</v>
      </c>
      <c r="X31" s="124">
        <v>1.1130740513199997</v>
      </c>
      <c r="Y31" s="124">
        <v>1.2805393340666666</v>
      </c>
      <c r="Z31" s="124">
        <v>1.3993527242933332</v>
      </c>
      <c r="AA31" s="124">
        <v>1.4320875513633333</v>
      </c>
      <c r="AB31" s="124">
        <v>1.3215217806633333</v>
      </c>
      <c r="AC31" s="124">
        <v>1.3845043918566664</v>
      </c>
      <c r="AD31" s="124">
        <v>1.4776446638433332</v>
      </c>
      <c r="AE31" s="124">
        <v>1.5527282736900001</v>
      </c>
      <c r="AF31" s="124">
        <v>1.4192344930133329</v>
      </c>
      <c r="AG31" s="124">
        <v>1.3555439515199998</v>
      </c>
    </row>
    <row r="32" spans="1:33" x14ac:dyDescent="0.25">
      <c r="A32" s="112" t="s">
        <v>1936</v>
      </c>
    </row>
    <row r="33" spans="1:33" x14ac:dyDescent="0.25">
      <c r="A33" s="119" t="s">
        <v>1922</v>
      </c>
      <c r="B33" s="150">
        <f t="shared" ref="B33:AG33" si="1">(B25-B6)/B6</f>
        <v>-5.865196162998949E-3</v>
      </c>
      <c r="C33" s="150">
        <f t="shared" si="1"/>
        <v>-4.7209880919020838E-3</v>
      </c>
      <c r="D33" s="150">
        <f t="shared" si="1"/>
        <v>-4.6619184245243828E-3</v>
      </c>
      <c r="E33" s="150">
        <f t="shared" si="1"/>
        <v>-4.4416314793184952E-3</v>
      </c>
      <c r="F33" s="150">
        <f t="shared" si="1"/>
        <v>-4.3286986032520574E-3</v>
      </c>
      <c r="G33" s="150">
        <f t="shared" si="1"/>
        <v>-4.8768332782582408E-3</v>
      </c>
      <c r="H33" s="150">
        <f t="shared" si="1"/>
        <v>-2.7583829862847069E-3</v>
      </c>
      <c r="I33" s="150">
        <f t="shared" si="1"/>
        <v>-2.6366226847445921E-3</v>
      </c>
      <c r="J33" s="150">
        <f t="shared" si="1"/>
        <v>-1.8354815260048084E-3</v>
      </c>
      <c r="K33" s="150">
        <f t="shared" si="1"/>
        <v>-1.4255766472325438E-3</v>
      </c>
      <c r="L33" s="150">
        <f t="shared" si="1"/>
        <v>-1.1299178060190635E-2</v>
      </c>
      <c r="M33" s="150">
        <f t="shared" si="1"/>
        <v>-7.7125874858157209E-3</v>
      </c>
      <c r="N33" s="150">
        <f t="shared" si="1"/>
        <v>-8.7561454743903741E-3</v>
      </c>
      <c r="O33" s="150">
        <f t="shared" si="1"/>
        <v>-9.5628858682246312E-3</v>
      </c>
      <c r="P33" s="150">
        <f t="shared" si="1"/>
        <v>-1.0341867104187105E-2</v>
      </c>
      <c r="Q33" s="150">
        <f t="shared" si="1"/>
        <v>-8.8255975647060659E-3</v>
      </c>
      <c r="R33" s="150">
        <f t="shared" si="1"/>
        <v>-5.9112905057901637E-3</v>
      </c>
      <c r="S33" s="150">
        <f t="shared" si="1"/>
        <v>9.1159406513882695E-5</v>
      </c>
      <c r="T33" s="150">
        <f t="shared" si="1"/>
        <v>1.4482935529555694E-3</v>
      </c>
      <c r="U33" s="150">
        <f t="shared" si="1"/>
        <v>1.257419573595429E-3</v>
      </c>
      <c r="V33" s="150">
        <f t="shared" si="1"/>
        <v>1.4835537777775655E-3</v>
      </c>
      <c r="W33" s="150">
        <f t="shared" si="1"/>
        <v>2.1077754481327086E-3</v>
      </c>
      <c r="X33" s="150">
        <f t="shared" si="1"/>
        <v>1.5864718890527683E-4</v>
      </c>
      <c r="Y33" s="150">
        <f t="shared" si="1"/>
        <v>4.5196088939394446E-3</v>
      </c>
      <c r="Z33" s="150">
        <f t="shared" si="1"/>
        <v>2.5329726631297088E-3</v>
      </c>
      <c r="AA33" s="150">
        <f t="shared" si="1"/>
        <v>3.6069023329018683E-3</v>
      </c>
      <c r="AB33" s="150">
        <f t="shared" si="1"/>
        <v>4.060806191230633E-3</v>
      </c>
      <c r="AC33" s="150">
        <f t="shared" si="1"/>
        <v>4.8395550907236505E-3</v>
      </c>
      <c r="AD33" s="150">
        <f t="shared" si="1"/>
        <v>3.1013548513092164E-3</v>
      </c>
      <c r="AE33" s="150">
        <f t="shared" si="1"/>
        <v>2.4959111296041061E-3</v>
      </c>
      <c r="AF33" s="150">
        <f t="shared" si="1"/>
        <v>4.2343228669700092E-3</v>
      </c>
      <c r="AG33" s="150">
        <f t="shared" si="1"/>
        <v>2.6808135303461114E-3</v>
      </c>
    </row>
    <row r="34" spans="1:33" x14ac:dyDescent="0.25">
      <c r="A34" s="119" t="s">
        <v>1788</v>
      </c>
      <c r="B34" s="150">
        <f t="shared" ref="B34:AG34" si="2">(B26-B7)/B7</f>
        <v>-6.3179820994603572E-3</v>
      </c>
      <c r="C34" s="150">
        <f t="shared" si="2"/>
        <v>-7.3421441372565231E-3</v>
      </c>
      <c r="D34" s="150">
        <f t="shared" si="2"/>
        <v>-7.8086243287927726E-3</v>
      </c>
      <c r="E34" s="150">
        <f t="shared" si="2"/>
        <v>-8.0453449913495591E-3</v>
      </c>
      <c r="F34" s="150">
        <f t="shared" si="2"/>
        <v>-2.5522556228039123E-4</v>
      </c>
      <c r="G34" s="150">
        <f t="shared" si="2"/>
        <v>-1.3285236142519304E-3</v>
      </c>
      <c r="H34" s="150">
        <f t="shared" si="2"/>
        <v>-1.0742416490412349E-3</v>
      </c>
      <c r="I34" s="150">
        <f t="shared" si="2"/>
        <v>1.7185341461987023E-3</v>
      </c>
      <c r="J34" s="150">
        <f t="shared" si="2"/>
        <v>3.7644729918376034E-3</v>
      </c>
      <c r="K34" s="150">
        <f t="shared" si="2"/>
        <v>-1.4779414517264975E-2</v>
      </c>
      <c r="L34" s="150">
        <f t="shared" si="2"/>
        <v>-1.3992629524985742E-2</v>
      </c>
      <c r="M34" s="150">
        <f t="shared" si="2"/>
        <v>-1.3708360771165183E-2</v>
      </c>
      <c r="N34" s="150">
        <f t="shared" si="2"/>
        <v>-1.1720917341990815E-2</v>
      </c>
      <c r="O34" s="150">
        <f t="shared" si="2"/>
        <v>-7.1129228031592585E-3</v>
      </c>
      <c r="P34" s="150">
        <f t="shared" si="2"/>
        <v>-7.5965731620205165E-3</v>
      </c>
      <c r="Q34" s="150">
        <f t="shared" si="2"/>
        <v>-7.9306142248224197E-4</v>
      </c>
      <c r="R34" s="150">
        <f t="shared" si="2"/>
        <v>4.267258128465316E-3</v>
      </c>
      <c r="S34" s="150">
        <f t="shared" si="2"/>
        <v>5.8284066248997148E-3</v>
      </c>
      <c r="T34" s="150">
        <f t="shared" si="2"/>
        <v>8.7690756611110334E-3</v>
      </c>
      <c r="U34" s="150">
        <f t="shared" si="2"/>
        <v>4.102000767195406E-4</v>
      </c>
      <c r="V34" s="150">
        <f t="shared" si="2"/>
        <v>-1.0276696588178739E-3</v>
      </c>
      <c r="W34" s="150">
        <f t="shared" si="2"/>
        <v>2.0531088467739237E-3</v>
      </c>
      <c r="X34" s="150">
        <f t="shared" si="2"/>
        <v>-1.1528456675154878E-4</v>
      </c>
      <c r="Y34" s="150">
        <f t="shared" si="2"/>
        <v>6.7529031175823527E-4</v>
      </c>
      <c r="Z34" s="150">
        <f t="shared" si="2"/>
        <v>5.7045900026861558E-3</v>
      </c>
      <c r="AA34" s="150">
        <f t="shared" si="2"/>
        <v>3.4722976315659923E-3</v>
      </c>
      <c r="AB34" s="150">
        <f t="shared" si="2"/>
        <v>3.9183025923975193E-3</v>
      </c>
      <c r="AC34" s="150">
        <f t="shared" si="2"/>
        <v>4.1894561891674901E-3</v>
      </c>
      <c r="AD34" s="150">
        <f t="shared" si="2"/>
        <v>3.4543750906366332E-3</v>
      </c>
      <c r="AE34" s="150">
        <f t="shared" si="2"/>
        <v>3.2946533572473357E-3</v>
      </c>
      <c r="AF34" s="150">
        <f t="shared" si="2"/>
        <v>4.5015092020285257E-3</v>
      </c>
      <c r="AG34" s="150">
        <f t="shared" si="2"/>
        <v>3.122857923976857E-3</v>
      </c>
    </row>
    <row r="35" spans="1:33" x14ac:dyDescent="0.25">
      <c r="A35" s="119" t="s">
        <v>1923</v>
      </c>
      <c r="B35" s="150">
        <f t="shared" ref="B35:AG35" si="3">(B27-B8)/B8</f>
        <v>-1.2526753888399342E-2</v>
      </c>
      <c r="C35" s="150">
        <f t="shared" si="3"/>
        <v>-9.2022195172581558E-3</v>
      </c>
      <c r="D35" s="150">
        <f t="shared" si="3"/>
        <v>-1.0105321786928122E-2</v>
      </c>
      <c r="E35" s="150">
        <f t="shared" si="3"/>
        <v>-8.8007122373057727E-3</v>
      </c>
      <c r="F35" s="150">
        <f t="shared" si="3"/>
        <v>-6.8093997598818318E-3</v>
      </c>
      <c r="G35" s="150">
        <f t="shared" si="3"/>
        <v>-4.2814980846027795E-3</v>
      </c>
      <c r="H35" s="150">
        <f t="shared" si="3"/>
        <v>-5.6983883530378632E-3</v>
      </c>
      <c r="I35" s="150">
        <f t="shared" si="3"/>
        <v>-6.3678676700595757E-3</v>
      </c>
      <c r="J35" s="150">
        <f t="shared" si="3"/>
        <v>-3.9550228132388303E-3</v>
      </c>
      <c r="K35" s="150">
        <f t="shared" si="3"/>
        <v>-5.1086641555006963E-3</v>
      </c>
      <c r="L35" s="150">
        <f t="shared" si="3"/>
        <v>-1.5587463298646584E-2</v>
      </c>
      <c r="M35" s="150">
        <f t="shared" si="3"/>
        <v>-1.2999340207161373E-2</v>
      </c>
      <c r="N35" s="150">
        <f t="shared" si="3"/>
        <v>-1.3519402937500253E-2</v>
      </c>
      <c r="O35" s="150">
        <f t="shared" si="3"/>
        <v>-1.2423406363762091E-2</v>
      </c>
      <c r="P35" s="150">
        <f t="shared" si="3"/>
        <v>-1.4781644566984451E-2</v>
      </c>
      <c r="Q35" s="150">
        <f t="shared" si="3"/>
        <v>-1.1653977414703968E-2</v>
      </c>
      <c r="R35" s="150">
        <f t="shared" si="3"/>
        <v>-1.0210765703703916E-2</v>
      </c>
      <c r="S35" s="150">
        <f t="shared" si="3"/>
        <v>-4.660727430915646E-3</v>
      </c>
      <c r="T35" s="150">
        <f t="shared" si="3"/>
        <v>-2.2986938322650118E-3</v>
      </c>
      <c r="U35" s="150">
        <f t="shared" si="3"/>
        <v>-1.7680982675738477E-3</v>
      </c>
      <c r="V35" s="150">
        <f t="shared" si="3"/>
        <v>-3.2693100162299172E-3</v>
      </c>
      <c r="W35" s="150">
        <f t="shared" si="3"/>
        <v>-6.8928447863250404E-4</v>
      </c>
      <c r="X35" s="150">
        <f t="shared" si="3"/>
        <v>7.8540346074065489E-4</v>
      </c>
      <c r="Y35" s="150">
        <f t="shared" si="3"/>
        <v>-1.445383984848703E-3</v>
      </c>
      <c r="Z35" s="150">
        <f t="shared" si="3"/>
        <v>1.3703053125808569E-3</v>
      </c>
      <c r="AA35" s="150">
        <f t="shared" si="3"/>
        <v>1.0820078688498069E-4</v>
      </c>
      <c r="AB35" s="150">
        <f t="shared" si="3"/>
        <v>2.0384448795042589E-3</v>
      </c>
      <c r="AC35" s="150">
        <f t="shared" si="3"/>
        <v>2.0441168606464342E-3</v>
      </c>
      <c r="AD35" s="150">
        <f t="shared" si="3"/>
        <v>1.2590204081193896E-3</v>
      </c>
      <c r="AE35" s="150">
        <f t="shared" si="3"/>
        <v>2.5613631980197786E-3</v>
      </c>
      <c r="AF35" s="150">
        <f t="shared" si="3"/>
        <v>3.0762947851299471E-4</v>
      </c>
      <c r="AG35" s="150">
        <f t="shared" si="3"/>
        <v>-6.2547181707522763E-4</v>
      </c>
    </row>
    <row r="36" spans="1:33" x14ac:dyDescent="0.25">
      <c r="A36" s="119" t="s">
        <v>1924</v>
      </c>
      <c r="B36" s="150">
        <f t="shared" ref="B36:AG36" si="4">(B28-B9)/B9</f>
        <v>-5.8943071463022079E-3</v>
      </c>
      <c r="C36" s="150">
        <f t="shared" si="4"/>
        <v>-4.1110147965356669E-3</v>
      </c>
      <c r="D36" s="150">
        <f t="shared" si="4"/>
        <v>-5.5520955602841524E-3</v>
      </c>
      <c r="E36" s="150">
        <f t="shared" si="4"/>
        <v>-4.9219276961203562E-3</v>
      </c>
      <c r="F36" s="150">
        <f t="shared" si="4"/>
        <v>-4.3542931670064932E-3</v>
      </c>
      <c r="G36" s="150">
        <f t="shared" si="4"/>
        <v>-4.034117317233586E-3</v>
      </c>
      <c r="H36" s="150">
        <f t="shared" si="4"/>
        <v>-3.4114819298580808E-3</v>
      </c>
      <c r="I36" s="150">
        <f t="shared" si="4"/>
        <v>-2.8779837932711603E-3</v>
      </c>
      <c r="J36" s="150">
        <f t="shared" si="4"/>
        <v>-4.3058254329792032E-4</v>
      </c>
      <c r="K36" s="150">
        <f t="shared" si="4"/>
        <v>-2.6765590622065921E-3</v>
      </c>
      <c r="L36" s="150">
        <f t="shared" si="4"/>
        <v>-1.3974721767123549E-2</v>
      </c>
      <c r="M36" s="150">
        <f t="shared" si="4"/>
        <v>-1.4690616127485649E-2</v>
      </c>
      <c r="N36" s="150">
        <f t="shared" si="4"/>
        <v>-1.361294640225575E-2</v>
      </c>
      <c r="O36" s="150">
        <f t="shared" si="4"/>
        <v>-1.3008136222222267E-2</v>
      </c>
      <c r="P36" s="150">
        <f t="shared" si="4"/>
        <v>-1.2530704584071038E-2</v>
      </c>
      <c r="Q36" s="150">
        <f t="shared" si="4"/>
        <v>-7.4267956319664114E-3</v>
      </c>
      <c r="R36" s="150">
        <f t="shared" si="4"/>
        <v>-6.8948211839906411E-3</v>
      </c>
      <c r="S36" s="150">
        <f t="shared" si="4"/>
        <v>-2.8253893860910617E-3</v>
      </c>
      <c r="T36" s="150">
        <f t="shared" si="4"/>
        <v>-1.9740549304032339E-3</v>
      </c>
      <c r="U36" s="150">
        <f t="shared" si="4"/>
        <v>-2.3031305905533316E-4</v>
      </c>
      <c r="V36" s="150">
        <f t="shared" si="4"/>
        <v>-5.6470475073746044E-4</v>
      </c>
      <c r="W36" s="150">
        <f t="shared" si="4"/>
        <v>2.4835143459888255E-4</v>
      </c>
      <c r="X36" s="150">
        <f t="shared" si="4"/>
        <v>1.5517214621991258E-3</v>
      </c>
      <c r="Y36" s="150">
        <f t="shared" si="4"/>
        <v>-4.4699531746031904E-4</v>
      </c>
      <c r="Z36" s="150">
        <f t="shared" si="4"/>
        <v>3.5984469586351813E-4</v>
      </c>
      <c r="AA36" s="150">
        <f t="shared" si="4"/>
        <v>1.2478732372261652E-3</v>
      </c>
      <c r="AB36" s="150">
        <f t="shared" si="4"/>
        <v>1.1452721542481569E-3</v>
      </c>
      <c r="AC36" s="150">
        <f t="shared" si="4"/>
        <v>3.9393948721623238E-3</v>
      </c>
      <c r="AD36" s="150">
        <f t="shared" si="4"/>
        <v>2.6018689331139414E-3</v>
      </c>
      <c r="AE36" s="150">
        <f t="shared" si="4"/>
        <v>3.0861897160492234E-3</v>
      </c>
      <c r="AF36" s="150">
        <f t="shared" si="4"/>
        <v>1.6023573489207066E-3</v>
      </c>
      <c r="AG36" s="150">
        <f t="shared" si="4"/>
        <v>2.1459427409586886E-3</v>
      </c>
    </row>
    <row r="37" spans="1:33" x14ac:dyDescent="0.25">
      <c r="A37" s="119" t="s">
        <v>1925</v>
      </c>
      <c r="B37" s="150">
        <f t="shared" ref="B37:AG37" si="5">(B29-B10)/B10</f>
        <v>-4.2552179558183155E-3</v>
      </c>
      <c r="C37" s="150">
        <f t="shared" si="5"/>
        <v>-2.5709089636097244E-3</v>
      </c>
      <c r="D37" s="150">
        <f t="shared" si="5"/>
        <v>-3.2363028177101768E-3</v>
      </c>
      <c r="E37" s="150">
        <f t="shared" si="5"/>
        <v>-2.8329232798079834E-3</v>
      </c>
      <c r="F37" s="150">
        <f t="shared" si="5"/>
        <v>-1.0450176248539913E-3</v>
      </c>
      <c r="G37" s="150">
        <f t="shared" si="5"/>
        <v>-3.0467432105571444E-3</v>
      </c>
      <c r="H37" s="150">
        <f t="shared" si="5"/>
        <v>-6.5748110618817556E-4</v>
      </c>
      <c r="I37" s="150">
        <f t="shared" si="5"/>
        <v>-6.7253903340475823E-4</v>
      </c>
      <c r="J37" s="150">
        <f t="shared" si="5"/>
        <v>-7.3764353130308178E-4</v>
      </c>
      <c r="K37" s="150">
        <f t="shared" si="5"/>
        <v>-8.4212935458736246E-4</v>
      </c>
      <c r="L37" s="150">
        <f t="shared" si="5"/>
        <v>-6.9017908862334222E-3</v>
      </c>
      <c r="M37" s="150">
        <f t="shared" si="5"/>
        <v>-6.8270520890178453E-3</v>
      </c>
      <c r="N37" s="150">
        <f t="shared" si="5"/>
        <v>-2.2741580368990347E-3</v>
      </c>
      <c r="O37" s="150">
        <f t="shared" si="5"/>
        <v>-3.4031789373986151E-3</v>
      </c>
      <c r="P37" s="150">
        <f t="shared" si="5"/>
        <v>-4.2128146768344379E-3</v>
      </c>
      <c r="Q37" s="150">
        <f t="shared" si="5"/>
        <v>-2.7898826025507329E-3</v>
      </c>
      <c r="R37" s="150">
        <f t="shared" si="5"/>
        <v>1.9609469056838628E-3</v>
      </c>
      <c r="S37" s="150">
        <f t="shared" si="5"/>
        <v>3.1938306659378577E-3</v>
      </c>
      <c r="T37" s="150">
        <f t="shared" si="5"/>
        <v>6.0064599480974326E-3</v>
      </c>
      <c r="U37" s="150">
        <f t="shared" si="5"/>
        <v>7.0367044332925255E-3</v>
      </c>
      <c r="V37" s="150">
        <f t="shared" si="5"/>
        <v>5.319184738495685E-3</v>
      </c>
      <c r="W37" s="150">
        <f t="shared" si="5"/>
        <v>3.7536229774614094E-3</v>
      </c>
      <c r="X37" s="150">
        <f t="shared" si="5"/>
        <v>4.7394733763923402E-4</v>
      </c>
      <c r="Y37" s="150">
        <f t="shared" si="5"/>
        <v>-5.8389731844209496E-4</v>
      </c>
      <c r="Z37" s="150">
        <f t="shared" si="5"/>
        <v>1.1866240878134961E-3</v>
      </c>
      <c r="AA37" s="150">
        <f t="shared" si="5"/>
        <v>2.3082863359735798E-3</v>
      </c>
      <c r="AB37" s="150">
        <f t="shared" si="5"/>
        <v>3.5792163238932556E-3</v>
      </c>
      <c r="AC37" s="150">
        <f t="shared" si="5"/>
        <v>2.7130530399405001E-3</v>
      </c>
      <c r="AD37" s="150">
        <f t="shared" si="5"/>
        <v>2.5139741148352732E-3</v>
      </c>
      <c r="AE37" s="150">
        <f t="shared" si="5"/>
        <v>3.0254308940836825E-3</v>
      </c>
      <c r="AF37" s="150">
        <f t="shared" si="5"/>
        <v>2.1927464778836261E-3</v>
      </c>
      <c r="AG37" s="150">
        <f t="shared" si="5"/>
        <v>2.7574482483527602E-3</v>
      </c>
    </row>
    <row r="38" spans="1:33" x14ac:dyDescent="0.25">
      <c r="A38" s="119" t="s">
        <v>1926</v>
      </c>
      <c r="B38" s="150">
        <f t="shared" ref="B38:AG38" si="6">(B30-B11)/B11</f>
        <v>-8.3060514069244868E-4</v>
      </c>
      <c r="C38" s="150">
        <f t="shared" si="6"/>
        <v>-4.1598570943023119E-3</v>
      </c>
      <c r="D38" s="150">
        <f t="shared" si="6"/>
        <v>3.3273724990815117E-3</v>
      </c>
      <c r="E38" s="150">
        <f t="shared" si="6"/>
        <v>-1.9984403443186168E-3</v>
      </c>
      <c r="F38" s="150">
        <f t="shared" si="6"/>
        <v>-3.1916948130383161E-3</v>
      </c>
      <c r="G38" s="150">
        <f t="shared" si="6"/>
        <v>-7.4601055199998714E-4</v>
      </c>
      <c r="H38" s="150">
        <f t="shared" si="6"/>
        <v>-2.9654936788557358E-2</v>
      </c>
      <c r="I38" s="150">
        <f t="shared" si="6"/>
        <v>-6.4376759873258022E-3</v>
      </c>
      <c r="J38" s="150">
        <f t="shared" si="6"/>
        <v>-1.4331289986053456E-3</v>
      </c>
      <c r="K38" s="150">
        <f t="shared" si="6"/>
        <v>-3.3909533148148195E-3</v>
      </c>
      <c r="L38" s="150">
        <f t="shared" si="6"/>
        <v>-1.6676888989501332E-2</v>
      </c>
      <c r="M38" s="150">
        <f t="shared" si="6"/>
        <v>-7.0159707551282072E-3</v>
      </c>
      <c r="N38" s="150">
        <f t="shared" si="6"/>
        <v>-9.0035656626509201E-3</v>
      </c>
      <c r="O38" s="150">
        <f t="shared" si="6"/>
        <v>-5.9522547971332931E-3</v>
      </c>
      <c r="P38" s="150">
        <f t="shared" si="6"/>
        <v>-9.0475479669031474E-3</v>
      </c>
      <c r="Q38" s="150">
        <f t="shared" si="6"/>
        <v>-3.0593821151962113E-3</v>
      </c>
      <c r="R38" s="150">
        <f t="shared" si="6"/>
        <v>1.0202047767720527E-3</v>
      </c>
      <c r="S38" s="150">
        <f t="shared" si="6"/>
        <v>1.4593777889372673E-3</v>
      </c>
      <c r="T38" s="150">
        <f t="shared" si="6"/>
        <v>3.1394595848214086E-3</v>
      </c>
      <c r="U38" s="150">
        <f t="shared" si="6"/>
        <v>3.2745203304843265E-3</v>
      </c>
      <c r="V38" s="150">
        <f t="shared" si="6"/>
        <v>2.3360726771300263E-3</v>
      </c>
      <c r="W38" s="150">
        <f t="shared" si="6"/>
        <v>2.0859046275430635E-3</v>
      </c>
      <c r="X38" s="150">
        <f t="shared" si="6"/>
        <v>2.8133789577235138E-3</v>
      </c>
      <c r="Y38" s="150">
        <f t="shared" si="6"/>
        <v>3.0292249674073921E-3</v>
      </c>
      <c r="Z38" s="150">
        <f t="shared" si="6"/>
        <v>4.0527303045976215E-3</v>
      </c>
      <c r="AA38" s="150">
        <f t="shared" si="6"/>
        <v>3.8589861967213072E-3</v>
      </c>
      <c r="AB38" s="150">
        <f t="shared" si="6"/>
        <v>4.7560305860804538E-3</v>
      </c>
      <c r="AC38" s="150">
        <f t="shared" si="6"/>
        <v>2.9368963117115073E-3</v>
      </c>
      <c r="AD38" s="150">
        <f t="shared" si="6"/>
        <v>5.4217583826089294E-3</v>
      </c>
      <c r="AE38" s="150">
        <f t="shared" si="6"/>
        <v>5.933967517799248E-3</v>
      </c>
      <c r="AF38" s="150">
        <f t="shared" si="6"/>
        <v>4.3060634638447141E-3</v>
      </c>
      <c r="AG38" s="150">
        <f t="shared" si="6"/>
        <v>4.8634886913383937E-3</v>
      </c>
    </row>
    <row r="39" spans="1:33" x14ac:dyDescent="0.25">
      <c r="A39" s="119" t="s">
        <v>1927</v>
      </c>
      <c r="B39" s="150">
        <f t="shared" ref="B39:AG39" si="7">(B31-B12)/B12</f>
        <v>-3.7200127518239551E-3</v>
      </c>
      <c r="C39" s="150">
        <f t="shared" si="7"/>
        <v>-4.6833038928936511E-3</v>
      </c>
      <c r="D39" s="150">
        <f t="shared" si="7"/>
        <v>-4.915082678679239E-3</v>
      </c>
      <c r="E39" s="150">
        <f t="shared" si="7"/>
        <v>-4.8943361020642876E-3</v>
      </c>
      <c r="F39" s="150">
        <f t="shared" si="7"/>
        <v>1.902102325089415E-4</v>
      </c>
      <c r="G39" s="150">
        <f t="shared" si="7"/>
        <v>1.0634888974358815E-3</v>
      </c>
      <c r="H39" s="150">
        <f t="shared" si="7"/>
        <v>-4.0509996931567668E-3</v>
      </c>
      <c r="I39" s="150">
        <f t="shared" si="7"/>
        <v>-9.4096965986554596E-5</v>
      </c>
      <c r="J39" s="150">
        <f t="shared" si="7"/>
        <v>-8.364132809524083E-4</v>
      </c>
      <c r="K39" s="150">
        <f t="shared" si="7"/>
        <v>-3.0873822584542051E-3</v>
      </c>
      <c r="L39" s="150">
        <f t="shared" si="7"/>
        <v>-9.3269487391305743E-3</v>
      </c>
      <c r="M39" s="150">
        <f t="shared" si="7"/>
        <v>-4.5837378574425129E-3</v>
      </c>
      <c r="N39" s="150">
        <f t="shared" si="7"/>
        <v>-3.9846950827742396E-3</v>
      </c>
      <c r="O39" s="150">
        <f t="shared" si="7"/>
        <v>-6.5184788250004233E-3</v>
      </c>
      <c r="P39" s="150">
        <f t="shared" si="7"/>
        <v>-9.6516219333336248E-3</v>
      </c>
      <c r="Q39" s="150">
        <f t="shared" si="7"/>
        <v>-9.299521678714914E-3</v>
      </c>
      <c r="R39" s="150">
        <f t="shared" si="7"/>
        <v>-1.0571542380952905E-3</v>
      </c>
      <c r="S39" s="150">
        <f t="shared" si="7"/>
        <v>1.3610881368652263E-3</v>
      </c>
      <c r="T39" s="150">
        <f t="shared" si="7"/>
        <v>3.8968751388888312E-3</v>
      </c>
      <c r="U39" s="150">
        <f t="shared" si="7"/>
        <v>4.1979437590088584E-3</v>
      </c>
      <c r="V39" s="150">
        <f t="shared" si="7"/>
        <v>-2.1597613888895407E-4</v>
      </c>
      <c r="W39" s="150">
        <f t="shared" si="7"/>
        <v>5.8019023880206272E-3</v>
      </c>
      <c r="X39" s="150">
        <f t="shared" si="7"/>
        <v>2.7694156036032471E-3</v>
      </c>
      <c r="Y39" s="150">
        <f t="shared" si="7"/>
        <v>4.2135473958329617E-4</v>
      </c>
      <c r="Z39" s="150">
        <f t="shared" si="7"/>
        <v>-4.6233979047619457E-4</v>
      </c>
      <c r="AA39" s="150">
        <f t="shared" si="7"/>
        <v>1.4598261282051639E-3</v>
      </c>
      <c r="AB39" s="150">
        <f t="shared" si="7"/>
        <v>1.1528641388887835E-3</v>
      </c>
      <c r="AC39" s="150">
        <f t="shared" si="7"/>
        <v>3.2640520700481972E-3</v>
      </c>
      <c r="AD39" s="150">
        <f t="shared" si="7"/>
        <v>-1.5914433490992108E-3</v>
      </c>
      <c r="AE39" s="150">
        <f t="shared" si="7"/>
        <v>1.7601765741935872E-3</v>
      </c>
      <c r="AF39" s="150">
        <f t="shared" si="7"/>
        <v>-5.3908942723027977E-4</v>
      </c>
      <c r="AG39" s="150">
        <f t="shared" si="7"/>
        <v>-5.6118724534989447E-4</v>
      </c>
    </row>
    <row r="41" spans="1:33" x14ac:dyDescent="0.25">
      <c r="A41" s="112" t="s">
        <v>1937</v>
      </c>
    </row>
    <row r="42" spans="1:33" x14ac:dyDescent="0.25">
      <c r="A42" s="119" t="s">
        <v>1922</v>
      </c>
      <c r="B42" s="150">
        <f t="shared" ref="B42:AG42" si="8">ABS((B25-B6)/B6)</f>
        <v>5.865196162998949E-3</v>
      </c>
      <c r="C42" s="150">
        <f t="shared" si="8"/>
        <v>4.7209880919020838E-3</v>
      </c>
      <c r="D42" s="150">
        <f t="shared" si="8"/>
        <v>4.6619184245243828E-3</v>
      </c>
      <c r="E42" s="150">
        <f t="shared" si="8"/>
        <v>4.4416314793184952E-3</v>
      </c>
      <c r="F42" s="150">
        <f t="shared" si="8"/>
        <v>4.3286986032520574E-3</v>
      </c>
      <c r="G42" s="150">
        <f t="shared" si="8"/>
        <v>4.8768332782582408E-3</v>
      </c>
      <c r="H42" s="150">
        <f t="shared" si="8"/>
        <v>2.7583829862847069E-3</v>
      </c>
      <c r="I42" s="150">
        <f t="shared" si="8"/>
        <v>2.6366226847445921E-3</v>
      </c>
      <c r="J42" s="150">
        <f t="shared" si="8"/>
        <v>1.8354815260048084E-3</v>
      </c>
      <c r="K42" s="150">
        <f t="shared" si="8"/>
        <v>1.4255766472325438E-3</v>
      </c>
      <c r="L42" s="150">
        <f t="shared" si="8"/>
        <v>1.1299178060190635E-2</v>
      </c>
      <c r="M42" s="150">
        <f t="shared" si="8"/>
        <v>7.7125874858157209E-3</v>
      </c>
      <c r="N42" s="150">
        <f t="shared" si="8"/>
        <v>8.7561454743903741E-3</v>
      </c>
      <c r="O42" s="150">
        <f t="shared" si="8"/>
        <v>9.5628858682246312E-3</v>
      </c>
      <c r="P42" s="150">
        <f t="shared" si="8"/>
        <v>1.0341867104187105E-2</v>
      </c>
      <c r="Q42" s="150">
        <f t="shared" si="8"/>
        <v>8.8255975647060659E-3</v>
      </c>
      <c r="R42" s="150">
        <f t="shared" si="8"/>
        <v>5.9112905057901637E-3</v>
      </c>
      <c r="S42" s="150">
        <f t="shared" si="8"/>
        <v>9.1159406513882695E-5</v>
      </c>
      <c r="T42" s="150">
        <f t="shared" si="8"/>
        <v>1.4482935529555694E-3</v>
      </c>
      <c r="U42" s="150">
        <f t="shared" si="8"/>
        <v>1.257419573595429E-3</v>
      </c>
      <c r="V42" s="150">
        <f t="shared" si="8"/>
        <v>1.4835537777775655E-3</v>
      </c>
      <c r="W42" s="150">
        <f t="shared" si="8"/>
        <v>2.1077754481327086E-3</v>
      </c>
      <c r="X42" s="150">
        <f t="shared" si="8"/>
        <v>1.5864718890527683E-4</v>
      </c>
      <c r="Y42" s="150">
        <f t="shared" si="8"/>
        <v>4.5196088939394446E-3</v>
      </c>
      <c r="Z42" s="150">
        <f t="shared" si="8"/>
        <v>2.5329726631297088E-3</v>
      </c>
      <c r="AA42" s="150">
        <f t="shared" si="8"/>
        <v>3.6069023329018683E-3</v>
      </c>
      <c r="AB42" s="150">
        <f t="shared" si="8"/>
        <v>4.060806191230633E-3</v>
      </c>
      <c r="AC42" s="150">
        <f t="shared" si="8"/>
        <v>4.8395550907236505E-3</v>
      </c>
      <c r="AD42" s="150">
        <f t="shared" si="8"/>
        <v>3.1013548513092164E-3</v>
      </c>
      <c r="AE42" s="150">
        <f t="shared" si="8"/>
        <v>2.4959111296041061E-3</v>
      </c>
      <c r="AF42" s="150">
        <f t="shared" si="8"/>
        <v>4.2343228669700092E-3</v>
      </c>
      <c r="AG42" s="150">
        <f t="shared" si="8"/>
        <v>2.6808135303461114E-3</v>
      </c>
    </row>
    <row r="43" spans="1:33" x14ac:dyDescent="0.25">
      <c r="A43" s="119" t="s">
        <v>1788</v>
      </c>
      <c r="B43" s="150">
        <f t="shared" ref="B43:AG43" si="9">ABS((B26-B7)/B7)</f>
        <v>6.3179820994603572E-3</v>
      </c>
      <c r="C43" s="150">
        <f t="shared" si="9"/>
        <v>7.3421441372565231E-3</v>
      </c>
      <c r="D43" s="150">
        <f t="shared" si="9"/>
        <v>7.8086243287927726E-3</v>
      </c>
      <c r="E43" s="150">
        <f t="shared" si="9"/>
        <v>8.0453449913495591E-3</v>
      </c>
      <c r="F43" s="150">
        <f t="shared" si="9"/>
        <v>2.5522556228039123E-4</v>
      </c>
      <c r="G43" s="150">
        <f t="shared" si="9"/>
        <v>1.3285236142519304E-3</v>
      </c>
      <c r="H43" s="150">
        <f t="shared" si="9"/>
        <v>1.0742416490412349E-3</v>
      </c>
      <c r="I43" s="150">
        <f t="shared" si="9"/>
        <v>1.7185341461987023E-3</v>
      </c>
      <c r="J43" s="150">
        <f t="shared" si="9"/>
        <v>3.7644729918376034E-3</v>
      </c>
      <c r="K43" s="150">
        <f t="shared" si="9"/>
        <v>1.4779414517264975E-2</v>
      </c>
      <c r="L43" s="150">
        <f t="shared" si="9"/>
        <v>1.3992629524985742E-2</v>
      </c>
      <c r="M43" s="150">
        <f t="shared" si="9"/>
        <v>1.3708360771165183E-2</v>
      </c>
      <c r="N43" s="150">
        <f t="shared" si="9"/>
        <v>1.1720917341990815E-2</v>
      </c>
      <c r="O43" s="150">
        <f t="shared" si="9"/>
        <v>7.1129228031592585E-3</v>
      </c>
      <c r="P43" s="150">
        <f t="shared" si="9"/>
        <v>7.5965731620205165E-3</v>
      </c>
      <c r="Q43" s="150">
        <f t="shared" si="9"/>
        <v>7.9306142248224197E-4</v>
      </c>
      <c r="R43" s="150">
        <f t="shared" si="9"/>
        <v>4.267258128465316E-3</v>
      </c>
      <c r="S43" s="150">
        <f t="shared" si="9"/>
        <v>5.8284066248997148E-3</v>
      </c>
      <c r="T43" s="150">
        <f t="shared" si="9"/>
        <v>8.7690756611110334E-3</v>
      </c>
      <c r="U43" s="150">
        <f t="shared" si="9"/>
        <v>4.102000767195406E-4</v>
      </c>
      <c r="V43" s="150">
        <f t="shared" si="9"/>
        <v>1.0276696588178739E-3</v>
      </c>
      <c r="W43" s="150">
        <f t="shared" si="9"/>
        <v>2.0531088467739237E-3</v>
      </c>
      <c r="X43" s="150">
        <f t="shared" si="9"/>
        <v>1.1528456675154878E-4</v>
      </c>
      <c r="Y43" s="150">
        <f t="shared" si="9"/>
        <v>6.7529031175823527E-4</v>
      </c>
      <c r="Z43" s="150">
        <f t="shared" si="9"/>
        <v>5.7045900026861558E-3</v>
      </c>
      <c r="AA43" s="150">
        <f t="shared" si="9"/>
        <v>3.4722976315659923E-3</v>
      </c>
      <c r="AB43" s="150">
        <f t="shared" si="9"/>
        <v>3.9183025923975193E-3</v>
      </c>
      <c r="AC43" s="150">
        <f t="shared" si="9"/>
        <v>4.1894561891674901E-3</v>
      </c>
      <c r="AD43" s="150">
        <f t="shared" si="9"/>
        <v>3.4543750906366332E-3</v>
      </c>
      <c r="AE43" s="150">
        <f t="shared" si="9"/>
        <v>3.2946533572473357E-3</v>
      </c>
      <c r="AF43" s="150">
        <f t="shared" si="9"/>
        <v>4.5015092020285257E-3</v>
      </c>
      <c r="AG43" s="150">
        <f t="shared" si="9"/>
        <v>3.122857923976857E-3</v>
      </c>
    </row>
    <row r="44" spans="1:33" x14ac:dyDescent="0.25">
      <c r="A44" s="119" t="s">
        <v>1923</v>
      </c>
      <c r="B44" s="150">
        <f t="shared" ref="B44:AG44" si="10">ABS((B27-B8)/B8)</f>
        <v>1.2526753888399342E-2</v>
      </c>
      <c r="C44" s="150">
        <f t="shared" si="10"/>
        <v>9.2022195172581558E-3</v>
      </c>
      <c r="D44" s="150">
        <f t="shared" si="10"/>
        <v>1.0105321786928122E-2</v>
      </c>
      <c r="E44" s="150">
        <f t="shared" si="10"/>
        <v>8.8007122373057727E-3</v>
      </c>
      <c r="F44" s="150">
        <f t="shared" si="10"/>
        <v>6.8093997598818318E-3</v>
      </c>
      <c r="G44" s="150">
        <f t="shared" si="10"/>
        <v>4.2814980846027795E-3</v>
      </c>
      <c r="H44" s="150">
        <f t="shared" si="10"/>
        <v>5.6983883530378632E-3</v>
      </c>
      <c r="I44" s="150">
        <f t="shared" si="10"/>
        <v>6.3678676700595757E-3</v>
      </c>
      <c r="J44" s="150">
        <f t="shared" si="10"/>
        <v>3.9550228132388303E-3</v>
      </c>
      <c r="K44" s="150">
        <f t="shared" si="10"/>
        <v>5.1086641555006963E-3</v>
      </c>
      <c r="L44" s="150">
        <f t="shared" si="10"/>
        <v>1.5587463298646584E-2</v>
      </c>
      <c r="M44" s="150">
        <f t="shared" si="10"/>
        <v>1.2999340207161373E-2</v>
      </c>
      <c r="N44" s="150">
        <f t="shared" si="10"/>
        <v>1.3519402937500253E-2</v>
      </c>
      <c r="O44" s="150">
        <f t="shared" si="10"/>
        <v>1.2423406363762091E-2</v>
      </c>
      <c r="P44" s="150">
        <f t="shared" si="10"/>
        <v>1.4781644566984451E-2</v>
      </c>
      <c r="Q44" s="150">
        <f t="shared" si="10"/>
        <v>1.1653977414703968E-2</v>
      </c>
      <c r="R44" s="150">
        <f t="shared" si="10"/>
        <v>1.0210765703703916E-2</v>
      </c>
      <c r="S44" s="150">
        <f t="shared" si="10"/>
        <v>4.660727430915646E-3</v>
      </c>
      <c r="T44" s="150">
        <f t="shared" si="10"/>
        <v>2.2986938322650118E-3</v>
      </c>
      <c r="U44" s="150">
        <f t="shared" si="10"/>
        <v>1.7680982675738477E-3</v>
      </c>
      <c r="V44" s="150">
        <f t="shared" si="10"/>
        <v>3.2693100162299172E-3</v>
      </c>
      <c r="W44" s="150">
        <f t="shared" si="10"/>
        <v>6.8928447863250404E-4</v>
      </c>
      <c r="X44" s="150">
        <f t="shared" si="10"/>
        <v>7.8540346074065489E-4</v>
      </c>
      <c r="Y44" s="150">
        <f t="shared" si="10"/>
        <v>1.445383984848703E-3</v>
      </c>
      <c r="Z44" s="150">
        <f t="shared" si="10"/>
        <v>1.3703053125808569E-3</v>
      </c>
      <c r="AA44" s="150">
        <f t="shared" si="10"/>
        <v>1.0820078688498069E-4</v>
      </c>
      <c r="AB44" s="150">
        <f t="shared" si="10"/>
        <v>2.0384448795042589E-3</v>
      </c>
      <c r="AC44" s="150">
        <f t="shared" si="10"/>
        <v>2.0441168606464342E-3</v>
      </c>
      <c r="AD44" s="150">
        <f t="shared" si="10"/>
        <v>1.2590204081193896E-3</v>
      </c>
      <c r="AE44" s="150">
        <f t="shared" si="10"/>
        <v>2.5613631980197786E-3</v>
      </c>
      <c r="AF44" s="150">
        <f t="shared" si="10"/>
        <v>3.0762947851299471E-4</v>
      </c>
      <c r="AG44" s="150">
        <f t="shared" si="10"/>
        <v>6.2547181707522763E-4</v>
      </c>
    </row>
    <row r="45" spans="1:33" x14ac:dyDescent="0.25">
      <c r="A45" s="119" t="s">
        <v>1924</v>
      </c>
      <c r="B45" s="150">
        <f t="shared" ref="B45:AG45" si="11">ABS((B28-B9)/B9)</f>
        <v>5.8943071463022079E-3</v>
      </c>
      <c r="C45" s="150">
        <f t="shared" si="11"/>
        <v>4.1110147965356669E-3</v>
      </c>
      <c r="D45" s="150">
        <f t="shared" si="11"/>
        <v>5.5520955602841524E-3</v>
      </c>
      <c r="E45" s="150">
        <f t="shared" si="11"/>
        <v>4.9219276961203562E-3</v>
      </c>
      <c r="F45" s="150">
        <f t="shared" si="11"/>
        <v>4.3542931670064932E-3</v>
      </c>
      <c r="G45" s="150">
        <f t="shared" si="11"/>
        <v>4.034117317233586E-3</v>
      </c>
      <c r="H45" s="150">
        <f t="shared" si="11"/>
        <v>3.4114819298580808E-3</v>
      </c>
      <c r="I45" s="150">
        <f t="shared" si="11"/>
        <v>2.8779837932711603E-3</v>
      </c>
      <c r="J45" s="150">
        <f t="shared" si="11"/>
        <v>4.3058254329792032E-4</v>
      </c>
      <c r="K45" s="150">
        <f t="shared" si="11"/>
        <v>2.6765590622065921E-3</v>
      </c>
      <c r="L45" s="150">
        <f t="shared" si="11"/>
        <v>1.3974721767123549E-2</v>
      </c>
      <c r="M45" s="150">
        <f t="shared" si="11"/>
        <v>1.4690616127485649E-2</v>
      </c>
      <c r="N45" s="150">
        <f t="shared" si="11"/>
        <v>1.361294640225575E-2</v>
      </c>
      <c r="O45" s="150">
        <f t="shared" si="11"/>
        <v>1.3008136222222267E-2</v>
      </c>
      <c r="P45" s="150">
        <f t="shared" si="11"/>
        <v>1.2530704584071038E-2</v>
      </c>
      <c r="Q45" s="150">
        <f t="shared" si="11"/>
        <v>7.4267956319664114E-3</v>
      </c>
      <c r="R45" s="150">
        <f t="shared" si="11"/>
        <v>6.8948211839906411E-3</v>
      </c>
      <c r="S45" s="150">
        <f t="shared" si="11"/>
        <v>2.8253893860910617E-3</v>
      </c>
      <c r="T45" s="150">
        <f t="shared" si="11"/>
        <v>1.9740549304032339E-3</v>
      </c>
      <c r="U45" s="150">
        <f t="shared" si="11"/>
        <v>2.3031305905533316E-4</v>
      </c>
      <c r="V45" s="150">
        <f t="shared" si="11"/>
        <v>5.6470475073746044E-4</v>
      </c>
      <c r="W45" s="150">
        <f t="shared" si="11"/>
        <v>2.4835143459888255E-4</v>
      </c>
      <c r="X45" s="150">
        <f t="shared" si="11"/>
        <v>1.5517214621991258E-3</v>
      </c>
      <c r="Y45" s="150">
        <f t="shared" si="11"/>
        <v>4.4699531746031904E-4</v>
      </c>
      <c r="Z45" s="150">
        <f t="shared" si="11"/>
        <v>3.5984469586351813E-4</v>
      </c>
      <c r="AA45" s="150">
        <f t="shared" si="11"/>
        <v>1.2478732372261652E-3</v>
      </c>
      <c r="AB45" s="150">
        <f t="shared" si="11"/>
        <v>1.1452721542481569E-3</v>
      </c>
      <c r="AC45" s="150">
        <f t="shared" si="11"/>
        <v>3.9393948721623238E-3</v>
      </c>
      <c r="AD45" s="150">
        <f t="shared" si="11"/>
        <v>2.6018689331139414E-3</v>
      </c>
      <c r="AE45" s="150">
        <f t="shared" si="11"/>
        <v>3.0861897160492234E-3</v>
      </c>
      <c r="AF45" s="150">
        <f t="shared" si="11"/>
        <v>1.6023573489207066E-3</v>
      </c>
      <c r="AG45" s="150">
        <f t="shared" si="11"/>
        <v>2.1459427409586886E-3</v>
      </c>
    </row>
    <row r="46" spans="1:33" x14ac:dyDescent="0.25">
      <c r="A46" s="119" t="s">
        <v>1925</v>
      </c>
      <c r="B46" s="150">
        <f t="shared" ref="B46:AG46" si="12">ABS((B29-B10)/B10)</f>
        <v>4.2552179558183155E-3</v>
      </c>
      <c r="C46" s="150">
        <f t="shared" si="12"/>
        <v>2.5709089636097244E-3</v>
      </c>
      <c r="D46" s="150">
        <f t="shared" si="12"/>
        <v>3.2363028177101768E-3</v>
      </c>
      <c r="E46" s="150">
        <f t="shared" si="12"/>
        <v>2.8329232798079834E-3</v>
      </c>
      <c r="F46" s="150">
        <f t="shared" si="12"/>
        <v>1.0450176248539913E-3</v>
      </c>
      <c r="G46" s="150">
        <f t="shared" si="12"/>
        <v>3.0467432105571444E-3</v>
      </c>
      <c r="H46" s="150">
        <f t="shared" si="12"/>
        <v>6.5748110618817556E-4</v>
      </c>
      <c r="I46" s="150">
        <f t="shared" si="12"/>
        <v>6.7253903340475823E-4</v>
      </c>
      <c r="J46" s="150">
        <f t="shared" si="12"/>
        <v>7.3764353130308178E-4</v>
      </c>
      <c r="K46" s="150">
        <f t="shared" si="12"/>
        <v>8.4212935458736246E-4</v>
      </c>
      <c r="L46" s="150">
        <f t="shared" si="12"/>
        <v>6.9017908862334222E-3</v>
      </c>
      <c r="M46" s="150">
        <f t="shared" si="12"/>
        <v>6.8270520890178453E-3</v>
      </c>
      <c r="N46" s="150">
        <f t="shared" si="12"/>
        <v>2.2741580368990347E-3</v>
      </c>
      <c r="O46" s="150">
        <f t="shared" si="12"/>
        <v>3.4031789373986151E-3</v>
      </c>
      <c r="P46" s="150">
        <f t="shared" si="12"/>
        <v>4.2128146768344379E-3</v>
      </c>
      <c r="Q46" s="150">
        <f t="shared" si="12"/>
        <v>2.7898826025507329E-3</v>
      </c>
      <c r="R46" s="150">
        <f t="shared" si="12"/>
        <v>1.9609469056838628E-3</v>
      </c>
      <c r="S46" s="150">
        <f t="shared" si="12"/>
        <v>3.1938306659378577E-3</v>
      </c>
      <c r="T46" s="150">
        <f t="shared" si="12"/>
        <v>6.0064599480974326E-3</v>
      </c>
      <c r="U46" s="150">
        <f t="shared" si="12"/>
        <v>7.0367044332925255E-3</v>
      </c>
      <c r="V46" s="150">
        <f t="shared" si="12"/>
        <v>5.319184738495685E-3</v>
      </c>
      <c r="W46" s="150">
        <f t="shared" si="12"/>
        <v>3.7536229774614094E-3</v>
      </c>
      <c r="X46" s="150">
        <f t="shared" si="12"/>
        <v>4.7394733763923402E-4</v>
      </c>
      <c r="Y46" s="150">
        <f t="shared" si="12"/>
        <v>5.8389731844209496E-4</v>
      </c>
      <c r="Z46" s="150">
        <f t="shared" si="12"/>
        <v>1.1866240878134961E-3</v>
      </c>
      <c r="AA46" s="150">
        <f t="shared" si="12"/>
        <v>2.3082863359735798E-3</v>
      </c>
      <c r="AB46" s="150">
        <f t="shared" si="12"/>
        <v>3.5792163238932556E-3</v>
      </c>
      <c r="AC46" s="150">
        <f t="shared" si="12"/>
        <v>2.7130530399405001E-3</v>
      </c>
      <c r="AD46" s="150">
        <f t="shared" si="12"/>
        <v>2.5139741148352732E-3</v>
      </c>
      <c r="AE46" s="150">
        <f t="shared" si="12"/>
        <v>3.0254308940836825E-3</v>
      </c>
      <c r="AF46" s="150">
        <f t="shared" si="12"/>
        <v>2.1927464778836261E-3</v>
      </c>
      <c r="AG46" s="150">
        <f t="shared" si="12"/>
        <v>2.7574482483527602E-3</v>
      </c>
    </row>
    <row r="47" spans="1:33" x14ac:dyDescent="0.25">
      <c r="A47" s="119" t="s">
        <v>1926</v>
      </c>
      <c r="B47" s="150">
        <f t="shared" ref="B47:AG47" si="13">ABS((B30-B11)/B11)</f>
        <v>8.3060514069244868E-4</v>
      </c>
      <c r="C47" s="150">
        <f t="shared" si="13"/>
        <v>4.1598570943023119E-3</v>
      </c>
      <c r="D47" s="150">
        <f t="shared" si="13"/>
        <v>3.3273724990815117E-3</v>
      </c>
      <c r="E47" s="150">
        <f t="shared" si="13"/>
        <v>1.9984403443186168E-3</v>
      </c>
      <c r="F47" s="150">
        <f t="shared" si="13"/>
        <v>3.1916948130383161E-3</v>
      </c>
      <c r="G47" s="150">
        <f t="shared" si="13"/>
        <v>7.4601055199998714E-4</v>
      </c>
      <c r="H47" s="150">
        <f t="shared" si="13"/>
        <v>2.9654936788557358E-2</v>
      </c>
      <c r="I47" s="150">
        <f t="shared" si="13"/>
        <v>6.4376759873258022E-3</v>
      </c>
      <c r="J47" s="150">
        <f t="shared" si="13"/>
        <v>1.4331289986053456E-3</v>
      </c>
      <c r="K47" s="150">
        <f t="shared" si="13"/>
        <v>3.3909533148148195E-3</v>
      </c>
      <c r="L47" s="150">
        <f t="shared" si="13"/>
        <v>1.6676888989501332E-2</v>
      </c>
      <c r="M47" s="150">
        <f t="shared" si="13"/>
        <v>7.0159707551282072E-3</v>
      </c>
      <c r="N47" s="150">
        <f t="shared" si="13"/>
        <v>9.0035656626509201E-3</v>
      </c>
      <c r="O47" s="150">
        <f t="shared" si="13"/>
        <v>5.9522547971332931E-3</v>
      </c>
      <c r="P47" s="150">
        <f t="shared" si="13"/>
        <v>9.0475479669031474E-3</v>
      </c>
      <c r="Q47" s="150">
        <f t="shared" si="13"/>
        <v>3.0593821151962113E-3</v>
      </c>
      <c r="R47" s="150">
        <f t="shared" si="13"/>
        <v>1.0202047767720527E-3</v>
      </c>
      <c r="S47" s="150">
        <f t="shared" si="13"/>
        <v>1.4593777889372673E-3</v>
      </c>
      <c r="T47" s="150">
        <f t="shared" si="13"/>
        <v>3.1394595848214086E-3</v>
      </c>
      <c r="U47" s="150">
        <f t="shared" si="13"/>
        <v>3.2745203304843265E-3</v>
      </c>
      <c r="V47" s="150">
        <f t="shared" si="13"/>
        <v>2.3360726771300263E-3</v>
      </c>
      <c r="W47" s="150">
        <f t="shared" si="13"/>
        <v>2.0859046275430635E-3</v>
      </c>
      <c r="X47" s="150">
        <f t="shared" si="13"/>
        <v>2.8133789577235138E-3</v>
      </c>
      <c r="Y47" s="150">
        <f t="shared" si="13"/>
        <v>3.0292249674073921E-3</v>
      </c>
      <c r="Z47" s="150">
        <f t="shared" si="13"/>
        <v>4.0527303045976215E-3</v>
      </c>
      <c r="AA47" s="150">
        <f t="shared" si="13"/>
        <v>3.8589861967213072E-3</v>
      </c>
      <c r="AB47" s="150">
        <f t="shared" si="13"/>
        <v>4.7560305860804538E-3</v>
      </c>
      <c r="AC47" s="150">
        <f t="shared" si="13"/>
        <v>2.9368963117115073E-3</v>
      </c>
      <c r="AD47" s="150">
        <f t="shared" si="13"/>
        <v>5.4217583826089294E-3</v>
      </c>
      <c r="AE47" s="150">
        <f t="shared" si="13"/>
        <v>5.933967517799248E-3</v>
      </c>
      <c r="AF47" s="150">
        <f t="shared" si="13"/>
        <v>4.3060634638447141E-3</v>
      </c>
      <c r="AG47" s="150">
        <f t="shared" si="13"/>
        <v>4.8634886913383937E-3</v>
      </c>
    </row>
    <row r="48" spans="1:33" x14ac:dyDescent="0.25">
      <c r="A48" s="119" t="s">
        <v>1927</v>
      </c>
      <c r="B48" s="150">
        <f t="shared" ref="B48:AG48" si="14">ABS((B31-B12)/B12)</f>
        <v>3.7200127518239551E-3</v>
      </c>
      <c r="C48" s="150">
        <f t="shared" si="14"/>
        <v>4.6833038928936511E-3</v>
      </c>
      <c r="D48" s="150">
        <f t="shared" si="14"/>
        <v>4.915082678679239E-3</v>
      </c>
      <c r="E48" s="150">
        <f t="shared" si="14"/>
        <v>4.8943361020642876E-3</v>
      </c>
      <c r="F48" s="150">
        <f t="shared" si="14"/>
        <v>1.902102325089415E-4</v>
      </c>
      <c r="G48" s="150">
        <f t="shared" si="14"/>
        <v>1.0634888974358815E-3</v>
      </c>
      <c r="H48" s="150">
        <f t="shared" si="14"/>
        <v>4.0509996931567668E-3</v>
      </c>
      <c r="I48" s="150">
        <f t="shared" si="14"/>
        <v>9.4096965986554596E-5</v>
      </c>
      <c r="J48" s="150">
        <f t="shared" si="14"/>
        <v>8.364132809524083E-4</v>
      </c>
      <c r="K48" s="150">
        <f t="shared" si="14"/>
        <v>3.0873822584542051E-3</v>
      </c>
      <c r="L48" s="150">
        <f t="shared" si="14"/>
        <v>9.3269487391305743E-3</v>
      </c>
      <c r="M48" s="150">
        <f t="shared" si="14"/>
        <v>4.5837378574425129E-3</v>
      </c>
      <c r="N48" s="150">
        <f t="shared" si="14"/>
        <v>3.9846950827742396E-3</v>
      </c>
      <c r="O48" s="150">
        <f t="shared" si="14"/>
        <v>6.5184788250004233E-3</v>
      </c>
      <c r="P48" s="150">
        <f t="shared" si="14"/>
        <v>9.6516219333336248E-3</v>
      </c>
      <c r="Q48" s="150">
        <f t="shared" si="14"/>
        <v>9.299521678714914E-3</v>
      </c>
      <c r="R48" s="150">
        <f t="shared" si="14"/>
        <v>1.0571542380952905E-3</v>
      </c>
      <c r="S48" s="150">
        <f t="shared" si="14"/>
        <v>1.3610881368652263E-3</v>
      </c>
      <c r="T48" s="150">
        <f t="shared" si="14"/>
        <v>3.8968751388888312E-3</v>
      </c>
      <c r="U48" s="150">
        <f t="shared" si="14"/>
        <v>4.1979437590088584E-3</v>
      </c>
      <c r="V48" s="150">
        <f t="shared" si="14"/>
        <v>2.1597613888895407E-4</v>
      </c>
      <c r="W48" s="150">
        <f t="shared" si="14"/>
        <v>5.8019023880206272E-3</v>
      </c>
      <c r="X48" s="150">
        <f t="shared" si="14"/>
        <v>2.7694156036032471E-3</v>
      </c>
      <c r="Y48" s="150">
        <f t="shared" si="14"/>
        <v>4.2135473958329617E-4</v>
      </c>
      <c r="Z48" s="150">
        <f t="shared" si="14"/>
        <v>4.6233979047619457E-4</v>
      </c>
      <c r="AA48" s="150">
        <f t="shared" si="14"/>
        <v>1.4598261282051639E-3</v>
      </c>
      <c r="AB48" s="150">
        <f t="shared" si="14"/>
        <v>1.1528641388887835E-3</v>
      </c>
      <c r="AC48" s="150">
        <f t="shared" si="14"/>
        <v>3.2640520700481972E-3</v>
      </c>
      <c r="AD48" s="150">
        <f t="shared" si="14"/>
        <v>1.5914433490992108E-3</v>
      </c>
      <c r="AE48" s="150">
        <f t="shared" si="14"/>
        <v>1.7601765741935872E-3</v>
      </c>
      <c r="AF48" s="150">
        <f t="shared" si="14"/>
        <v>5.3908942723027977E-4</v>
      </c>
      <c r="AG48" s="150">
        <f t="shared" si="14"/>
        <v>5.6118724534989447E-4</v>
      </c>
    </row>
  </sheetData>
  <mergeCells count="1">
    <mergeCell ref="A1:J1"/>
  </mergeCells>
  <conditionalFormatting sqref="B42:AG48">
    <cfRule type="cellIs" dxfId="2" priority="3" operator="greaterThan">
      <formula>1</formula>
    </cfRule>
  </conditionalFormatting>
  <conditionalFormatting sqref="B42:AG49">
    <cfRule type="cellIs" dxfId="1" priority="1" operator="greaterThan">
      <formula>0.02</formula>
    </cfRule>
    <cfRule type="cellIs" dxfId="0" priority="2" operator="greaterThan">
      <formula>0.01</formula>
    </cfRule>
  </conditionalFormatting>
  <hyperlinks>
    <hyperlink ref="A2" r:id="rId1" xr:uid="{068058F6-1AFA-453E-A325-BFD4F829EF1B}"/>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290D7-A97E-4EFE-BD2B-C94B8403D38F}">
  <dimension ref="A1:AC70"/>
  <sheetViews>
    <sheetView topLeftCell="I16" workbookViewId="0">
      <selection activeCell="AC71" sqref="AC71"/>
    </sheetView>
    <sheetView workbookViewId="1"/>
  </sheetViews>
  <sheetFormatPr defaultRowHeight="15" x14ac:dyDescent="0.25"/>
  <cols>
    <col min="2" max="3" width="9.5703125" bestFit="1" customWidth="1"/>
    <col min="4" max="5" width="7.5703125" bestFit="1" customWidth="1"/>
    <col min="6" max="6" width="9.42578125" customWidth="1"/>
    <col min="7" max="8" width="10.5703125" bestFit="1" customWidth="1"/>
    <col min="10" max="15" width="15.5703125" customWidth="1"/>
    <col min="16" max="16" width="13.7109375" bestFit="1" customWidth="1"/>
    <col min="17" max="17" width="10.85546875" customWidth="1"/>
    <col min="19" max="23" width="10.7109375" customWidth="1"/>
    <col min="24" max="24" width="10.5703125" bestFit="1" customWidth="1"/>
    <col min="25" max="28" width="12" customWidth="1"/>
    <col min="29" max="29" width="10.85546875" customWidth="1"/>
  </cols>
  <sheetData>
    <row r="1" spans="1:18" x14ac:dyDescent="0.25">
      <c r="J1" s="260" t="s">
        <v>2161</v>
      </c>
      <c r="K1" s="261"/>
      <c r="L1" s="261"/>
      <c r="M1" s="261"/>
      <c r="N1" s="261"/>
      <c r="O1" s="261"/>
      <c r="P1" s="261"/>
      <c r="Q1" s="261"/>
    </row>
    <row r="2" spans="1:18" x14ac:dyDescent="0.25">
      <c r="J2" s="97" t="s">
        <v>1886</v>
      </c>
      <c r="K2" t="s">
        <v>1899</v>
      </c>
      <c r="L2" t="s">
        <v>1782</v>
      </c>
      <c r="M2" t="s">
        <v>1724</v>
      </c>
      <c r="N2" t="s">
        <v>1728</v>
      </c>
      <c r="O2" t="s">
        <v>1726</v>
      </c>
      <c r="P2" t="s">
        <v>1736</v>
      </c>
    </row>
    <row r="3" spans="1:18" x14ac:dyDescent="0.25">
      <c r="J3" s="97">
        <v>1</v>
      </c>
      <c r="K3">
        <v>42000</v>
      </c>
      <c r="L3">
        <v>42000</v>
      </c>
      <c r="M3">
        <v>42000</v>
      </c>
      <c r="N3">
        <v>42000</v>
      </c>
      <c r="O3">
        <v>1000</v>
      </c>
      <c r="P3">
        <v>42000</v>
      </c>
    </row>
    <row r="5" spans="1:18" x14ac:dyDescent="0.25">
      <c r="A5" s="179" t="s">
        <v>1751</v>
      </c>
      <c r="B5" s="179" t="s">
        <v>287</v>
      </c>
      <c r="C5" s="179" t="s">
        <v>397</v>
      </c>
      <c r="D5" s="179" t="s">
        <v>685</v>
      </c>
      <c r="E5" s="179" t="s">
        <v>789</v>
      </c>
      <c r="F5" s="179" t="s">
        <v>874</v>
      </c>
      <c r="G5" s="179" t="s">
        <v>938</v>
      </c>
      <c r="H5" s="179" t="s">
        <v>1365</v>
      </c>
      <c r="I5" s="182" t="s">
        <v>2079</v>
      </c>
      <c r="J5" s="179" t="s">
        <v>287</v>
      </c>
      <c r="K5" s="179" t="s">
        <v>397</v>
      </c>
      <c r="L5" s="179" t="s">
        <v>685</v>
      </c>
      <c r="M5" s="179" t="s">
        <v>789</v>
      </c>
      <c r="N5" s="179" t="s">
        <v>874</v>
      </c>
      <c r="O5" s="179" t="s">
        <v>938</v>
      </c>
      <c r="P5" s="179" t="s">
        <v>1365</v>
      </c>
      <c r="Q5" s="182" t="s">
        <v>2080</v>
      </c>
      <c r="R5" s="182" t="s">
        <v>2084</v>
      </c>
    </row>
    <row r="6" spans="1:18" x14ac:dyDescent="0.25">
      <c r="A6" s="180" t="s">
        <v>1791</v>
      </c>
      <c r="B6" s="181">
        <v>586716.43697333324</v>
      </c>
      <c r="C6" s="181">
        <v>121868.59588095234</v>
      </c>
      <c r="D6" s="181">
        <v>1454.9601305555557</v>
      </c>
      <c r="E6" s="181">
        <v>3991.6008000000002</v>
      </c>
      <c r="F6" s="181">
        <v>1146.6819964285717</v>
      </c>
      <c r="G6" s="181">
        <v>561193.51288000005</v>
      </c>
      <c r="H6" s="181">
        <v>112812.23549968255</v>
      </c>
      <c r="I6" s="37">
        <f t="shared" ref="I6:I37" si="0">SUMPRODUCT(B6:H6,$J$3:$P$3)/1000000000</f>
        <v>10.695291350236973</v>
      </c>
      <c r="J6" s="37">
        <f t="shared" ref="J6:J37" si="1">J$3/1000000000*B6</f>
        <v>5.8671643697333332E-4</v>
      </c>
      <c r="K6" s="37">
        <f t="shared" ref="K6:K37" si="2">K$3/1000000000*C6</f>
        <v>5.1184810269999979</v>
      </c>
      <c r="L6" s="37">
        <f t="shared" ref="L6:L37" si="3">L$3/1000000000*D6</f>
        <v>6.1108325483333337E-2</v>
      </c>
      <c r="M6" s="37">
        <f t="shared" ref="M6:N37" si="4">M$3/1000000000*E6</f>
        <v>0.1676472336</v>
      </c>
      <c r="N6" s="37">
        <f t="shared" si="4"/>
        <v>4.8160643850000004E-2</v>
      </c>
      <c r="O6" s="37">
        <f t="shared" ref="O6:O37" si="5">O$3/1000000000*G6</f>
        <v>0.56119351288000008</v>
      </c>
      <c r="P6" s="37">
        <f t="shared" ref="P6:P37" si="6">P$3/1000000000*H6</f>
        <v>4.7381138909866669</v>
      </c>
      <c r="Q6" s="37">
        <f>P6+M6+L6+K6+N6</f>
        <v>10.133511120919998</v>
      </c>
      <c r="R6" s="37">
        <f>Q6+O6+J6</f>
        <v>10.695291350236971</v>
      </c>
    </row>
    <row r="7" spans="1:18" x14ac:dyDescent="0.25">
      <c r="A7" s="180" t="s">
        <v>1792</v>
      </c>
      <c r="B7" s="181">
        <v>463471.26825999992</v>
      </c>
      <c r="C7" s="181">
        <v>125372.38167142853</v>
      </c>
      <c r="D7" s="181">
        <v>1288.1860444444446</v>
      </c>
      <c r="E7" s="181">
        <v>3873.0383999999999</v>
      </c>
      <c r="F7" s="181">
        <v>1189.1517000000001</v>
      </c>
      <c r="G7" s="181">
        <v>647033.42703999998</v>
      </c>
      <c r="H7" s="181">
        <v>112463.77203809524</v>
      </c>
      <c r="I7" s="37">
        <f t="shared" si="0"/>
        <v>10.903331152174927</v>
      </c>
      <c r="J7" s="37">
        <f t="shared" si="1"/>
        <v>4.6347126825999996E-4</v>
      </c>
      <c r="K7" s="37">
        <f t="shared" si="2"/>
        <v>5.2656400301999984</v>
      </c>
      <c r="L7" s="37">
        <f t="shared" si="3"/>
        <v>5.410381386666667E-2</v>
      </c>
      <c r="M7" s="37">
        <f t="shared" si="4"/>
        <v>0.1626676128</v>
      </c>
      <c r="N7" s="37">
        <f t="shared" si="4"/>
        <v>4.99443714E-2</v>
      </c>
      <c r="O7" s="37">
        <f t="shared" si="5"/>
        <v>0.64703342704</v>
      </c>
      <c r="P7" s="37">
        <f t="shared" si="6"/>
        <v>4.7234784255999998</v>
      </c>
      <c r="Q7" s="37">
        <f t="shared" ref="Q7:Q69" si="7">P7+M7+L7+K7+N7</f>
        <v>10.255834253866665</v>
      </c>
      <c r="R7" s="37">
        <f t="shared" ref="R7:R69" si="8">Q7+O7+J7</f>
        <v>10.903331152174925</v>
      </c>
    </row>
    <row r="8" spans="1:18" x14ac:dyDescent="0.25">
      <c r="A8" s="180" t="s">
        <v>1793</v>
      </c>
      <c r="B8" s="181">
        <v>444376.94634666661</v>
      </c>
      <c r="C8" s="181">
        <v>128570.60474761901</v>
      </c>
      <c r="D8" s="181">
        <v>1558.4750805555557</v>
      </c>
      <c r="E8" s="181">
        <v>3764.3562000000002</v>
      </c>
      <c r="F8" s="181">
        <v>1248.6092850000002</v>
      </c>
      <c r="G8" s="181">
        <v>784125.14179999998</v>
      </c>
      <c r="H8" s="181">
        <v>117836.85380063493</v>
      </c>
      <c r="I8" s="37">
        <f t="shared" si="0"/>
        <v>11.409683281526345</v>
      </c>
      <c r="J8" s="37">
        <f t="shared" si="1"/>
        <v>4.4437694634666663E-4</v>
      </c>
      <c r="K8" s="37">
        <f t="shared" si="2"/>
        <v>5.3999653993999983</v>
      </c>
      <c r="L8" s="37">
        <f t="shared" si="3"/>
        <v>6.5455953383333335E-2</v>
      </c>
      <c r="M8" s="37">
        <f t="shared" si="4"/>
        <v>0.15810296039999999</v>
      </c>
      <c r="N8" s="37">
        <f t="shared" si="4"/>
        <v>5.2441589970000008E-2</v>
      </c>
      <c r="O8" s="37">
        <f t="shared" si="5"/>
        <v>0.78412514179999993</v>
      </c>
      <c r="P8" s="37">
        <f t="shared" si="6"/>
        <v>4.9491478596266667</v>
      </c>
      <c r="Q8" s="37">
        <f t="shared" si="7"/>
        <v>10.625113762779998</v>
      </c>
      <c r="R8" s="37">
        <f t="shared" si="8"/>
        <v>11.409683281526345</v>
      </c>
    </row>
    <row r="9" spans="1:18" x14ac:dyDescent="0.25">
      <c r="A9" s="180" t="s">
        <v>1794</v>
      </c>
      <c r="B9" s="181">
        <v>340226.09954666661</v>
      </c>
      <c r="C9" s="181">
        <v>121766.7416428571</v>
      </c>
      <c r="D9" s="181">
        <v>1604.4817250000001</v>
      </c>
      <c r="E9" s="181">
        <v>3359.268</v>
      </c>
      <c r="F9" s="181">
        <v>781.44254571428576</v>
      </c>
      <c r="G9" s="181">
        <v>802049.56831999996</v>
      </c>
      <c r="H9" s="181">
        <v>105123.55783111112</v>
      </c>
      <c r="I9" s="37">
        <f t="shared" si="0"/>
        <v>10.573080447696212</v>
      </c>
      <c r="J9" s="37">
        <f t="shared" si="1"/>
        <v>3.4022609954666665E-4</v>
      </c>
      <c r="K9" s="37">
        <f t="shared" si="2"/>
        <v>5.1142031489999979</v>
      </c>
      <c r="L9" s="37">
        <f t="shared" si="3"/>
        <v>6.7388232450000002E-2</v>
      </c>
      <c r="M9" s="37">
        <f t="shared" si="4"/>
        <v>0.141089256</v>
      </c>
      <c r="N9" s="37">
        <f t="shared" si="4"/>
        <v>3.2820586919999999E-2</v>
      </c>
      <c r="O9" s="37">
        <f t="shared" si="5"/>
        <v>0.80204956831999996</v>
      </c>
      <c r="P9" s="37">
        <f t="shared" si="6"/>
        <v>4.4151894289066664</v>
      </c>
      <c r="Q9" s="37">
        <f t="shared" si="7"/>
        <v>9.7706906532766631</v>
      </c>
      <c r="R9" s="37">
        <f t="shared" si="8"/>
        <v>10.57308044769621</v>
      </c>
    </row>
    <row r="10" spans="1:18" x14ac:dyDescent="0.25">
      <c r="A10" s="180" t="s">
        <v>1795</v>
      </c>
      <c r="B10" s="181">
        <v>322867.62507999997</v>
      </c>
      <c r="C10" s="181">
        <v>117763.87008571425</v>
      </c>
      <c r="D10" s="181">
        <v>1604.4817250000001</v>
      </c>
      <c r="E10" s="181">
        <v>2687.4144000000001</v>
      </c>
      <c r="F10" s="181">
        <v>772.94860500000004</v>
      </c>
      <c r="G10" s="181">
        <v>810984.37419999996</v>
      </c>
      <c r="H10" s="181">
        <v>124513.86335492064</v>
      </c>
      <c r="I10" s="37">
        <f t="shared" si="0"/>
        <v>11.199695524991744</v>
      </c>
      <c r="J10" s="37">
        <f t="shared" si="1"/>
        <v>3.2286762507999998E-4</v>
      </c>
      <c r="K10" s="37">
        <f t="shared" si="2"/>
        <v>4.9460825435999984</v>
      </c>
      <c r="L10" s="37">
        <f t="shared" si="3"/>
        <v>6.7388232450000002E-2</v>
      </c>
      <c r="M10" s="37">
        <f t="shared" si="4"/>
        <v>0.11287140480000001</v>
      </c>
      <c r="N10" s="37">
        <f t="shared" si="4"/>
        <v>3.2463841409999999E-2</v>
      </c>
      <c r="O10" s="37">
        <f t="shared" si="5"/>
        <v>0.81098437419999991</v>
      </c>
      <c r="P10" s="37">
        <f t="shared" si="6"/>
        <v>5.2295822609066667</v>
      </c>
      <c r="Q10" s="37">
        <f t="shared" si="7"/>
        <v>10.388388283166664</v>
      </c>
      <c r="R10" s="37">
        <f t="shared" si="8"/>
        <v>11.199695524991744</v>
      </c>
    </row>
    <row r="11" spans="1:18" x14ac:dyDescent="0.25">
      <c r="A11" s="180" t="s">
        <v>1796</v>
      </c>
      <c r="B11" s="181">
        <v>275999.74401999998</v>
      </c>
      <c r="C11" s="181">
        <v>131728.08612857139</v>
      </c>
      <c r="D11" s="181">
        <v>1788.5083027777778</v>
      </c>
      <c r="E11" s="181">
        <v>2203.2846</v>
      </c>
      <c r="F11" s="181">
        <v>781.44254571428576</v>
      </c>
      <c r="G11" s="181">
        <v>893535.40275999997</v>
      </c>
      <c r="H11" s="181">
        <v>163024.69623873016</v>
      </c>
      <c r="I11" s="37">
        <f t="shared" si="0"/>
        <v>13.473904150767353</v>
      </c>
      <c r="J11" s="37">
        <f t="shared" si="1"/>
        <v>2.7599974401999999E-4</v>
      </c>
      <c r="K11" s="37">
        <f t="shared" si="2"/>
        <v>5.5325796173999979</v>
      </c>
      <c r="L11" s="37">
        <f t="shared" si="3"/>
        <v>7.5117348716666657E-2</v>
      </c>
      <c r="M11" s="37">
        <f t="shared" si="4"/>
        <v>9.2537953199999995E-2</v>
      </c>
      <c r="N11" s="37">
        <f t="shared" si="4"/>
        <v>3.2820586919999999E-2</v>
      </c>
      <c r="O11" s="37">
        <f t="shared" si="5"/>
        <v>0.89353540275999987</v>
      </c>
      <c r="P11" s="37">
        <f t="shared" si="6"/>
        <v>6.8470372420266665</v>
      </c>
      <c r="Q11" s="37">
        <f t="shared" si="7"/>
        <v>12.580092748263331</v>
      </c>
      <c r="R11" s="37">
        <f t="shared" si="8"/>
        <v>13.47390415076735</v>
      </c>
    </row>
    <row r="12" spans="1:18" x14ac:dyDescent="0.25">
      <c r="A12" s="180" t="s">
        <v>1797</v>
      </c>
      <c r="B12" s="181">
        <v>248226.18487333329</v>
      </c>
      <c r="C12" s="181">
        <v>117682.38669523806</v>
      </c>
      <c r="D12" s="181">
        <v>1569.9767416666668</v>
      </c>
      <c r="E12" s="181">
        <v>1561.0716</v>
      </c>
      <c r="F12" s="181">
        <v>815.41830857142872</v>
      </c>
      <c r="G12" s="181">
        <v>1015224.16996</v>
      </c>
      <c r="H12" s="181">
        <v>178064.82887111112</v>
      </c>
      <c r="I12" s="37">
        <f t="shared" si="0"/>
        <v>13.60260704924154</v>
      </c>
      <c r="J12" s="37">
        <f t="shared" si="1"/>
        <v>2.4822618487333332E-4</v>
      </c>
      <c r="K12" s="37">
        <f t="shared" si="2"/>
        <v>4.9426602411999987</v>
      </c>
      <c r="L12" s="37">
        <f t="shared" si="3"/>
        <v>6.5939023149999998E-2</v>
      </c>
      <c r="M12" s="37">
        <f t="shared" si="4"/>
        <v>6.5565007199999997E-2</v>
      </c>
      <c r="N12" s="37">
        <f t="shared" si="4"/>
        <v>3.4247568960000002E-2</v>
      </c>
      <c r="O12" s="37">
        <f t="shared" si="5"/>
        <v>1.01522416996</v>
      </c>
      <c r="P12" s="37">
        <f t="shared" si="6"/>
        <v>7.4787228125866667</v>
      </c>
      <c r="Q12" s="37">
        <f t="shared" si="7"/>
        <v>12.587134653096665</v>
      </c>
      <c r="R12" s="37">
        <f t="shared" si="8"/>
        <v>13.602607049241538</v>
      </c>
    </row>
    <row r="13" spans="1:18" x14ac:dyDescent="0.25">
      <c r="A13" s="180" t="s">
        <v>1798</v>
      </c>
      <c r="B13" s="181">
        <v>227396.01551333329</v>
      </c>
      <c r="C13" s="181">
        <v>127083.53287142853</v>
      </c>
      <c r="D13" s="181">
        <v>1569.9767416666668</v>
      </c>
      <c r="E13" s="181">
        <v>1343.7072000000001</v>
      </c>
      <c r="F13" s="181">
        <v>815.41830857142872</v>
      </c>
      <c r="G13" s="181">
        <v>1355952.7181200001</v>
      </c>
      <c r="H13" s="181">
        <v>181526.98197333334</v>
      </c>
      <c r="I13" s="37">
        <f t="shared" si="0"/>
        <v>14.474444032125511</v>
      </c>
      <c r="J13" s="37">
        <f t="shared" si="1"/>
        <v>2.2739601551333331E-4</v>
      </c>
      <c r="K13" s="37">
        <f t="shared" si="2"/>
        <v>5.3375083805999974</v>
      </c>
      <c r="L13" s="37">
        <f t="shared" si="3"/>
        <v>6.5939023149999998E-2</v>
      </c>
      <c r="M13" s="37">
        <f t="shared" si="4"/>
        <v>5.6435702400000003E-2</v>
      </c>
      <c r="N13" s="37">
        <f t="shared" si="4"/>
        <v>3.4247568960000002E-2</v>
      </c>
      <c r="O13" s="37">
        <f t="shared" si="5"/>
        <v>1.35595271812</v>
      </c>
      <c r="P13" s="37">
        <f t="shared" si="6"/>
        <v>7.6241332428800002</v>
      </c>
      <c r="Q13" s="37">
        <f t="shared" si="7"/>
        <v>13.118263917989998</v>
      </c>
      <c r="R13" s="37">
        <f t="shared" si="8"/>
        <v>14.474444032125509</v>
      </c>
    </row>
    <row r="14" spans="1:18" x14ac:dyDescent="0.25">
      <c r="A14" s="180" t="s">
        <v>1799</v>
      </c>
      <c r="B14" s="181">
        <v>222188.4731733333</v>
      </c>
      <c r="C14" s="181">
        <v>130801.21256190471</v>
      </c>
      <c r="D14" s="181">
        <v>1690.7441833333335</v>
      </c>
      <c r="E14" s="181">
        <v>1165.8636000000001</v>
      </c>
      <c r="F14" s="181">
        <v>840.90013071428586</v>
      </c>
      <c r="G14" s="181">
        <v>1392075.6449599999</v>
      </c>
      <c r="H14" s="181">
        <v>177615.19859809524</v>
      </c>
      <c r="I14" s="37">
        <f t="shared" si="0"/>
        <v>14.501082434543171</v>
      </c>
      <c r="J14" s="37">
        <f t="shared" si="1"/>
        <v>2.2218847317333331E-4</v>
      </c>
      <c r="K14" s="37">
        <f t="shared" si="2"/>
        <v>5.4936509275999974</v>
      </c>
      <c r="L14" s="37">
        <f t="shared" si="3"/>
        <v>7.1011255699999998E-2</v>
      </c>
      <c r="M14" s="37">
        <f t="shared" si="4"/>
        <v>4.8966271200000001E-2</v>
      </c>
      <c r="N14" s="37">
        <f t="shared" si="4"/>
        <v>3.5317805490000007E-2</v>
      </c>
      <c r="O14" s="37">
        <f t="shared" si="5"/>
        <v>1.3920756449599998</v>
      </c>
      <c r="P14" s="37">
        <f t="shared" si="6"/>
        <v>7.4598383411200002</v>
      </c>
      <c r="Q14" s="37">
        <f t="shared" si="7"/>
        <v>13.108784601109997</v>
      </c>
      <c r="R14" s="37">
        <f t="shared" si="8"/>
        <v>14.501082434543171</v>
      </c>
    </row>
    <row r="15" spans="1:18" x14ac:dyDescent="0.25">
      <c r="A15" s="180" t="s">
        <v>1800</v>
      </c>
      <c r="B15" s="181">
        <v>171848.89721999998</v>
      </c>
      <c r="C15" s="181">
        <v>134753.15699999995</v>
      </c>
      <c r="D15" s="181">
        <v>1892.023252777778</v>
      </c>
      <c r="E15" s="181">
        <v>1165.8636000000001</v>
      </c>
      <c r="F15" s="181">
        <v>849.39407142857158</v>
      </c>
      <c r="G15" s="181">
        <v>1634630.95796</v>
      </c>
      <c r="H15" s="181">
        <v>164890.66187174604</v>
      </c>
      <c r="I15" s="37">
        <f t="shared" si="0"/>
        <v>14.383948998287218</v>
      </c>
      <c r="J15" s="37">
        <f t="shared" si="1"/>
        <v>1.7184889721999998E-4</v>
      </c>
      <c r="K15" s="37">
        <f t="shared" si="2"/>
        <v>5.6596325939999979</v>
      </c>
      <c r="L15" s="37">
        <f t="shared" si="3"/>
        <v>7.9464976616666669E-2</v>
      </c>
      <c r="M15" s="37">
        <f t="shared" si="4"/>
        <v>4.8966271200000001E-2</v>
      </c>
      <c r="N15" s="37">
        <f t="shared" si="4"/>
        <v>3.5674551000000006E-2</v>
      </c>
      <c r="O15" s="37">
        <f t="shared" si="5"/>
        <v>1.63463095796</v>
      </c>
      <c r="P15" s="37">
        <f t="shared" si="6"/>
        <v>6.9254077986133336</v>
      </c>
      <c r="Q15" s="37">
        <f t="shared" si="7"/>
        <v>12.749146191429997</v>
      </c>
      <c r="R15" s="37">
        <f t="shared" si="8"/>
        <v>14.383948998287218</v>
      </c>
    </row>
    <row r="16" spans="1:18" x14ac:dyDescent="0.25">
      <c r="A16" s="180" t="s">
        <v>1801</v>
      </c>
      <c r="B16" s="181">
        <v>142339.49062666664</v>
      </c>
      <c r="C16" s="181">
        <v>136871.72515238091</v>
      </c>
      <c r="D16" s="181">
        <v>1805.7607944444446</v>
      </c>
      <c r="E16" s="181">
        <v>1175.7438</v>
      </c>
      <c r="F16" s="181">
        <v>866.38195285714301</v>
      </c>
      <c r="G16" s="181">
        <v>1938030.6545599999</v>
      </c>
      <c r="H16" s="181">
        <v>167172.5355073016</v>
      </c>
      <c r="I16" s="37">
        <f t="shared" si="0"/>
        <v>14.86964317674396</v>
      </c>
      <c r="J16" s="37">
        <f t="shared" si="1"/>
        <v>1.4233949062666663E-4</v>
      </c>
      <c r="K16" s="37">
        <f t="shared" si="2"/>
        <v>5.7486124563999983</v>
      </c>
      <c r="L16" s="37">
        <f t="shared" si="3"/>
        <v>7.5841953366666673E-2</v>
      </c>
      <c r="M16" s="37">
        <f t="shared" si="4"/>
        <v>4.9381239599999995E-2</v>
      </c>
      <c r="N16" s="37">
        <f t="shared" si="4"/>
        <v>3.6388042020000004E-2</v>
      </c>
      <c r="O16" s="37">
        <f t="shared" si="5"/>
        <v>1.9380306545599999</v>
      </c>
      <c r="P16" s="37">
        <f t="shared" si="6"/>
        <v>7.021246491306667</v>
      </c>
      <c r="Q16" s="37">
        <f t="shared" si="7"/>
        <v>12.931470182693332</v>
      </c>
      <c r="R16" s="37">
        <f t="shared" si="8"/>
        <v>14.869643176743958</v>
      </c>
    </row>
    <row r="17" spans="1:18" x14ac:dyDescent="0.25">
      <c r="A17" s="180" t="s">
        <v>1802</v>
      </c>
      <c r="B17" s="181">
        <v>149282.8804133333</v>
      </c>
      <c r="C17" s="181">
        <v>142494.07909523806</v>
      </c>
      <c r="D17" s="181">
        <v>1823.0132861111113</v>
      </c>
      <c r="E17" s="181">
        <v>1175.7438</v>
      </c>
      <c r="F17" s="181">
        <v>874.87589357142872</v>
      </c>
      <c r="G17" s="181">
        <v>2027817.23144</v>
      </c>
      <c r="H17" s="181">
        <v>156100.39003428572</v>
      </c>
      <c r="I17" s="37">
        <f t="shared" si="0"/>
        <v>14.73162680290708</v>
      </c>
      <c r="J17" s="37">
        <f t="shared" si="1"/>
        <v>1.4928288041333331E-4</v>
      </c>
      <c r="K17" s="37">
        <f t="shared" si="2"/>
        <v>5.9847513219999984</v>
      </c>
      <c r="L17" s="37">
        <f t="shared" si="3"/>
        <v>7.6566558016666675E-2</v>
      </c>
      <c r="M17" s="37">
        <f t="shared" si="4"/>
        <v>4.9381239599999995E-2</v>
      </c>
      <c r="N17" s="37">
        <f t="shared" si="4"/>
        <v>3.6744787530000003E-2</v>
      </c>
      <c r="O17" s="37">
        <f t="shared" si="5"/>
        <v>2.0278172314399998</v>
      </c>
      <c r="P17" s="37">
        <f t="shared" si="6"/>
        <v>6.5562163814399996</v>
      </c>
      <c r="Q17" s="37">
        <f t="shared" si="7"/>
        <v>12.703660288586665</v>
      </c>
      <c r="R17" s="37">
        <f t="shared" si="8"/>
        <v>14.731626802907078</v>
      </c>
    </row>
    <row r="18" spans="1:18" x14ac:dyDescent="0.25">
      <c r="A18" s="180" t="s">
        <v>1803</v>
      </c>
      <c r="B18" s="181">
        <v>128452.71105333332</v>
      </c>
      <c r="C18" s="181">
        <v>147087.70523333328</v>
      </c>
      <c r="D18" s="181">
        <v>2030.0431861111113</v>
      </c>
      <c r="E18" s="181">
        <v>1244.9052000000001</v>
      </c>
      <c r="F18" s="181">
        <v>883.36983428571443</v>
      </c>
      <c r="G18" s="181">
        <v>2015977.2432800001</v>
      </c>
      <c r="H18" s="181">
        <v>155617.03749079365</v>
      </c>
      <c r="I18" s="37">
        <f t="shared" si="0"/>
        <v>14.904354255661051</v>
      </c>
      <c r="J18" s="37">
        <f t="shared" si="1"/>
        <v>1.2845271105333333E-4</v>
      </c>
      <c r="K18" s="37">
        <f t="shared" si="2"/>
        <v>6.1776836197999971</v>
      </c>
      <c r="L18" s="37">
        <f t="shared" si="3"/>
        <v>8.5261813816666671E-2</v>
      </c>
      <c r="M18" s="37">
        <f t="shared" si="4"/>
        <v>5.2286018400000002E-2</v>
      </c>
      <c r="N18" s="37">
        <f t="shared" si="4"/>
        <v>3.7101533040000002E-2</v>
      </c>
      <c r="O18" s="37">
        <f t="shared" si="5"/>
        <v>2.0159772432800001</v>
      </c>
      <c r="P18" s="37">
        <f t="shared" si="6"/>
        <v>6.5359155746133331</v>
      </c>
      <c r="Q18" s="37">
        <f t="shared" si="7"/>
        <v>12.888248559669996</v>
      </c>
      <c r="R18" s="37">
        <f t="shared" si="8"/>
        <v>14.904354255661049</v>
      </c>
    </row>
    <row r="19" spans="1:18" x14ac:dyDescent="0.25">
      <c r="A19" s="180" t="s">
        <v>1804</v>
      </c>
      <c r="B19" s="181">
        <v>154490.42275333332</v>
      </c>
      <c r="C19" s="181">
        <v>147882.16829047614</v>
      </c>
      <c r="D19" s="181">
        <v>1863.2691000000002</v>
      </c>
      <c r="E19" s="181">
        <v>859.57740000000001</v>
      </c>
      <c r="F19" s="181">
        <v>891.86377500000015</v>
      </c>
      <c r="G19" s="181">
        <v>2153562.2908800002</v>
      </c>
      <c r="H19" s="181">
        <v>157235.70647365079</v>
      </c>
      <c r="I19" s="37">
        <f t="shared" si="0"/>
        <v>15.120485352946085</v>
      </c>
      <c r="J19" s="37">
        <f t="shared" si="1"/>
        <v>1.5449042275333334E-4</v>
      </c>
      <c r="K19" s="37">
        <f t="shared" si="2"/>
        <v>6.211051068199998</v>
      </c>
      <c r="L19" s="37">
        <f t="shared" si="3"/>
        <v>7.8257302200000003E-2</v>
      </c>
      <c r="M19" s="37">
        <f t="shared" si="4"/>
        <v>3.6102250799999999E-2</v>
      </c>
      <c r="N19" s="37">
        <f t="shared" si="4"/>
        <v>3.7458278550000002E-2</v>
      </c>
      <c r="O19" s="37">
        <f t="shared" si="5"/>
        <v>2.1535622908800001</v>
      </c>
      <c r="P19" s="37">
        <f t="shared" si="6"/>
        <v>6.6038996718933332</v>
      </c>
      <c r="Q19" s="37">
        <f t="shared" si="7"/>
        <v>12.96676857164333</v>
      </c>
      <c r="R19" s="37">
        <f t="shared" si="8"/>
        <v>15.120485352946083</v>
      </c>
    </row>
    <row r="20" spans="1:18" x14ac:dyDescent="0.25">
      <c r="A20" s="180" t="s">
        <v>1805</v>
      </c>
      <c r="B20" s="181">
        <v>156226.27019999997</v>
      </c>
      <c r="C20" s="181">
        <v>138847.69737142854</v>
      </c>
      <c r="D20" s="181">
        <v>1834.5149472222224</v>
      </c>
      <c r="E20" s="181">
        <v>523.65060000000005</v>
      </c>
      <c r="F20" s="181">
        <v>900.35771571428586</v>
      </c>
      <c r="G20" s="181">
        <v>2049194.9878400001</v>
      </c>
      <c r="H20" s="181">
        <v>125075.90119619048</v>
      </c>
      <c r="I20" s="37">
        <f t="shared" si="0"/>
        <v>13.271000330993532</v>
      </c>
      <c r="J20" s="37">
        <f t="shared" si="1"/>
        <v>1.5622627019999999E-4</v>
      </c>
      <c r="K20" s="37">
        <f t="shared" si="2"/>
        <v>5.8316032895999985</v>
      </c>
      <c r="L20" s="37">
        <f t="shared" si="3"/>
        <v>7.7049627783333338E-2</v>
      </c>
      <c r="M20" s="37">
        <f t="shared" si="4"/>
        <v>2.19933252E-2</v>
      </c>
      <c r="N20" s="37">
        <f t="shared" si="4"/>
        <v>3.7815024060000001E-2</v>
      </c>
      <c r="O20" s="37">
        <f t="shared" si="5"/>
        <v>2.04919498784</v>
      </c>
      <c r="P20" s="37">
        <f t="shared" si="6"/>
        <v>5.2531878502399998</v>
      </c>
      <c r="Q20" s="37">
        <f t="shared" si="7"/>
        <v>11.221649116883333</v>
      </c>
      <c r="R20" s="37">
        <f t="shared" si="8"/>
        <v>13.271000330993532</v>
      </c>
    </row>
    <row r="21" spans="1:18" x14ac:dyDescent="0.25">
      <c r="A21" s="180" t="s">
        <v>1806</v>
      </c>
      <c r="B21" s="181">
        <v>123245.16871333332</v>
      </c>
      <c r="C21" s="181">
        <v>134488.33598095234</v>
      </c>
      <c r="D21" s="181">
        <v>1943.7807277777779</v>
      </c>
      <c r="E21" s="181">
        <v>484.12979999999999</v>
      </c>
      <c r="F21" s="181">
        <v>925.839537857143</v>
      </c>
      <c r="G21" s="181">
        <v>2072655.7051200001</v>
      </c>
      <c r="H21" s="181">
        <v>102538.18376126984</v>
      </c>
      <c r="I21" s="37">
        <f t="shared" si="0"/>
        <v>12.168750282218712</v>
      </c>
      <c r="J21" s="37">
        <f t="shared" si="1"/>
        <v>1.2324516871333333E-4</v>
      </c>
      <c r="K21" s="37">
        <f t="shared" si="2"/>
        <v>5.6485101111999976</v>
      </c>
      <c r="L21" s="37">
        <f t="shared" si="3"/>
        <v>8.1638790566666661E-2</v>
      </c>
      <c r="M21" s="37">
        <f t="shared" si="4"/>
        <v>2.03334516E-2</v>
      </c>
      <c r="N21" s="37">
        <f t="shared" si="4"/>
        <v>3.8885260590000005E-2</v>
      </c>
      <c r="O21" s="37">
        <f t="shared" si="5"/>
        <v>2.0726557051199999</v>
      </c>
      <c r="P21" s="37">
        <f t="shared" si="6"/>
        <v>4.3066037179733332</v>
      </c>
      <c r="Q21" s="37">
        <f t="shared" si="7"/>
        <v>10.095971331929997</v>
      </c>
      <c r="R21" s="37">
        <f t="shared" si="8"/>
        <v>12.168750282218712</v>
      </c>
    </row>
    <row r="22" spans="1:18" x14ac:dyDescent="0.25">
      <c r="A22" s="180" t="s">
        <v>1807</v>
      </c>
      <c r="B22" s="181">
        <v>118037.62637333332</v>
      </c>
      <c r="C22" s="181">
        <v>145651.56047619044</v>
      </c>
      <c r="D22" s="181">
        <v>2058.797338888889</v>
      </c>
      <c r="E22" s="181">
        <v>533.5308</v>
      </c>
      <c r="F22" s="181">
        <v>951.32136000000014</v>
      </c>
      <c r="G22" s="181">
        <v>2069969.7818799999</v>
      </c>
      <c r="H22" s="181">
        <v>109867.15721142858</v>
      </c>
      <c r="I22" s="37">
        <f t="shared" si="0"/>
        <v>12.950707241339707</v>
      </c>
      <c r="J22" s="37">
        <f t="shared" si="1"/>
        <v>1.1803762637333332E-4</v>
      </c>
      <c r="K22" s="37">
        <f t="shared" si="2"/>
        <v>6.117365539999998</v>
      </c>
      <c r="L22" s="37">
        <f t="shared" si="3"/>
        <v>8.6469488233333336E-2</v>
      </c>
      <c r="M22" s="37">
        <f t="shared" si="4"/>
        <v>2.24082936E-2</v>
      </c>
      <c r="N22" s="37">
        <f t="shared" si="4"/>
        <v>3.9955497120000003E-2</v>
      </c>
      <c r="O22" s="37">
        <f t="shared" si="5"/>
        <v>2.0699697818799998</v>
      </c>
      <c r="P22" s="37">
        <f t="shared" si="6"/>
        <v>4.6144206028800001</v>
      </c>
      <c r="Q22" s="37">
        <f t="shared" si="7"/>
        <v>10.88061942183333</v>
      </c>
      <c r="R22" s="37">
        <f t="shared" si="8"/>
        <v>12.950707241339703</v>
      </c>
    </row>
    <row r="23" spans="1:18" x14ac:dyDescent="0.25">
      <c r="A23" s="180" t="s">
        <v>1808</v>
      </c>
      <c r="B23" s="181">
        <v>114565.93147999998</v>
      </c>
      <c r="C23" s="181">
        <v>141699.61603809521</v>
      </c>
      <c r="D23" s="181">
        <v>2277.3289</v>
      </c>
      <c r="E23" s="181">
        <v>553.2912</v>
      </c>
      <c r="F23" s="181">
        <v>951.32136000000014</v>
      </c>
      <c r="G23" s="181">
        <v>2225369.6264800001</v>
      </c>
      <c r="H23" s="181">
        <v>97041.453673650802</v>
      </c>
      <c r="I23" s="37">
        <f t="shared" si="0"/>
        <v>12.41145066162481</v>
      </c>
      <c r="J23" s="37">
        <f t="shared" si="1"/>
        <v>1.1456593148E-4</v>
      </c>
      <c r="K23" s="37">
        <f t="shared" si="2"/>
        <v>5.9513838735999984</v>
      </c>
      <c r="L23" s="37">
        <f t="shared" si="3"/>
        <v>9.5647813799999995E-2</v>
      </c>
      <c r="M23" s="37">
        <f t="shared" si="4"/>
        <v>2.32382304E-2</v>
      </c>
      <c r="N23" s="37">
        <f t="shared" si="4"/>
        <v>3.9955497120000003E-2</v>
      </c>
      <c r="O23" s="37">
        <f t="shared" si="5"/>
        <v>2.22536962648</v>
      </c>
      <c r="P23" s="37">
        <f t="shared" si="6"/>
        <v>4.0757410542933332</v>
      </c>
      <c r="Q23" s="37">
        <f t="shared" si="7"/>
        <v>10.185966469213332</v>
      </c>
      <c r="R23" s="37">
        <f t="shared" si="8"/>
        <v>12.411450661624812</v>
      </c>
    </row>
    <row r="24" spans="1:18" x14ac:dyDescent="0.25">
      <c r="A24" s="180" t="s">
        <v>1809</v>
      </c>
      <c r="B24" s="181">
        <v>85056.524886666652</v>
      </c>
      <c r="C24" s="181">
        <v>135384.65327619042</v>
      </c>
      <c r="D24" s="181">
        <v>2185.3156111111111</v>
      </c>
      <c r="E24" s="181">
        <v>375.44760000000002</v>
      </c>
      <c r="F24" s="181">
        <v>1605.3547950000002</v>
      </c>
      <c r="G24" s="181">
        <v>2502677.4973200001</v>
      </c>
      <c r="H24" s="181">
        <v>84575.454354285714</v>
      </c>
      <c r="I24" s="37">
        <f t="shared" si="0"/>
        <v>11.91606403058155</v>
      </c>
      <c r="J24" s="37">
        <f t="shared" si="1"/>
        <v>8.5056524886666663E-5</v>
      </c>
      <c r="K24" s="37">
        <f t="shared" si="2"/>
        <v>5.6861554375999974</v>
      </c>
      <c r="L24" s="37">
        <f t="shared" si="3"/>
        <v>9.178325566666666E-2</v>
      </c>
      <c r="M24" s="37">
        <f t="shared" si="4"/>
        <v>1.5768799199999999E-2</v>
      </c>
      <c r="N24" s="37">
        <f t="shared" si="4"/>
        <v>6.742490139E-2</v>
      </c>
      <c r="O24" s="37">
        <f t="shared" si="5"/>
        <v>2.5026774973200001</v>
      </c>
      <c r="P24" s="37">
        <f t="shared" si="6"/>
        <v>3.5521690828799999</v>
      </c>
      <c r="Q24" s="37">
        <f t="shared" si="7"/>
        <v>9.4133014767366632</v>
      </c>
      <c r="R24" s="37">
        <f t="shared" si="8"/>
        <v>11.91606403058155</v>
      </c>
    </row>
    <row r="25" spans="1:18" x14ac:dyDescent="0.25">
      <c r="A25" s="180" t="s">
        <v>1810</v>
      </c>
      <c r="B25" s="181">
        <v>74641.440206666652</v>
      </c>
      <c r="C25" s="181">
        <v>93329.038366666631</v>
      </c>
      <c r="D25" s="181">
        <v>1247.9302305555557</v>
      </c>
      <c r="E25" s="181">
        <v>355.68720000000002</v>
      </c>
      <c r="F25" s="181">
        <v>1613.8487357142858</v>
      </c>
      <c r="G25" s="181">
        <v>2559904.1067599999</v>
      </c>
      <c r="H25" s="181">
        <v>42456.338529523811</v>
      </c>
      <c r="I25" s="37">
        <f t="shared" si="0"/>
        <v>8.3980981568235382</v>
      </c>
      <c r="J25" s="37">
        <f t="shared" si="1"/>
        <v>7.4641440206666657E-5</v>
      </c>
      <c r="K25" s="37">
        <f t="shared" si="2"/>
        <v>3.9198196113999981</v>
      </c>
      <c r="L25" s="37">
        <f t="shared" si="3"/>
        <v>5.2413069683333334E-2</v>
      </c>
      <c r="M25" s="37">
        <f t="shared" si="4"/>
        <v>1.4938862400000001E-2</v>
      </c>
      <c r="N25" s="37">
        <f t="shared" si="4"/>
        <v>6.7781646900000006E-2</v>
      </c>
      <c r="O25" s="37">
        <f t="shared" si="5"/>
        <v>2.5599041067599999</v>
      </c>
      <c r="P25" s="37">
        <f t="shared" si="6"/>
        <v>1.7831662182399999</v>
      </c>
      <c r="Q25" s="37">
        <f t="shared" si="7"/>
        <v>5.8381194086233315</v>
      </c>
      <c r="R25" s="37">
        <f t="shared" si="8"/>
        <v>8.3980981568235382</v>
      </c>
    </row>
    <row r="26" spans="1:18" x14ac:dyDescent="0.25">
      <c r="A26" s="180" t="s">
        <v>1811</v>
      </c>
      <c r="B26" s="181">
        <v>137131.94828666665</v>
      </c>
      <c r="C26" s="181">
        <v>76492.532809523778</v>
      </c>
      <c r="D26" s="181">
        <v>1305.4385361111113</v>
      </c>
      <c r="E26" s="181">
        <v>296.40600000000001</v>
      </c>
      <c r="F26" s="181">
        <v>1622.3426764285716</v>
      </c>
      <c r="G26" s="181">
        <v>2930506.69912</v>
      </c>
      <c r="H26" s="181">
        <v>54562.633630476194</v>
      </c>
      <c r="I26" s="37">
        <f t="shared" si="0"/>
        <v>8.5703766844749509</v>
      </c>
      <c r="J26" s="37">
        <f t="shared" si="1"/>
        <v>1.3713194828666666E-4</v>
      </c>
      <c r="K26" s="37">
        <f t="shared" si="2"/>
        <v>3.2126863779999986</v>
      </c>
      <c r="L26" s="37">
        <f t="shared" si="3"/>
        <v>5.4828418516666672E-2</v>
      </c>
      <c r="M26" s="37">
        <f t="shared" si="4"/>
        <v>1.2449052E-2</v>
      </c>
      <c r="N26" s="37">
        <f t="shared" si="4"/>
        <v>6.8138392409999998E-2</v>
      </c>
      <c r="O26" s="37">
        <f t="shared" si="5"/>
        <v>2.9305066991199999</v>
      </c>
      <c r="P26" s="37">
        <f t="shared" si="6"/>
        <v>2.2916306124800001</v>
      </c>
      <c r="Q26" s="37">
        <f t="shared" si="7"/>
        <v>5.6397328534066657</v>
      </c>
      <c r="R26" s="37">
        <f t="shared" si="8"/>
        <v>8.5703766844749527</v>
      </c>
    </row>
    <row r="27" spans="1:18" x14ac:dyDescent="0.25">
      <c r="A27" s="180" t="s">
        <v>1812</v>
      </c>
      <c r="B27" s="181">
        <v>185735.67679333332</v>
      </c>
      <c r="C27" s="181">
        <v>58657.855719047599</v>
      </c>
      <c r="D27" s="181">
        <v>1380.1993333333335</v>
      </c>
      <c r="E27" s="181">
        <v>88.921800000000005</v>
      </c>
      <c r="F27" s="181">
        <v>1749.7517871428574</v>
      </c>
      <c r="G27" s="181">
        <v>2747918.7335600001</v>
      </c>
      <c r="H27" s="181">
        <v>35397.143243174607</v>
      </c>
      <c r="I27" s="37">
        <f t="shared" si="0"/>
        <v>6.8336070883101252</v>
      </c>
      <c r="J27" s="37">
        <f t="shared" si="1"/>
        <v>1.8573567679333334E-4</v>
      </c>
      <c r="K27" s="37">
        <f t="shared" si="2"/>
        <v>2.4636299401999988</v>
      </c>
      <c r="L27" s="37">
        <f t="shared" si="3"/>
        <v>5.7968372000000004E-2</v>
      </c>
      <c r="M27" s="37">
        <f t="shared" si="4"/>
        <v>3.7347156000000002E-3</v>
      </c>
      <c r="N27" s="37">
        <f t="shared" si="4"/>
        <v>7.3489575060000006E-2</v>
      </c>
      <c r="O27" s="37">
        <f t="shared" si="5"/>
        <v>2.7479187335600002</v>
      </c>
      <c r="P27" s="37">
        <f t="shared" si="6"/>
        <v>1.4866800162133333</v>
      </c>
      <c r="Q27" s="37">
        <f t="shared" si="7"/>
        <v>4.0855026190733321</v>
      </c>
      <c r="R27" s="37">
        <f t="shared" si="8"/>
        <v>6.8336070883101252</v>
      </c>
    </row>
    <row r="28" spans="1:18" x14ac:dyDescent="0.25">
      <c r="A28" s="180" t="s">
        <v>1813</v>
      </c>
      <c r="B28" s="181">
        <v>218716.77827999997</v>
      </c>
      <c r="C28" s="181">
        <v>56111.499766666646</v>
      </c>
      <c r="D28" s="181">
        <v>1380.1993333333335</v>
      </c>
      <c r="E28" s="181">
        <v>276.6456</v>
      </c>
      <c r="F28" s="181">
        <v>1809.2093721428573</v>
      </c>
      <c r="G28" s="181">
        <v>3359377.38136</v>
      </c>
      <c r="H28" s="181">
        <v>47514.67910095238</v>
      </c>
      <c r="I28" s="37">
        <f t="shared" si="0"/>
        <v>7.8574698914082797</v>
      </c>
      <c r="J28" s="37">
        <f t="shared" si="1"/>
        <v>2.1871677827999997E-4</v>
      </c>
      <c r="K28" s="37">
        <f t="shared" si="2"/>
        <v>2.3566829901999991</v>
      </c>
      <c r="L28" s="37">
        <f t="shared" si="3"/>
        <v>5.7968372000000004E-2</v>
      </c>
      <c r="M28" s="37">
        <f t="shared" si="4"/>
        <v>1.16191152E-2</v>
      </c>
      <c r="N28" s="37">
        <f t="shared" si="4"/>
        <v>7.5986793630000007E-2</v>
      </c>
      <c r="O28" s="37">
        <f t="shared" si="5"/>
        <v>3.3593773813599999</v>
      </c>
      <c r="P28" s="37">
        <f t="shared" si="6"/>
        <v>1.99561652224</v>
      </c>
      <c r="Q28" s="37">
        <f t="shared" si="7"/>
        <v>4.4978737932699993</v>
      </c>
      <c r="R28" s="37">
        <f t="shared" si="8"/>
        <v>7.8574698914082788</v>
      </c>
    </row>
    <row r="29" spans="1:18" x14ac:dyDescent="0.25">
      <c r="A29" s="180" t="s">
        <v>1814</v>
      </c>
      <c r="B29" s="181">
        <v>196150.76147333332</v>
      </c>
      <c r="C29" s="181">
        <v>55449.447219047601</v>
      </c>
      <c r="D29" s="181">
        <v>1638.9867083333334</v>
      </c>
      <c r="E29" s="181">
        <v>355.68720000000002</v>
      </c>
      <c r="F29" s="181">
        <v>1639.330557857143</v>
      </c>
      <c r="G29" s="181">
        <v>2172857.0863999999</v>
      </c>
      <c r="H29" s="181">
        <v>27427.446653968254</v>
      </c>
      <c r="I29" s="37">
        <f t="shared" si="0"/>
        <v>5.8065109674081405</v>
      </c>
      <c r="J29" s="37">
        <f t="shared" si="1"/>
        <v>1.9615076147333333E-4</v>
      </c>
      <c r="K29" s="37">
        <f t="shared" si="2"/>
        <v>2.3288767831999992</v>
      </c>
      <c r="L29" s="37">
        <f t="shared" si="3"/>
        <v>6.8837441749999992E-2</v>
      </c>
      <c r="M29" s="37">
        <f t="shared" si="4"/>
        <v>1.4938862400000001E-2</v>
      </c>
      <c r="N29" s="37">
        <f t="shared" si="4"/>
        <v>6.885188343000001E-2</v>
      </c>
      <c r="O29" s="37">
        <f t="shared" si="5"/>
        <v>2.1728570863999996</v>
      </c>
      <c r="P29" s="37">
        <f t="shared" si="6"/>
        <v>1.1519527594666665</v>
      </c>
      <c r="Q29" s="37">
        <f t="shared" si="7"/>
        <v>3.6334577302466657</v>
      </c>
      <c r="R29" s="37">
        <f t="shared" si="8"/>
        <v>5.8065109674081388</v>
      </c>
    </row>
    <row r="30" spans="1:18" x14ac:dyDescent="0.25">
      <c r="A30" s="180" t="s">
        <v>1815</v>
      </c>
      <c r="B30" s="181">
        <v>305509.15061333327</v>
      </c>
      <c r="C30" s="181">
        <v>65217.268652380932</v>
      </c>
      <c r="D30" s="181">
        <v>1661.9900305555557</v>
      </c>
      <c r="E30" s="181">
        <v>573.05160000000001</v>
      </c>
      <c r="F30" s="181">
        <v>1426.9820400000001</v>
      </c>
      <c r="G30" s="181">
        <v>2262259.9599600001</v>
      </c>
      <c r="H30" s="181">
        <v>37442.960985396829</v>
      </c>
      <c r="I30" s="37">
        <f t="shared" si="0"/>
        <v>6.7281001080606115</v>
      </c>
      <c r="J30" s="37">
        <f t="shared" si="1"/>
        <v>3.0550915061333331E-4</v>
      </c>
      <c r="K30" s="37">
        <f t="shared" si="2"/>
        <v>2.7391252833999991</v>
      </c>
      <c r="L30" s="37">
        <f t="shared" si="3"/>
        <v>6.9803581283333332E-2</v>
      </c>
      <c r="M30" s="37">
        <f t="shared" si="4"/>
        <v>2.4068167200000001E-2</v>
      </c>
      <c r="N30" s="37">
        <f t="shared" si="4"/>
        <v>5.9933245680000004E-2</v>
      </c>
      <c r="O30" s="37">
        <f t="shared" si="5"/>
        <v>2.2622599599600002</v>
      </c>
      <c r="P30" s="37">
        <f t="shared" si="6"/>
        <v>1.5726043613866667</v>
      </c>
      <c r="Q30" s="37">
        <f t="shared" si="7"/>
        <v>4.4655346389499986</v>
      </c>
      <c r="R30" s="37">
        <f t="shared" si="8"/>
        <v>6.7281001080606115</v>
      </c>
    </row>
    <row r="31" spans="1:18" x14ac:dyDescent="0.25">
      <c r="A31" s="180" t="s">
        <v>1816</v>
      </c>
      <c r="B31" s="181">
        <v>185735.67679333332</v>
      </c>
      <c r="C31" s="181">
        <v>64870.964242857124</v>
      </c>
      <c r="D31" s="181">
        <v>1978.2857111111111</v>
      </c>
      <c r="E31" s="181">
        <v>1067.0616</v>
      </c>
      <c r="F31" s="181">
        <v>1596.8608542857144</v>
      </c>
      <c r="G31" s="181">
        <v>2268344.3983200002</v>
      </c>
      <c r="H31" s="181">
        <v>35487.06929777778</v>
      </c>
      <c r="I31" s="37">
        <f t="shared" si="0"/>
        <v>6.6785402856501257</v>
      </c>
      <c r="J31" s="37">
        <f t="shared" si="1"/>
        <v>1.8573567679333334E-4</v>
      </c>
      <c r="K31" s="37">
        <f t="shared" si="2"/>
        <v>2.724580498199999</v>
      </c>
      <c r="L31" s="37">
        <f t="shared" si="3"/>
        <v>8.3087999866666665E-2</v>
      </c>
      <c r="M31" s="37">
        <f t="shared" si="4"/>
        <v>4.4816587200000001E-2</v>
      </c>
      <c r="N31" s="37">
        <f t="shared" si="4"/>
        <v>6.7068155879999994E-2</v>
      </c>
      <c r="O31" s="37">
        <f t="shared" si="5"/>
        <v>2.26834439832</v>
      </c>
      <c r="P31" s="37">
        <f t="shared" si="6"/>
        <v>1.4904569105066667</v>
      </c>
      <c r="Q31" s="37">
        <f t="shared" si="7"/>
        <v>4.4100101516533323</v>
      </c>
      <c r="R31" s="37">
        <f t="shared" si="8"/>
        <v>6.6785402856501257</v>
      </c>
    </row>
    <row r="32" spans="1:18" x14ac:dyDescent="0.25">
      <c r="A32" s="180" t="s">
        <v>1817</v>
      </c>
      <c r="B32" s="181">
        <v>102414.99935333332</v>
      </c>
      <c r="C32" s="181">
        <v>75810.109414285689</v>
      </c>
      <c r="D32" s="181">
        <v>2202.5681027777778</v>
      </c>
      <c r="E32" s="181">
        <v>2865.2580000000003</v>
      </c>
      <c r="F32" s="181">
        <v>1605.3547950000002</v>
      </c>
      <c r="G32" s="181">
        <v>2393267.23636</v>
      </c>
      <c r="H32" s="181">
        <v>38510.832883809526</v>
      </c>
      <c r="I32" s="37">
        <f t="shared" si="0"/>
        <v>7.4751228255860189</v>
      </c>
      <c r="J32" s="37">
        <f t="shared" si="1"/>
        <v>1.0241499935333332E-4</v>
      </c>
      <c r="K32" s="37">
        <f t="shared" si="2"/>
        <v>3.1840245953999986</v>
      </c>
      <c r="L32" s="37">
        <f t="shared" si="3"/>
        <v>9.2507860316666662E-2</v>
      </c>
      <c r="M32" s="37">
        <f t="shared" si="4"/>
        <v>0.12034083600000001</v>
      </c>
      <c r="N32" s="37">
        <f t="shared" si="4"/>
        <v>6.742490139E-2</v>
      </c>
      <c r="O32" s="37">
        <f t="shared" si="5"/>
        <v>2.3932672363599998</v>
      </c>
      <c r="P32" s="37">
        <f t="shared" si="6"/>
        <v>1.6174549811200001</v>
      </c>
      <c r="Q32" s="37">
        <f t="shared" si="7"/>
        <v>5.0817531742266651</v>
      </c>
      <c r="R32" s="37">
        <f t="shared" si="8"/>
        <v>7.475122825586018</v>
      </c>
    </row>
    <row r="33" spans="1:29" x14ac:dyDescent="0.25">
      <c r="A33" s="180" t="s">
        <v>1818</v>
      </c>
      <c r="B33" s="181">
        <v>72905.592759999985</v>
      </c>
      <c r="C33" s="181">
        <v>70635.914119047593</v>
      </c>
      <c r="D33" s="181">
        <v>2628.1295638888892</v>
      </c>
      <c r="E33" s="181">
        <v>494.01</v>
      </c>
      <c r="F33" s="181">
        <v>1647.8244985714289</v>
      </c>
      <c r="G33" s="181">
        <v>2550092.2647199999</v>
      </c>
      <c r="H33" s="181">
        <v>32047.397709206351</v>
      </c>
      <c r="I33" s="37">
        <f t="shared" si="0"/>
        <v>7.0632027577227596</v>
      </c>
      <c r="J33" s="37">
        <f t="shared" si="1"/>
        <v>7.2905592759999987E-5</v>
      </c>
      <c r="K33" s="37">
        <f t="shared" si="2"/>
        <v>2.9667083929999989</v>
      </c>
      <c r="L33" s="37">
        <f t="shared" si="3"/>
        <v>0.11038144168333335</v>
      </c>
      <c r="M33" s="37">
        <f t="shared" si="4"/>
        <v>2.074842E-2</v>
      </c>
      <c r="N33" s="37">
        <f t="shared" si="4"/>
        <v>6.9208628940000003E-2</v>
      </c>
      <c r="O33" s="37">
        <f t="shared" si="5"/>
        <v>2.5500922647199999</v>
      </c>
      <c r="P33" s="37">
        <f t="shared" si="6"/>
        <v>1.3459907037866667</v>
      </c>
      <c r="Q33" s="37">
        <f t="shared" si="7"/>
        <v>4.5130375874099995</v>
      </c>
      <c r="R33" s="37">
        <f t="shared" si="8"/>
        <v>7.0632027577227596</v>
      </c>
    </row>
    <row r="34" spans="1:29" x14ac:dyDescent="0.25">
      <c r="A34" s="180" t="s">
        <v>1819</v>
      </c>
      <c r="B34" s="181">
        <v>85056.524886666652</v>
      </c>
      <c r="C34" s="181">
        <v>74190.627028571398</v>
      </c>
      <c r="D34" s="181">
        <v>2582.1229194444445</v>
      </c>
      <c r="E34" s="181">
        <v>701.49419999999998</v>
      </c>
      <c r="F34" s="181">
        <v>1554.3911507142859</v>
      </c>
      <c r="G34" s="181">
        <v>2681263.9854000001</v>
      </c>
      <c r="H34" s="181">
        <v>38510.832883809526</v>
      </c>
      <c r="I34" s="37">
        <f t="shared" si="0"/>
        <v>7.6180067055915517</v>
      </c>
      <c r="J34" s="37">
        <f t="shared" si="1"/>
        <v>8.5056524886666663E-5</v>
      </c>
      <c r="K34" s="37">
        <f t="shared" si="2"/>
        <v>3.1160063351999985</v>
      </c>
      <c r="L34" s="37">
        <f t="shared" si="3"/>
        <v>0.10844916261666666</v>
      </c>
      <c r="M34" s="37">
        <f t="shared" si="4"/>
        <v>2.9462756399999998E-2</v>
      </c>
      <c r="N34" s="37">
        <f t="shared" si="4"/>
        <v>6.5284428330000005E-2</v>
      </c>
      <c r="O34" s="37">
        <f t="shared" si="5"/>
        <v>2.6812639854000002</v>
      </c>
      <c r="P34" s="37">
        <f t="shared" si="6"/>
        <v>1.6174549811200001</v>
      </c>
      <c r="Q34" s="37">
        <f t="shared" si="7"/>
        <v>4.936657663666665</v>
      </c>
      <c r="R34" s="37">
        <f t="shared" si="8"/>
        <v>7.6180067055915517</v>
      </c>
      <c r="S34" s="1" t="s">
        <v>2083</v>
      </c>
      <c r="Y34" t="s">
        <v>2085</v>
      </c>
    </row>
    <row r="35" spans="1:29" x14ac:dyDescent="0.25">
      <c r="A35" s="180" t="s">
        <v>1820</v>
      </c>
      <c r="B35" s="181">
        <v>74641.440206666652</v>
      </c>
      <c r="C35" s="181">
        <v>87747.426119047595</v>
      </c>
      <c r="D35" s="181">
        <v>3070.9435166666667</v>
      </c>
      <c r="E35" s="181">
        <v>632.33280000000002</v>
      </c>
      <c r="F35" s="181">
        <v>1596.8608542857144</v>
      </c>
      <c r="G35" s="181">
        <v>2823398.65808</v>
      </c>
      <c r="H35" s="181">
        <v>43007.135613968254</v>
      </c>
      <c r="I35" s="37">
        <f t="shared" si="0"/>
        <v>8.5377706534868718</v>
      </c>
      <c r="J35" s="37">
        <f t="shared" si="1"/>
        <v>7.4641440206666657E-5</v>
      </c>
      <c r="K35" s="37">
        <f t="shared" si="2"/>
        <v>3.6853918969999988</v>
      </c>
      <c r="L35" s="37">
        <f t="shared" si="3"/>
        <v>0.12897962769999999</v>
      </c>
      <c r="M35" s="37">
        <f t="shared" si="4"/>
        <v>2.6557977600000001E-2</v>
      </c>
      <c r="N35" s="37">
        <f t="shared" si="4"/>
        <v>6.7068155879999994E-2</v>
      </c>
      <c r="O35" s="37">
        <f t="shared" si="5"/>
        <v>2.8233986580799999</v>
      </c>
      <c r="P35" s="37">
        <f t="shared" si="6"/>
        <v>1.8062996957866666</v>
      </c>
      <c r="Q35" s="37">
        <f t="shared" si="7"/>
        <v>5.7142973539666659</v>
      </c>
      <c r="R35" s="37">
        <f t="shared" si="8"/>
        <v>8.5377706534868736</v>
      </c>
      <c r="S35" s="1" t="s">
        <v>2081</v>
      </c>
      <c r="T35" s="1" t="s">
        <v>1886</v>
      </c>
      <c r="U35" s="1" t="s">
        <v>1755</v>
      </c>
      <c r="V35" s="1" t="s">
        <v>1664</v>
      </c>
      <c r="W35" s="1" t="s">
        <v>2082</v>
      </c>
      <c r="Y35" s="184" t="s">
        <v>2081</v>
      </c>
      <c r="Z35" s="185" t="s">
        <v>1886</v>
      </c>
      <c r="AA35" s="185" t="s">
        <v>1755</v>
      </c>
      <c r="AB35" s="185" t="s">
        <v>1664</v>
      </c>
      <c r="AC35" s="1" t="s">
        <v>2167</v>
      </c>
    </row>
    <row r="36" spans="1:29" x14ac:dyDescent="0.25">
      <c r="A36" s="180" t="s">
        <v>1821</v>
      </c>
      <c r="B36" s="181">
        <v>86792.372333333318</v>
      </c>
      <c r="C36" s="181">
        <v>75463.805004761874</v>
      </c>
      <c r="D36" s="181">
        <v>2628.1295638888892</v>
      </c>
      <c r="E36" s="181">
        <v>1254.7854</v>
      </c>
      <c r="F36" s="181">
        <v>586.08190928571435</v>
      </c>
      <c r="G36" s="181">
        <v>2774613.5216799998</v>
      </c>
      <c r="H36" s="181">
        <v>50279.905279999999</v>
      </c>
      <c r="I36" s="37">
        <f t="shared" si="0"/>
        <v>8.2436340146856661</v>
      </c>
      <c r="J36" s="37">
        <f t="shared" si="1"/>
        <v>8.6792372333333319E-5</v>
      </c>
      <c r="K36" s="37">
        <f t="shared" si="2"/>
        <v>3.1694798101999986</v>
      </c>
      <c r="L36" s="37">
        <f t="shared" si="3"/>
        <v>0.11038144168333335</v>
      </c>
      <c r="M36" s="37">
        <f t="shared" si="4"/>
        <v>5.2700986799999995E-2</v>
      </c>
      <c r="N36" s="37">
        <f t="shared" si="4"/>
        <v>2.4615440190000001E-2</v>
      </c>
      <c r="O36" s="37">
        <f t="shared" si="5"/>
        <v>2.7746135216799996</v>
      </c>
      <c r="P36" s="37">
        <f t="shared" si="6"/>
        <v>2.1117560217599998</v>
      </c>
      <c r="Q36" s="37">
        <f t="shared" si="7"/>
        <v>5.4689337006333316</v>
      </c>
      <c r="R36" s="37">
        <f t="shared" si="8"/>
        <v>8.2436340146856644</v>
      </c>
      <c r="S36" s="183">
        <v>8.393199905810599</v>
      </c>
      <c r="T36" s="183">
        <v>0.1213946615655644</v>
      </c>
      <c r="U36" s="183">
        <v>5.5001724703188071</v>
      </c>
      <c r="V36" s="183">
        <v>2.7716327739262279</v>
      </c>
      <c r="W36" s="183">
        <v>0</v>
      </c>
      <c r="X36" s="37">
        <v>8.2436340146856661</v>
      </c>
      <c r="Y36" s="186">
        <f>R36-S36</f>
        <v>-0.14956589112493468</v>
      </c>
      <c r="Z36" s="183">
        <f>J35-T36</f>
        <v>-0.12132002012535774</v>
      </c>
      <c r="AA36" s="183">
        <f>Q36-U36</f>
        <v>-3.1238769685475454E-2</v>
      </c>
      <c r="AB36" s="183">
        <f>O36-V36</f>
        <v>2.980747753771773E-3</v>
      </c>
      <c r="AC36" s="341">
        <f>ABS(Y36)</f>
        <v>0.14956589112493468</v>
      </c>
    </row>
    <row r="37" spans="1:29" x14ac:dyDescent="0.25">
      <c r="A37" s="180" t="s">
        <v>1822</v>
      </c>
      <c r="B37" s="181">
        <v>38188.643826666659</v>
      </c>
      <c r="C37" s="181">
        <v>89723.398338095212</v>
      </c>
      <c r="D37" s="181">
        <v>2380.8438500000002</v>
      </c>
      <c r="E37" s="181">
        <v>1976.04</v>
      </c>
      <c r="F37" s="181">
        <v>1545.8972100000001</v>
      </c>
      <c r="G37" s="181">
        <v>2915487.4548800001</v>
      </c>
      <c r="H37" s="181">
        <v>50988.072960000005</v>
      </c>
      <c r="I37" s="37">
        <f t="shared" si="0"/>
        <v>9.0733242425638263</v>
      </c>
      <c r="J37" s="37">
        <f t="shared" si="1"/>
        <v>3.8188643826666663E-5</v>
      </c>
      <c r="K37" s="37">
        <f t="shared" si="2"/>
        <v>3.7683827301999986</v>
      </c>
      <c r="L37" s="37">
        <f t="shared" si="3"/>
        <v>9.9995441700000007E-2</v>
      </c>
      <c r="M37" s="37">
        <f t="shared" si="4"/>
        <v>8.299368E-2</v>
      </c>
      <c r="N37" s="37">
        <f t="shared" si="4"/>
        <v>6.4927682819999999E-2</v>
      </c>
      <c r="O37" s="37">
        <f t="shared" si="5"/>
        <v>2.9154874548800001</v>
      </c>
      <c r="P37" s="37">
        <f t="shared" si="6"/>
        <v>2.14149906432</v>
      </c>
      <c r="Q37" s="37">
        <f t="shared" si="7"/>
        <v>6.1577985990399986</v>
      </c>
      <c r="R37" s="37">
        <f t="shared" si="8"/>
        <v>9.0733242425638245</v>
      </c>
      <c r="S37" s="183">
        <v>9.1714074410264725</v>
      </c>
      <c r="T37" s="183">
        <v>5.2785050037717225E-2</v>
      </c>
      <c r="U37" s="183">
        <v>6.1879984396249865</v>
      </c>
      <c r="V37" s="183">
        <v>2.9306239513637697</v>
      </c>
      <c r="W37" s="183">
        <v>0</v>
      </c>
      <c r="X37" s="37">
        <v>9.0733242425638281</v>
      </c>
      <c r="Y37" s="186">
        <f t="shared" ref="Y37:Y68" si="9">R37-S37</f>
        <v>-9.8083198462648014E-2</v>
      </c>
      <c r="Z37" s="183">
        <f t="shared" ref="Z37:Z68" si="10">J36-T37</f>
        <v>-5.2698257665383892E-2</v>
      </c>
      <c r="AA37" s="183">
        <f t="shared" ref="AA37:AA68" si="11">Q37-U37</f>
        <v>-3.0199840584987925E-2</v>
      </c>
      <c r="AB37" s="183">
        <f t="shared" ref="AB37:AB67" si="12">O37-V37</f>
        <v>-1.513649648376969E-2</v>
      </c>
      <c r="AC37" s="341">
        <f t="shared" ref="AC37:AC68" si="13">ABS(Y37)</f>
        <v>9.8083198462648014E-2</v>
      </c>
    </row>
    <row r="38" spans="1:29" x14ac:dyDescent="0.25">
      <c r="A38" s="180" t="s">
        <v>1823</v>
      </c>
      <c r="B38" s="181">
        <v>83320.677439999985</v>
      </c>
      <c r="C38" s="181">
        <v>79171.29927142855</v>
      </c>
      <c r="D38" s="181">
        <v>2357.8405277777779</v>
      </c>
      <c r="E38" s="181">
        <v>721.25459999999998</v>
      </c>
      <c r="F38" s="181">
        <v>1393.0062771428572</v>
      </c>
      <c r="G38" s="181">
        <v>3527439.4355199998</v>
      </c>
      <c r="H38" s="181">
        <v>41253.577549206348</v>
      </c>
      <c r="I38" s="37">
        <f t="shared" ref="I38:I69" si="14">SUMPRODUCT(B38:H38,$J$3:$P$3)/1000000000</f>
        <v>8.7731958416707734</v>
      </c>
      <c r="J38" s="37">
        <f t="shared" ref="J38:J69" si="15">J$3/1000000000*B38</f>
        <v>8.3320677439999993E-5</v>
      </c>
      <c r="K38" s="37">
        <f t="shared" ref="K38:K69" si="16">K$3/1000000000*C38</f>
        <v>3.3251945693999989</v>
      </c>
      <c r="L38" s="37">
        <f t="shared" ref="L38:L69" si="17">L$3/1000000000*D38</f>
        <v>9.9029302166666666E-2</v>
      </c>
      <c r="M38" s="37">
        <f t="shared" ref="M38:N69" si="18">M$3/1000000000*E38</f>
        <v>3.0292693199999998E-2</v>
      </c>
      <c r="N38" s="37">
        <f t="shared" si="18"/>
        <v>5.850626364E-2</v>
      </c>
      <c r="O38" s="37">
        <f t="shared" ref="O38:O69" si="19">O$3/1000000000*G38</f>
        <v>3.5274394355199998</v>
      </c>
      <c r="P38" s="37">
        <f t="shared" ref="P38:P69" si="20">P$3/1000000000*H38</f>
        <v>1.7326502570666664</v>
      </c>
      <c r="Q38" s="37">
        <f t="shared" si="7"/>
        <v>5.2456730854733316</v>
      </c>
      <c r="R38" s="37">
        <f t="shared" si="8"/>
        <v>8.7731958416707716</v>
      </c>
      <c r="S38" s="183">
        <v>8.9309955359805997</v>
      </c>
      <c r="T38" s="183">
        <v>0.11436373206076487</v>
      </c>
      <c r="U38" s="183">
        <v>5.2722282666774518</v>
      </c>
      <c r="V38" s="183">
        <v>3.544403537242383</v>
      </c>
      <c r="W38" s="183">
        <v>0</v>
      </c>
      <c r="X38" s="37">
        <v>8.7731958416707734</v>
      </c>
      <c r="Y38" s="186">
        <f t="shared" si="9"/>
        <v>-0.1577996943098281</v>
      </c>
      <c r="Z38" s="183">
        <f t="shared" si="10"/>
        <v>-0.11432554341693821</v>
      </c>
      <c r="AA38" s="183">
        <f t="shared" si="11"/>
        <v>-2.655518120412026E-2</v>
      </c>
      <c r="AB38" s="183">
        <f t="shared" si="12"/>
        <v>-1.6964101722383162E-2</v>
      </c>
      <c r="AC38" s="341">
        <f t="shared" si="13"/>
        <v>0.1577996943098281</v>
      </c>
    </row>
    <row r="39" spans="1:29" x14ac:dyDescent="0.25">
      <c r="A39" s="180" t="s">
        <v>1824</v>
      </c>
      <c r="B39" s="181">
        <v>62490.508079999992</v>
      </c>
      <c r="C39" s="181">
        <v>68812.723257142832</v>
      </c>
      <c r="D39" s="181">
        <v>2599.3754111111111</v>
      </c>
      <c r="E39" s="181">
        <v>1116.4626000000001</v>
      </c>
      <c r="F39" s="181">
        <v>450.17885785714293</v>
      </c>
      <c r="G39" s="181">
        <v>3586474.9320399999</v>
      </c>
      <c r="H39" s="181">
        <v>28753.855959365079</v>
      </c>
      <c r="I39" s="37">
        <f t="shared" si="14"/>
        <v>7.8593064581380787</v>
      </c>
      <c r="J39" s="37">
        <f t="shared" si="15"/>
        <v>6.2490508079999995E-5</v>
      </c>
      <c r="K39" s="37">
        <f t="shared" si="16"/>
        <v>2.890134376799999</v>
      </c>
      <c r="L39" s="37">
        <f t="shared" si="17"/>
        <v>0.10917376726666667</v>
      </c>
      <c r="M39" s="37">
        <f t="shared" si="18"/>
        <v>4.6891429200000001E-2</v>
      </c>
      <c r="N39" s="37">
        <f t="shared" si="18"/>
        <v>1.890751203E-2</v>
      </c>
      <c r="O39" s="37">
        <f t="shared" si="19"/>
        <v>3.5864749320399998</v>
      </c>
      <c r="P39" s="37">
        <f t="shared" si="20"/>
        <v>1.2076619502933332</v>
      </c>
      <c r="Q39" s="37">
        <f t="shared" si="7"/>
        <v>4.2727690355899988</v>
      </c>
      <c r="R39" s="37">
        <f t="shared" si="8"/>
        <v>7.8593064581380787</v>
      </c>
      <c r="S39" s="183">
        <v>7.9899165283760158</v>
      </c>
      <c r="T39" s="183">
        <v>8.4516419579476434E-2</v>
      </c>
      <c r="U39" s="183">
        <v>4.2945244297210179</v>
      </c>
      <c r="V39" s="183">
        <v>3.6108756790755212</v>
      </c>
      <c r="W39" s="183">
        <v>0</v>
      </c>
      <c r="X39" s="37">
        <v>7.8593064581380805</v>
      </c>
      <c r="Y39" s="186">
        <f t="shared" si="9"/>
        <v>-0.13061007023793714</v>
      </c>
      <c r="Z39" s="183">
        <f t="shared" si="10"/>
        <v>-8.443309890203643E-2</v>
      </c>
      <c r="AA39" s="183">
        <f t="shared" si="11"/>
        <v>-2.1755394131019123E-2</v>
      </c>
      <c r="AB39" s="183">
        <f t="shared" si="12"/>
        <v>-2.440074703552142E-2</v>
      </c>
      <c r="AC39" s="341">
        <f t="shared" si="13"/>
        <v>0.13061007023793714</v>
      </c>
    </row>
    <row r="40" spans="1:29" x14ac:dyDescent="0.25">
      <c r="A40" s="180" t="s">
        <v>1825</v>
      </c>
      <c r="B40" s="181">
        <v>32981.101486666659</v>
      </c>
      <c r="C40" s="181">
        <v>62864.43575238093</v>
      </c>
      <c r="D40" s="181">
        <v>2685.6378694444447</v>
      </c>
      <c r="E40" s="181">
        <v>988.02</v>
      </c>
      <c r="F40" s="181">
        <v>484.15462071428578</v>
      </c>
      <c r="G40" s="181">
        <v>4633710.92184</v>
      </c>
      <c r="H40" s="181">
        <v>33193.954905396829</v>
      </c>
      <c r="I40" s="37">
        <f t="shared" si="14"/>
        <v>8.8428244351548191</v>
      </c>
      <c r="J40" s="37">
        <f t="shared" si="15"/>
        <v>3.298110148666666E-5</v>
      </c>
      <c r="K40" s="37">
        <f t="shared" si="16"/>
        <v>2.640306301599999</v>
      </c>
      <c r="L40" s="37">
        <f t="shared" si="17"/>
        <v>0.11279679051666668</v>
      </c>
      <c r="M40" s="37">
        <f t="shared" si="18"/>
        <v>4.149684E-2</v>
      </c>
      <c r="N40" s="37">
        <f t="shared" si="18"/>
        <v>2.033449407E-2</v>
      </c>
      <c r="O40" s="37">
        <f t="shared" si="19"/>
        <v>4.6337109218399997</v>
      </c>
      <c r="P40" s="37">
        <f t="shared" si="20"/>
        <v>1.3941461060266667</v>
      </c>
      <c r="Q40" s="37">
        <f t="shared" si="7"/>
        <v>4.2090805322133322</v>
      </c>
      <c r="R40" s="37">
        <f t="shared" si="8"/>
        <v>8.8428244351548191</v>
      </c>
      <c r="S40" s="183">
        <v>8.8622762327746258</v>
      </c>
      <c r="T40" s="183">
        <v>4.4779663836277198E-2</v>
      </c>
      <c r="U40" s="183">
        <v>4.2266842999635532</v>
      </c>
      <c r="V40" s="183">
        <v>4.5908122689747959</v>
      </c>
      <c r="W40" s="183">
        <v>0</v>
      </c>
      <c r="X40" s="37">
        <v>8.8428244351548209</v>
      </c>
      <c r="Y40" s="186">
        <f t="shared" si="9"/>
        <v>-1.9451797619806754E-2</v>
      </c>
      <c r="Z40" s="183">
        <f t="shared" si="10"/>
        <v>-4.4717173328197198E-2</v>
      </c>
      <c r="AA40" s="183">
        <f t="shared" si="11"/>
        <v>-1.7603767750220989E-2</v>
      </c>
      <c r="AB40" s="183">
        <f t="shared" si="12"/>
        <v>4.2898652865203779E-2</v>
      </c>
      <c r="AC40" s="341">
        <f t="shared" si="13"/>
        <v>1.9451797619806754E-2</v>
      </c>
    </row>
    <row r="41" spans="1:29" x14ac:dyDescent="0.25">
      <c r="A41" s="180" t="s">
        <v>1826</v>
      </c>
      <c r="B41" s="181">
        <v>39924.491273333326</v>
      </c>
      <c r="C41" s="181">
        <v>65981.175438095219</v>
      </c>
      <c r="D41" s="181">
        <v>2806.4053111111111</v>
      </c>
      <c r="E41" s="181">
        <v>1086.8220000000001</v>
      </c>
      <c r="F41" s="181">
        <v>552.10614642857149</v>
      </c>
      <c r="G41" s="181">
        <v>4509610.3052000003</v>
      </c>
      <c r="H41" s="181">
        <v>34497.882697142857</v>
      </c>
      <c r="I41" s="37">
        <f t="shared" si="14"/>
        <v>8.9164746765879404</v>
      </c>
      <c r="J41" s="37">
        <f t="shared" si="15"/>
        <v>3.9924491273333326E-5</v>
      </c>
      <c r="K41" s="37">
        <f t="shared" si="16"/>
        <v>2.7712093683999992</v>
      </c>
      <c r="L41" s="37">
        <f t="shared" si="17"/>
        <v>0.11786902306666666</v>
      </c>
      <c r="M41" s="37">
        <f t="shared" si="18"/>
        <v>4.5646524000000001E-2</v>
      </c>
      <c r="N41" s="37">
        <f t="shared" si="18"/>
        <v>2.3188458150000001E-2</v>
      </c>
      <c r="O41" s="37">
        <f t="shared" si="19"/>
        <v>4.5096103051999998</v>
      </c>
      <c r="P41" s="37">
        <f t="shared" si="20"/>
        <v>1.4489110732799999</v>
      </c>
      <c r="Q41" s="37">
        <f t="shared" si="7"/>
        <v>4.4068244468966657</v>
      </c>
      <c r="R41" s="37">
        <f t="shared" si="8"/>
        <v>8.9164746765879404</v>
      </c>
      <c r="S41" s="183">
        <v>8.9583234115736357</v>
      </c>
      <c r="T41" s="183">
        <v>5.5856191647832877E-2</v>
      </c>
      <c r="U41" s="183">
        <v>4.4254898387524841</v>
      </c>
      <c r="V41" s="183">
        <v>4.4769773811733193</v>
      </c>
      <c r="W41" s="183">
        <v>0</v>
      </c>
      <c r="X41" s="37">
        <v>8.9164746765879404</v>
      </c>
      <c r="Y41" s="186">
        <f t="shared" si="9"/>
        <v>-4.1848734985695302E-2</v>
      </c>
      <c r="Z41" s="183">
        <f t="shared" si="10"/>
        <v>-5.5823210546346209E-2</v>
      </c>
      <c r="AA41" s="183">
        <f t="shared" si="11"/>
        <v>-1.8665391855818392E-2</v>
      </c>
      <c r="AB41" s="183">
        <f t="shared" si="12"/>
        <v>3.2632924026680499E-2</v>
      </c>
      <c r="AC41" s="341">
        <f t="shared" si="13"/>
        <v>4.1848734985695302E-2</v>
      </c>
    </row>
    <row r="42" spans="1:29" x14ac:dyDescent="0.25">
      <c r="A42" s="180" t="s">
        <v>1827</v>
      </c>
      <c r="B42" s="181">
        <v>50339.575953333326</v>
      </c>
      <c r="C42" s="181">
        <v>57415.234014285699</v>
      </c>
      <c r="D42" s="181">
        <v>3329.730891666667</v>
      </c>
      <c r="E42" s="181">
        <v>464.36940000000004</v>
      </c>
      <c r="F42" s="181">
        <v>552.10614642857149</v>
      </c>
      <c r="G42" s="181">
        <v>5272467.3201200003</v>
      </c>
      <c r="H42" s="181">
        <v>27315.039085714288</v>
      </c>
      <c r="I42" s="37">
        <f t="shared" si="14"/>
        <v>9.0137298002959536</v>
      </c>
      <c r="J42" s="37">
        <f t="shared" si="15"/>
        <v>5.0339575953333326E-5</v>
      </c>
      <c r="K42" s="37">
        <f t="shared" si="16"/>
        <v>2.4114398285999994</v>
      </c>
      <c r="L42" s="37">
        <f t="shared" si="17"/>
        <v>0.13984869745</v>
      </c>
      <c r="M42" s="37">
        <f t="shared" si="18"/>
        <v>1.95035148E-2</v>
      </c>
      <c r="N42" s="37">
        <f t="shared" si="18"/>
        <v>2.3188458150000001E-2</v>
      </c>
      <c r="O42" s="37">
        <f t="shared" si="19"/>
        <v>5.2724673201199996</v>
      </c>
      <c r="P42" s="37">
        <f t="shared" si="20"/>
        <v>1.1472316416000001</v>
      </c>
      <c r="Q42" s="37">
        <f t="shared" si="7"/>
        <v>3.7412121405999992</v>
      </c>
      <c r="R42" s="37">
        <f t="shared" si="8"/>
        <v>9.0137298002959518</v>
      </c>
      <c r="S42" s="183">
        <v>9.0613426494264484</v>
      </c>
      <c r="T42" s="183">
        <v>6.8719659432618291E-2</v>
      </c>
      <c r="U42" s="183">
        <v>3.7574319977166502</v>
      </c>
      <c r="V42" s="183">
        <v>5.2351909922771789</v>
      </c>
      <c r="W42" s="183">
        <v>0</v>
      </c>
      <c r="X42" s="37">
        <v>9.0137298002959536</v>
      </c>
      <c r="Y42" s="186">
        <f t="shared" si="9"/>
        <v>-4.7612849130496571E-2</v>
      </c>
      <c r="Z42" s="183">
        <f t="shared" si="10"/>
        <v>-6.8679734941344953E-2</v>
      </c>
      <c r="AA42" s="183">
        <f t="shared" si="11"/>
        <v>-1.6219857116650971E-2</v>
      </c>
      <c r="AB42" s="183">
        <f t="shared" si="12"/>
        <v>3.7276327842820756E-2</v>
      </c>
      <c r="AC42" s="341">
        <f t="shared" si="13"/>
        <v>4.7612849130496571E-2</v>
      </c>
    </row>
    <row r="43" spans="1:29" x14ac:dyDescent="0.25">
      <c r="A43" s="180" t="s">
        <v>1828</v>
      </c>
      <c r="B43" s="181">
        <v>45132.033613333326</v>
      </c>
      <c r="C43" s="181">
        <v>57832.836390476172</v>
      </c>
      <c r="D43" s="181">
        <v>3122.7009916666671</v>
      </c>
      <c r="E43" s="181">
        <v>464.36940000000004</v>
      </c>
      <c r="F43" s="181">
        <v>407.70915428571436</v>
      </c>
      <c r="G43" s="181">
        <v>5800114.1998800002</v>
      </c>
      <c r="H43" s="181">
        <v>25168.054532063492</v>
      </c>
      <c r="I43" s="37">
        <f t="shared" si="14"/>
        <v>9.4539774915902779</v>
      </c>
      <c r="J43" s="37">
        <f t="shared" si="15"/>
        <v>4.5132033613333329E-5</v>
      </c>
      <c r="K43" s="37">
        <f t="shared" si="16"/>
        <v>2.4289791283999991</v>
      </c>
      <c r="L43" s="37">
        <f t="shared" si="17"/>
        <v>0.13115344165000001</v>
      </c>
      <c r="M43" s="37">
        <f t="shared" si="18"/>
        <v>1.95035148E-2</v>
      </c>
      <c r="N43" s="37">
        <f t="shared" si="18"/>
        <v>1.7123784480000001E-2</v>
      </c>
      <c r="O43" s="37">
        <f t="shared" si="19"/>
        <v>5.8001141998800003</v>
      </c>
      <c r="P43" s="37">
        <f t="shared" si="20"/>
        <v>1.0570582903466665</v>
      </c>
      <c r="Q43" s="37">
        <f t="shared" si="7"/>
        <v>3.6538181596766655</v>
      </c>
      <c r="R43" s="37">
        <f t="shared" si="8"/>
        <v>9.4539774915902779</v>
      </c>
      <c r="S43" s="183">
        <v>9.452356588049005</v>
      </c>
      <c r="T43" s="183">
        <v>6.0577426195426075E-2</v>
      </c>
      <c r="U43" s="183">
        <v>3.6697676064265958</v>
      </c>
      <c r="V43" s="183">
        <v>5.7220115554269819</v>
      </c>
      <c r="W43" s="183">
        <v>0</v>
      </c>
      <c r="X43" s="37">
        <v>9.4539774915902797</v>
      </c>
      <c r="Y43" s="186">
        <f t="shared" si="9"/>
        <v>1.6209035412728667E-3</v>
      </c>
      <c r="Z43" s="183">
        <f t="shared" si="10"/>
        <v>-6.0527086619472745E-2</v>
      </c>
      <c r="AA43" s="183">
        <f t="shared" si="11"/>
        <v>-1.5949446749930374E-2</v>
      </c>
      <c r="AB43" s="183">
        <f t="shared" si="12"/>
        <v>7.8102644453018399E-2</v>
      </c>
      <c r="AC43" s="341">
        <f t="shared" si="13"/>
        <v>1.6209035412728667E-3</v>
      </c>
    </row>
    <row r="44" spans="1:29" x14ac:dyDescent="0.25">
      <c r="A44" s="180" t="s">
        <v>1829</v>
      </c>
      <c r="B44" s="181">
        <v>39924.491273333326</v>
      </c>
      <c r="C44" s="181">
        <v>55042.030266666647</v>
      </c>
      <c r="D44" s="181">
        <v>2858.1627861111115</v>
      </c>
      <c r="E44" s="181">
        <v>691.61400000000003</v>
      </c>
      <c r="F44" s="181">
        <v>560.60008714285721</v>
      </c>
      <c r="G44" s="181">
        <v>4938371.3579200003</v>
      </c>
      <c r="H44" s="181">
        <v>15928.152421587301</v>
      </c>
      <c r="I44" s="37">
        <f t="shared" si="14"/>
        <v>8.0917947839946063</v>
      </c>
      <c r="J44" s="37">
        <f t="shared" si="15"/>
        <v>3.9924491273333326E-5</v>
      </c>
      <c r="K44" s="37">
        <f t="shared" si="16"/>
        <v>2.3117652711999992</v>
      </c>
      <c r="L44" s="37">
        <f t="shared" si="17"/>
        <v>0.12004283701666668</v>
      </c>
      <c r="M44" s="37">
        <f t="shared" si="18"/>
        <v>2.9047788000000001E-2</v>
      </c>
      <c r="N44" s="37">
        <f t="shared" si="18"/>
        <v>2.354520366E-2</v>
      </c>
      <c r="O44" s="37">
        <f t="shared" si="19"/>
        <v>4.9383713579200004</v>
      </c>
      <c r="P44" s="37">
        <f t="shared" si="20"/>
        <v>0.66898240170666667</v>
      </c>
      <c r="Q44" s="37">
        <f t="shared" si="7"/>
        <v>3.1533835015833325</v>
      </c>
      <c r="R44" s="37">
        <f t="shared" si="8"/>
        <v>8.0917947839946063</v>
      </c>
      <c r="S44" s="183">
        <v>8.0754548915353475</v>
      </c>
      <c r="T44" s="183">
        <v>6.0484084260704916E-2</v>
      </c>
      <c r="U44" s="183">
        <v>3.168548051232515</v>
      </c>
      <c r="V44" s="183">
        <v>4.8464227560421289</v>
      </c>
      <c r="W44" s="183">
        <v>0</v>
      </c>
      <c r="X44" s="37">
        <v>8.0917947839946081</v>
      </c>
      <c r="Y44" s="186">
        <f t="shared" si="9"/>
        <v>1.633989245925882E-2</v>
      </c>
      <c r="Z44" s="183">
        <f t="shared" si="10"/>
        <v>-6.0438952227091586E-2</v>
      </c>
      <c r="AA44" s="183">
        <f t="shared" si="11"/>
        <v>-1.5164549649182568E-2</v>
      </c>
      <c r="AB44" s="183">
        <f t="shared" si="12"/>
        <v>9.1948601877871461E-2</v>
      </c>
      <c r="AC44" s="341">
        <f t="shared" si="13"/>
        <v>1.633989245925882E-2</v>
      </c>
    </row>
    <row r="45" spans="1:29" x14ac:dyDescent="0.25">
      <c r="A45" s="180" t="s">
        <v>1830</v>
      </c>
      <c r="B45" s="181">
        <v>57282.965739999992</v>
      </c>
      <c r="C45" s="181">
        <v>39010.173190476176</v>
      </c>
      <c r="D45" s="181">
        <v>2944.4252444444446</v>
      </c>
      <c r="E45" s="181">
        <v>2223.0450000000001</v>
      </c>
      <c r="F45" s="181">
        <v>535.11826500000006</v>
      </c>
      <c r="G45" s="181">
        <v>3570414.2073599999</v>
      </c>
      <c r="H45" s="181">
        <v>13309.056081269842</v>
      </c>
      <c r="I45" s="37">
        <f t="shared" si="14"/>
        <v>6.0073878371357399</v>
      </c>
      <c r="J45" s="37">
        <f t="shared" si="15"/>
        <v>5.7282965739999998E-5</v>
      </c>
      <c r="K45" s="37">
        <f t="shared" si="16"/>
        <v>1.6384272739999992</v>
      </c>
      <c r="L45" s="37">
        <f t="shared" si="17"/>
        <v>0.12366586026666666</v>
      </c>
      <c r="M45" s="37">
        <f t="shared" si="18"/>
        <v>9.3367889999999995E-2</v>
      </c>
      <c r="N45" s="37">
        <f t="shared" si="18"/>
        <v>2.2474967130000002E-2</v>
      </c>
      <c r="O45" s="37">
        <f t="shared" si="19"/>
        <v>3.5704142073599998</v>
      </c>
      <c r="P45" s="37">
        <f t="shared" si="20"/>
        <v>0.55898035541333335</v>
      </c>
      <c r="Q45" s="37">
        <f t="shared" si="7"/>
        <v>2.4369163468099995</v>
      </c>
      <c r="R45" s="37">
        <f t="shared" si="8"/>
        <v>6.007387837135739</v>
      </c>
      <c r="S45" s="183">
        <v>6.1959925594355161</v>
      </c>
      <c r="T45" s="183">
        <v>8.5437247028025118E-2</v>
      </c>
      <c r="U45" s="183">
        <v>2.4480229605245616</v>
      </c>
      <c r="V45" s="183">
        <v>3.6625323518829296</v>
      </c>
      <c r="W45" s="183">
        <v>0</v>
      </c>
      <c r="X45" s="37">
        <v>6.007387837135739</v>
      </c>
      <c r="Y45" s="186">
        <f t="shared" si="9"/>
        <v>-0.18860472229977709</v>
      </c>
      <c r="Z45" s="183">
        <f t="shared" si="10"/>
        <v>-8.539732253675178E-2</v>
      </c>
      <c r="AA45" s="183">
        <f t="shared" si="11"/>
        <v>-1.1106613714562119E-2</v>
      </c>
      <c r="AB45" s="183">
        <f t="shared" si="12"/>
        <v>-9.2118144522929768E-2</v>
      </c>
      <c r="AC45" s="341">
        <f t="shared" si="13"/>
        <v>0.18860472229977709</v>
      </c>
    </row>
    <row r="46" spans="1:29" x14ac:dyDescent="0.25">
      <c r="A46" s="180" t="s">
        <v>1831</v>
      </c>
      <c r="B46" s="181">
        <v>24301.86425333333</v>
      </c>
      <c r="C46" s="181">
        <v>53015.130928571409</v>
      </c>
      <c r="D46" s="181">
        <v>3646.0265722222225</v>
      </c>
      <c r="E46" s="181">
        <v>1057.1813999999999</v>
      </c>
      <c r="F46" s="181">
        <v>2369.8094592857146</v>
      </c>
      <c r="G46" s="181">
        <v>3496797.9846799998</v>
      </c>
      <c r="H46" s="181">
        <v>15602.170473650795</v>
      </c>
      <c r="I46" s="37">
        <f t="shared" si="14"/>
        <v>6.6758156775609185</v>
      </c>
      <c r="J46" s="37">
        <f t="shared" si="15"/>
        <v>2.4301864253333331E-5</v>
      </c>
      <c r="K46" s="37">
        <f t="shared" si="16"/>
        <v>2.226635498999999</v>
      </c>
      <c r="L46" s="37">
        <f t="shared" si="17"/>
        <v>0.15313311603333335</v>
      </c>
      <c r="M46" s="37">
        <f t="shared" si="18"/>
        <v>4.4401618799999994E-2</v>
      </c>
      <c r="N46" s="37">
        <f t="shared" si="18"/>
        <v>9.9531997290000007E-2</v>
      </c>
      <c r="O46" s="37">
        <f t="shared" si="19"/>
        <v>3.4967979846799997</v>
      </c>
      <c r="P46" s="37">
        <f t="shared" si="20"/>
        <v>0.65529115989333331</v>
      </c>
      <c r="Q46" s="37">
        <f t="shared" si="7"/>
        <v>3.1789933910166659</v>
      </c>
      <c r="R46" s="37">
        <f t="shared" si="8"/>
        <v>6.6758156775609185</v>
      </c>
      <c r="S46" s="183">
        <v>6.7932535616058303</v>
      </c>
      <c r="T46" s="183">
        <v>3.6803443577659432E-2</v>
      </c>
      <c r="U46" s="183">
        <v>3.2211536244051677</v>
      </c>
      <c r="V46" s="183">
        <v>3.5352964936230031</v>
      </c>
      <c r="W46" s="183">
        <v>0</v>
      </c>
      <c r="X46" s="37">
        <v>6.6758156775609185</v>
      </c>
      <c r="Y46" s="186">
        <f t="shared" si="9"/>
        <v>-0.11743788404491173</v>
      </c>
      <c r="Z46" s="183">
        <f t="shared" si="10"/>
        <v>-3.6746160611919432E-2</v>
      </c>
      <c r="AA46" s="183">
        <f t="shared" si="11"/>
        <v>-4.2160233388501833E-2</v>
      </c>
      <c r="AB46" s="183">
        <f t="shared" si="12"/>
        <v>-3.849850894300344E-2</v>
      </c>
      <c r="AC46" s="341">
        <f t="shared" si="13"/>
        <v>0.11743788404491173</v>
      </c>
    </row>
    <row r="47" spans="1:29" x14ac:dyDescent="0.25">
      <c r="A47" s="180" t="s">
        <v>1832</v>
      </c>
      <c r="B47" s="181">
        <v>24301.86425333333</v>
      </c>
      <c r="C47" s="181">
        <v>42962.117628571417</v>
      </c>
      <c r="D47" s="181">
        <v>3306.7275694444447</v>
      </c>
      <c r="E47" s="181">
        <v>1541.3112000000001</v>
      </c>
      <c r="F47" s="181">
        <v>713.49102000000005</v>
      </c>
      <c r="G47" s="181">
        <v>3380809.9525199998</v>
      </c>
      <c r="H47" s="181">
        <v>5878.9158196825401</v>
      </c>
      <c r="I47" s="37">
        <f t="shared" si="14"/>
        <v>5.6657419103675863</v>
      </c>
      <c r="J47" s="37">
        <f t="shared" si="15"/>
        <v>2.4301864253333331E-5</v>
      </c>
      <c r="K47" s="37">
        <f t="shared" si="16"/>
        <v>1.8044089403999994</v>
      </c>
      <c r="L47" s="37">
        <f t="shared" si="17"/>
        <v>0.13888255791666668</v>
      </c>
      <c r="M47" s="37">
        <f t="shared" si="18"/>
        <v>6.4735070399999997E-2</v>
      </c>
      <c r="N47" s="37">
        <f t="shared" si="18"/>
        <v>2.9966622840000002E-2</v>
      </c>
      <c r="O47" s="37">
        <f t="shared" si="19"/>
        <v>3.3808099525199995</v>
      </c>
      <c r="P47" s="37">
        <f t="shared" si="20"/>
        <v>0.24691446442666667</v>
      </c>
      <c r="Q47" s="37">
        <f t="shared" si="7"/>
        <v>2.284907655983333</v>
      </c>
      <c r="R47" s="37">
        <f t="shared" si="8"/>
        <v>5.6657419103675855</v>
      </c>
      <c r="S47" s="183">
        <v>5.7670060508675824</v>
      </c>
      <c r="T47" s="183">
        <v>3.4504588727677442E-2</v>
      </c>
      <c r="U47" s="183">
        <v>2.3138227561634204</v>
      </c>
      <c r="V47" s="183">
        <v>3.4186787059764838</v>
      </c>
      <c r="W47" s="183">
        <v>0</v>
      </c>
      <c r="X47" s="37">
        <v>5.6657419103675863</v>
      </c>
      <c r="Y47" s="186">
        <f t="shared" si="9"/>
        <v>-0.10126414049999699</v>
      </c>
      <c r="Z47" s="183">
        <f t="shared" si="10"/>
        <v>-3.4480286863424109E-2</v>
      </c>
      <c r="AA47" s="183">
        <f t="shared" si="11"/>
        <v>-2.8915100180087361E-2</v>
      </c>
      <c r="AB47" s="183">
        <f t="shared" si="12"/>
        <v>-3.7868753456484328E-2</v>
      </c>
      <c r="AC47" s="341">
        <f t="shared" si="13"/>
        <v>0.10126414049999699</v>
      </c>
    </row>
    <row r="48" spans="1:29" x14ac:dyDescent="0.25">
      <c r="A48" s="180" t="s">
        <v>1833</v>
      </c>
      <c r="B48" s="181">
        <v>133660.25339333332</v>
      </c>
      <c r="C48" s="181">
        <v>39061.100309523797</v>
      </c>
      <c r="D48" s="181">
        <v>2674.1362083333333</v>
      </c>
      <c r="E48" s="181">
        <v>582.93180000000007</v>
      </c>
      <c r="F48" s="181">
        <v>993.79106357142871</v>
      </c>
      <c r="G48" s="181">
        <v>3549968.3018800002</v>
      </c>
      <c r="H48" s="181">
        <v>7216.5658819047621</v>
      </c>
      <c r="I48" s="37">
        <f t="shared" si="14"/>
        <v>5.6723000231933929</v>
      </c>
      <c r="J48" s="37">
        <f t="shared" si="15"/>
        <v>1.3366025339333333E-4</v>
      </c>
      <c r="K48" s="37">
        <f t="shared" si="16"/>
        <v>1.6405662129999994</v>
      </c>
      <c r="L48" s="37">
        <f t="shared" si="17"/>
        <v>0.11231372075</v>
      </c>
      <c r="M48" s="37">
        <f t="shared" si="18"/>
        <v>2.4483135600000001E-2</v>
      </c>
      <c r="N48" s="37">
        <f t="shared" si="18"/>
        <v>4.1739224670000005E-2</v>
      </c>
      <c r="O48" s="37">
        <f t="shared" si="19"/>
        <v>3.5499683018799999</v>
      </c>
      <c r="P48" s="37">
        <f t="shared" si="20"/>
        <v>0.30309576704000002</v>
      </c>
      <c r="Q48" s="37">
        <f t="shared" si="7"/>
        <v>2.1221980610599993</v>
      </c>
      <c r="R48" s="37">
        <f t="shared" si="8"/>
        <v>5.672300023193392</v>
      </c>
      <c r="S48" s="183">
        <v>5.8880337932122524</v>
      </c>
      <c r="T48" s="183">
        <v>0.18167814841920868</v>
      </c>
      <c r="U48" s="183">
        <v>2.1490073968418533</v>
      </c>
      <c r="V48" s="183">
        <v>3.5573482479511904</v>
      </c>
      <c r="W48" s="183">
        <v>0</v>
      </c>
      <c r="X48" s="37">
        <v>5.6723000231933938</v>
      </c>
      <c r="Y48" s="186">
        <f t="shared" si="9"/>
        <v>-0.2157337700188604</v>
      </c>
      <c r="Z48" s="183">
        <f t="shared" si="10"/>
        <v>-0.18165384655495534</v>
      </c>
      <c r="AA48" s="183">
        <f t="shared" si="11"/>
        <v>-2.680933578185396E-2</v>
      </c>
      <c r="AB48" s="183">
        <f t="shared" si="12"/>
        <v>-7.379946071190524E-3</v>
      </c>
      <c r="AC48" s="341">
        <f t="shared" si="13"/>
        <v>0.2157337700188604</v>
      </c>
    </row>
    <row r="49" spans="1:29" x14ac:dyDescent="0.25">
      <c r="A49" s="180" t="s">
        <v>1834</v>
      </c>
      <c r="B49" s="181">
        <v>76377.287653333318</v>
      </c>
      <c r="C49" s="181">
        <v>58443.961819047603</v>
      </c>
      <c r="D49" s="181">
        <v>4226.8604583333336</v>
      </c>
      <c r="E49" s="181">
        <v>711.37440000000004</v>
      </c>
      <c r="F49" s="181">
        <v>883.36983428571443</v>
      </c>
      <c r="G49" s="181">
        <v>3430855.8284</v>
      </c>
      <c r="H49" s="181">
        <v>20357.010610793652</v>
      </c>
      <c r="I49" s="37">
        <f t="shared" si="14"/>
        <v>6.9850804448309862</v>
      </c>
      <c r="J49" s="37">
        <f t="shared" si="15"/>
        <v>7.6377287653333327E-5</v>
      </c>
      <c r="K49" s="37">
        <f t="shared" si="16"/>
        <v>2.4546463963999994</v>
      </c>
      <c r="L49" s="37">
        <f t="shared" si="17"/>
        <v>0.17752813924999999</v>
      </c>
      <c r="M49" s="37">
        <f t="shared" si="18"/>
        <v>2.9877724800000002E-2</v>
      </c>
      <c r="N49" s="37">
        <f t="shared" si="18"/>
        <v>3.7101533040000002E-2</v>
      </c>
      <c r="O49" s="37">
        <f t="shared" si="19"/>
        <v>3.4308558283999999</v>
      </c>
      <c r="P49" s="37">
        <f t="shared" si="20"/>
        <v>0.85499444565333338</v>
      </c>
      <c r="Q49" s="37">
        <f t="shared" si="7"/>
        <v>3.5541482391433328</v>
      </c>
      <c r="R49" s="37">
        <f t="shared" si="8"/>
        <v>6.9850804448309862</v>
      </c>
      <c r="S49" s="183">
        <v>7.1132084080597151</v>
      </c>
      <c r="T49" s="183">
        <v>0.10585269983607871</v>
      </c>
      <c r="U49" s="183">
        <v>3.5953049175359779</v>
      </c>
      <c r="V49" s="183">
        <v>3.4120507906876578</v>
      </c>
      <c r="W49" s="183">
        <v>0</v>
      </c>
      <c r="X49" s="37">
        <v>6.9850804448309871</v>
      </c>
      <c r="Y49" s="186">
        <f t="shared" si="9"/>
        <v>-0.12812796322872888</v>
      </c>
      <c r="Z49" s="183">
        <f t="shared" si="10"/>
        <v>-0.10571903958268539</v>
      </c>
      <c r="AA49" s="183">
        <f t="shared" si="11"/>
        <v>-4.1156678392645141E-2</v>
      </c>
      <c r="AB49" s="183">
        <f t="shared" si="12"/>
        <v>1.8805037712342099E-2</v>
      </c>
      <c r="AC49" s="341">
        <f t="shared" si="13"/>
        <v>0.12812796322872888</v>
      </c>
    </row>
    <row r="50" spans="1:29" x14ac:dyDescent="0.25">
      <c r="A50" s="180" t="s">
        <v>1835</v>
      </c>
      <c r="B50" s="181">
        <v>55547.118293333326</v>
      </c>
      <c r="C50" s="181">
        <v>43919.547466666656</v>
      </c>
      <c r="D50" s="181">
        <v>2708.6411916666666</v>
      </c>
      <c r="E50" s="181">
        <v>899.09820000000002</v>
      </c>
      <c r="F50" s="181">
        <v>594.57585000000006</v>
      </c>
      <c r="G50" s="181">
        <v>3117808.73404</v>
      </c>
      <c r="H50" s="181">
        <v>31148.137163174604</v>
      </c>
      <c r="I50" s="37">
        <f t="shared" si="14"/>
        <v>6.4472042757616261</v>
      </c>
      <c r="J50" s="37">
        <f t="shared" si="15"/>
        <v>5.5547118293333328E-5</v>
      </c>
      <c r="K50" s="37">
        <f t="shared" si="16"/>
        <v>1.8446209935999995</v>
      </c>
      <c r="L50" s="37">
        <f t="shared" si="17"/>
        <v>0.11376293004999999</v>
      </c>
      <c r="M50" s="37">
        <f t="shared" si="18"/>
        <v>3.7762124399999999E-2</v>
      </c>
      <c r="N50" s="37">
        <f t="shared" si="18"/>
        <v>2.49721857E-2</v>
      </c>
      <c r="O50" s="37">
        <f t="shared" si="19"/>
        <v>3.11780873404</v>
      </c>
      <c r="P50" s="37">
        <f t="shared" si="20"/>
        <v>1.3082217608533333</v>
      </c>
      <c r="Q50" s="37">
        <f t="shared" si="7"/>
        <v>3.3293399946033326</v>
      </c>
      <c r="R50" s="37">
        <f t="shared" si="8"/>
        <v>6.4472042757616261</v>
      </c>
      <c r="S50" s="183">
        <v>6.5373600288097871</v>
      </c>
      <c r="T50" s="183">
        <v>7.3191289378427796E-2</v>
      </c>
      <c r="U50" s="183">
        <v>3.3611849733983923</v>
      </c>
      <c r="V50" s="183">
        <v>3.1029837660329664</v>
      </c>
      <c r="W50" s="183">
        <v>0</v>
      </c>
      <c r="X50" s="37">
        <v>6.4472042757616261</v>
      </c>
      <c r="Y50" s="186">
        <f t="shared" si="9"/>
        <v>-9.0155753048160925E-2</v>
      </c>
      <c r="Z50" s="183">
        <f t="shared" si="10"/>
        <v>-7.3114912090774462E-2</v>
      </c>
      <c r="AA50" s="183">
        <f t="shared" si="11"/>
        <v>-3.1844978795059653E-2</v>
      </c>
      <c r="AB50" s="183">
        <f t="shared" si="12"/>
        <v>1.482496800703359E-2</v>
      </c>
      <c r="AC50" s="341">
        <f t="shared" si="13"/>
        <v>9.0155753048160925E-2</v>
      </c>
    </row>
    <row r="51" spans="1:29" x14ac:dyDescent="0.25">
      <c r="A51" s="180" t="s">
        <v>1836</v>
      </c>
      <c r="B51" s="181">
        <v>69433.897866666652</v>
      </c>
      <c r="C51" s="181">
        <v>47993.716990476176</v>
      </c>
      <c r="D51" s="181">
        <v>4405.1362055555555</v>
      </c>
      <c r="E51" s="181">
        <v>770.65560000000005</v>
      </c>
      <c r="F51" s="181">
        <v>492.6485614285715</v>
      </c>
      <c r="G51" s="181">
        <v>3106078.3753999998</v>
      </c>
      <c r="H51" s="181">
        <v>29934.135426031746</v>
      </c>
      <c r="I51" s="37">
        <f t="shared" si="14"/>
        <v>6.6171921062045325</v>
      </c>
      <c r="J51" s="37">
        <f t="shared" si="15"/>
        <v>6.9433897866666661E-5</v>
      </c>
      <c r="K51" s="37">
        <f t="shared" si="16"/>
        <v>2.0157361135999992</v>
      </c>
      <c r="L51" s="37">
        <f t="shared" si="17"/>
        <v>0.18501572063333332</v>
      </c>
      <c r="M51" s="37">
        <f t="shared" si="18"/>
        <v>3.2367535199999999E-2</v>
      </c>
      <c r="N51" s="37">
        <f t="shared" si="18"/>
        <v>2.0691239580000003E-2</v>
      </c>
      <c r="O51" s="37">
        <f t="shared" si="19"/>
        <v>3.1060783753999996</v>
      </c>
      <c r="P51" s="37">
        <f t="shared" si="20"/>
        <v>1.2572336878933332</v>
      </c>
      <c r="Q51" s="37">
        <f t="shared" si="7"/>
        <v>3.511044296906666</v>
      </c>
      <c r="R51" s="37">
        <f t="shared" si="8"/>
        <v>6.6171921062045325</v>
      </c>
      <c r="S51" s="183">
        <v>6.6865712143985894</v>
      </c>
      <c r="T51" s="183">
        <v>9.4336016490456656E-2</v>
      </c>
      <c r="U51" s="183">
        <v>3.5436062583373853</v>
      </c>
      <c r="V51" s="183">
        <v>3.0486289395707473</v>
      </c>
      <c r="W51" s="183">
        <v>0</v>
      </c>
      <c r="X51" s="37">
        <v>6.6171921062045334</v>
      </c>
      <c r="Y51" s="186">
        <f t="shared" si="9"/>
        <v>-6.9379108194056904E-2</v>
      </c>
      <c r="Z51" s="183">
        <f t="shared" si="10"/>
        <v>-9.428046937216332E-2</v>
      </c>
      <c r="AA51" s="183">
        <f t="shared" si="11"/>
        <v>-3.2561961430719322E-2</v>
      </c>
      <c r="AB51" s="183">
        <f t="shared" si="12"/>
        <v>5.7449435829252327E-2</v>
      </c>
      <c r="AC51" s="341">
        <f t="shared" si="13"/>
        <v>6.9379108194056904E-2</v>
      </c>
    </row>
    <row r="52" spans="1:29" x14ac:dyDescent="0.25">
      <c r="A52" s="180" t="s">
        <v>1837</v>
      </c>
      <c r="B52" s="181">
        <v>26037.711699999996</v>
      </c>
      <c r="C52" s="181">
        <v>33255.408738095226</v>
      </c>
      <c r="D52" s="181">
        <v>4175.1029833333332</v>
      </c>
      <c r="E52" s="181">
        <v>385.32780000000002</v>
      </c>
      <c r="F52" s="181">
        <v>620.0576721428572</v>
      </c>
      <c r="G52" s="181">
        <v>2865880.0970800002</v>
      </c>
      <c r="H52" s="181">
        <v>13151.685485714286</v>
      </c>
      <c r="I52" s="37">
        <f t="shared" si="14"/>
        <v>5.0325846073216995</v>
      </c>
      <c r="J52" s="37">
        <f t="shared" si="15"/>
        <v>2.6037711699999998E-5</v>
      </c>
      <c r="K52" s="37">
        <f t="shared" si="16"/>
        <v>1.3967271669999994</v>
      </c>
      <c r="L52" s="37">
        <f t="shared" si="17"/>
        <v>0.17535432529999997</v>
      </c>
      <c r="M52" s="37">
        <f t="shared" si="18"/>
        <v>1.6183767599999999E-2</v>
      </c>
      <c r="N52" s="37">
        <f t="shared" si="18"/>
        <v>2.6042422230000001E-2</v>
      </c>
      <c r="O52" s="37">
        <f t="shared" si="19"/>
        <v>2.8658800970800002</v>
      </c>
      <c r="P52" s="37">
        <f t="shared" si="20"/>
        <v>0.55237079040000003</v>
      </c>
      <c r="Q52" s="37">
        <f t="shared" si="7"/>
        <v>2.1666784725299997</v>
      </c>
      <c r="R52" s="37">
        <f t="shared" si="8"/>
        <v>5.0325846073216995</v>
      </c>
      <c r="S52" s="183">
        <v>5.0160944446169093</v>
      </c>
      <c r="T52" s="183">
        <v>3.5153126245123782E-2</v>
      </c>
      <c r="U52" s="183">
        <v>2.1817340869501405</v>
      </c>
      <c r="V52" s="183">
        <v>2.799207231421645</v>
      </c>
      <c r="W52" s="183">
        <v>0</v>
      </c>
      <c r="X52" s="37">
        <v>5.0325846073217013</v>
      </c>
      <c r="Y52" s="186">
        <f t="shared" si="9"/>
        <v>1.6490162704790201E-2</v>
      </c>
      <c r="Z52" s="183">
        <f t="shared" si="10"/>
        <v>-3.5083692347257119E-2</v>
      </c>
      <c r="AA52" s="183">
        <f t="shared" si="11"/>
        <v>-1.5055614420140806E-2</v>
      </c>
      <c r="AB52" s="183">
        <f t="shared" si="12"/>
        <v>6.6672865658355285E-2</v>
      </c>
      <c r="AC52" s="341">
        <f t="shared" si="13"/>
        <v>1.6490162704790201E-2</v>
      </c>
    </row>
    <row r="53" spans="1:29" x14ac:dyDescent="0.25">
      <c r="A53" s="180" t="s">
        <v>1838</v>
      </c>
      <c r="B53" s="181">
        <v>36452.796379999992</v>
      </c>
      <c r="C53" s="181">
        <v>33133.18365238094</v>
      </c>
      <c r="D53" s="181">
        <v>3720.7873694444447</v>
      </c>
      <c r="E53" s="181">
        <v>247.005</v>
      </c>
      <c r="F53" s="181">
        <v>679.51525714285719</v>
      </c>
      <c r="G53" s="181">
        <v>3371326.9990400001</v>
      </c>
      <c r="H53" s="181">
        <v>9386.03194920635</v>
      </c>
      <c r="I53" s="37">
        <f t="shared" si="14"/>
        <v>5.3523574274197134</v>
      </c>
      <c r="J53" s="37">
        <f t="shared" si="15"/>
        <v>3.6452796379999993E-5</v>
      </c>
      <c r="K53" s="37">
        <f t="shared" si="16"/>
        <v>1.3915937133999994</v>
      </c>
      <c r="L53" s="37">
        <f t="shared" si="17"/>
        <v>0.15627306951666667</v>
      </c>
      <c r="M53" s="37">
        <f t="shared" si="18"/>
        <v>1.037421E-2</v>
      </c>
      <c r="N53" s="37">
        <f t="shared" si="18"/>
        <v>2.8539640800000002E-2</v>
      </c>
      <c r="O53" s="37">
        <f t="shared" si="19"/>
        <v>3.3713269990399999</v>
      </c>
      <c r="P53" s="37">
        <f t="shared" si="20"/>
        <v>0.39421334186666668</v>
      </c>
      <c r="Q53" s="37">
        <f t="shared" si="7"/>
        <v>1.9809939755833328</v>
      </c>
      <c r="R53" s="37">
        <f t="shared" si="8"/>
        <v>5.3523574274197125</v>
      </c>
      <c r="S53" s="183">
        <v>5.3484329327599989</v>
      </c>
      <c r="T53" s="183">
        <v>4.9702983247130073E-2</v>
      </c>
      <c r="U53" s="183">
        <v>1.9859143332480593</v>
      </c>
      <c r="V53" s="183">
        <v>3.3128156162648099</v>
      </c>
      <c r="W53" s="183">
        <v>0</v>
      </c>
      <c r="X53" s="37">
        <v>5.3523574274197134</v>
      </c>
      <c r="Y53" s="186">
        <f t="shared" si="9"/>
        <v>3.9244946597136732E-3</v>
      </c>
      <c r="Z53" s="183">
        <f t="shared" si="10"/>
        <v>-4.9676945535430075E-2</v>
      </c>
      <c r="AA53" s="183">
        <f t="shared" si="11"/>
        <v>-4.9203576647265379E-3</v>
      </c>
      <c r="AB53" s="183">
        <f t="shared" si="12"/>
        <v>5.8511382775189968E-2</v>
      </c>
      <c r="AC53" s="341">
        <f t="shared" si="13"/>
        <v>3.9244946597136732E-3</v>
      </c>
    </row>
    <row r="54" spans="1:29" x14ac:dyDescent="0.25">
      <c r="A54" s="180" t="s">
        <v>1839</v>
      </c>
      <c r="B54" s="181">
        <v>0</v>
      </c>
      <c r="C54" s="181">
        <v>24791.321552380945</v>
      </c>
      <c r="D54" s="181">
        <v>4313.1229166666672</v>
      </c>
      <c r="E54" s="181">
        <v>197.60400000000001</v>
      </c>
      <c r="F54" s="181">
        <v>671.02131642857148</v>
      </c>
      <c r="G54" s="181">
        <v>3963271.59228</v>
      </c>
      <c r="H54" s="181">
        <v>10712.441254603174</v>
      </c>
      <c r="I54" s="37">
        <f t="shared" si="14"/>
        <v>5.672063055963334</v>
      </c>
      <c r="J54" s="37">
        <f t="shared" si="15"/>
        <v>0</v>
      </c>
      <c r="K54" s="37">
        <f t="shared" si="16"/>
        <v>1.0412355051999995</v>
      </c>
      <c r="L54" s="37">
        <f t="shared" si="17"/>
        <v>0.18115116250000002</v>
      </c>
      <c r="M54" s="37">
        <f t="shared" si="18"/>
        <v>8.2993679999999997E-3</v>
      </c>
      <c r="N54" s="37">
        <f t="shared" si="18"/>
        <v>2.8182895289999999E-2</v>
      </c>
      <c r="O54" s="37">
        <f t="shared" si="19"/>
        <v>3.9632715922799999</v>
      </c>
      <c r="P54" s="37">
        <f t="shared" si="20"/>
        <v>0.44992253269333332</v>
      </c>
      <c r="Q54" s="37">
        <f t="shared" si="7"/>
        <v>1.7087914636833328</v>
      </c>
      <c r="R54" s="37">
        <f t="shared" si="8"/>
        <v>5.6720630559633332</v>
      </c>
      <c r="S54" s="183">
        <v>5.5954704389832877</v>
      </c>
      <c r="T54" s="183">
        <v>0</v>
      </c>
      <c r="U54" s="183">
        <v>1.7111962503367328</v>
      </c>
      <c r="V54" s="183">
        <v>3.8842741886465557</v>
      </c>
      <c r="W54" s="183">
        <v>0</v>
      </c>
      <c r="X54" s="37">
        <v>5.6720630559633332</v>
      </c>
      <c r="Y54" s="186">
        <f t="shared" si="9"/>
        <v>7.6592616980045491E-2</v>
      </c>
      <c r="Z54" s="183">
        <f t="shared" si="10"/>
        <v>3.6452796379999993E-5</v>
      </c>
      <c r="AA54" s="183">
        <f t="shared" si="11"/>
        <v>-2.4047866534000484E-3</v>
      </c>
      <c r="AB54" s="183">
        <f t="shared" si="12"/>
        <v>7.8997403633444208E-2</v>
      </c>
      <c r="AC54" s="341">
        <f t="shared" si="13"/>
        <v>7.6592616980045491E-2</v>
      </c>
    </row>
    <row r="55" spans="1:29" x14ac:dyDescent="0.25">
      <c r="A55" s="180" t="s">
        <v>1840</v>
      </c>
      <c r="B55" s="181">
        <v>0</v>
      </c>
      <c r="C55" s="181">
        <v>32257.237204761896</v>
      </c>
      <c r="D55" s="181">
        <v>3720.7873694444447</v>
      </c>
      <c r="E55" s="181">
        <v>167.96340000000001</v>
      </c>
      <c r="F55" s="181">
        <v>688.00919785714291</v>
      </c>
      <c r="G55" s="181">
        <v>3921776.8189599998</v>
      </c>
      <c r="H55" s="181">
        <v>7913.4928050793651</v>
      </c>
      <c r="I55" s="37">
        <f t="shared" si="14"/>
        <v>5.8011713980000001</v>
      </c>
      <c r="J55" s="37">
        <f t="shared" si="15"/>
        <v>0</v>
      </c>
      <c r="K55" s="37">
        <f t="shared" si="16"/>
        <v>1.3548039625999995</v>
      </c>
      <c r="L55" s="37">
        <f t="shared" si="17"/>
        <v>0.15627306951666667</v>
      </c>
      <c r="M55" s="37">
        <f t="shared" si="18"/>
        <v>7.0544628000000003E-3</v>
      </c>
      <c r="N55" s="37">
        <f t="shared" si="18"/>
        <v>2.8896386310000001E-2</v>
      </c>
      <c r="O55" s="37">
        <f t="shared" si="19"/>
        <v>3.9217768189599997</v>
      </c>
      <c r="P55" s="37">
        <f t="shared" si="20"/>
        <v>0.33236669781333333</v>
      </c>
      <c r="Q55" s="37">
        <f t="shared" si="7"/>
        <v>1.8793945790399995</v>
      </c>
      <c r="R55" s="37">
        <f t="shared" si="8"/>
        <v>5.8011713979999993</v>
      </c>
      <c r="S55" s="183">
        <v>5.7930992378099821</v>
      </c>
      <c r="T55" s="183">
        <v>0</v>
      </c>
      <c r="U55" s="183">
        <v>1.8805976236195598</v>
      </c>
      <c r="V55" s="183">
        <v>3.9125016141904223</v>
      </c>
      <c r="W55" s="183">
        <v>0</v>
      </c>
      <c r="X55" s="37">
        <v>5.8011713980000001</v>
      </c>
      <c r="Y55" s="186">
        <f t="shared" si="9"/>
        <v>8.0721601900171081E-3</v>
      </c>
      <c r="Z55" s="183">
        <f t="shared" si="10"/>
        <v>0</v>
      </c>
      <c r="AA55" s="183">
        <f t="shared" si="11"/>
        <v>-1.2030445795603306E-3</v>
      </c>
      <c r="AB55" s="183">
        <f t="shared" si="12"/>
        <v>9.2752047695774387E-3</v>
      </c>
      <c r="AC55" s="341">
        <f t="shared" si="13"/>
        <v>8.0721601900171081E-3</v>
      </c>
    </row>
    <row r="56" spans="1:29" x14ac:dyDescent="0.25">
      <c r="A56" s="180" t="s">
        <v>1841</v>
      </c>
      <c r="B56" s="181">
        <v>0</v>
      </c>
      <c r="C56" s="181">
        <v>55388.334676190461</v>
      </c>
      <c r="D56" s="181">
        <v>3346.9833833333337</v>
      </c>
      <c r="E56" s="181">
        <v>464.36940000000004</v>
      </c>
      <c r="F56" s="181">
        <v>407.70915428571436</v>
      </c>
      <c r="G56" s="181">
        <v>3949567.90228</v>
      </c>
      <c r="H56" s="181">
        <v>6204.897767619048</v>
      </c>
      <c r="I56" s="37">
        <f t="shared" si="14"/>
        <v>6.7136842662999996</v>
      </c>
      <c r="J56" s="37">
        <f t="shared" si="15"/>
        <v>0</v>
      </c>
      <c r="K56" s="37">
        <f t="shared" si="16"/>
        <v>2.3263100563999992</v>
      </c>
      <c r="L56" s="37">
        <f t="shared" si="17"/>
        <v>0.14057330210000002</v>
      </c>
      <c r="M56" s="37">
        <f t="shared" si="18"/>
        <v>1.95035148E-2</v>
      </c>
      <c r="N56" s="37">
        <f t="shared" si="18"/>
        <v>1.7123784480000001E-2</v>
      </c>
      <c r="O56" s="37">
        <f t="shared" si="19"/>
        <v>3.9495679022799997</v>
      </c>
      <c r="P56" s="37">
        <f t="shared" si="20"/>
        <v>0.26060570624000001</v>
      </c>
      <c r="Q56" s="37">
        <f t="shared" si="7"/>
        <v>2.7641163640199991</v>
      </c>
      <c r="R56" s="37">
        <f t="shared" si="8"/>
        <v>6.7136842662999987</v>
      </c>
      <c r="S56" s="183">
        <v>6.7205520029870893</v>
      </c>
      <c r="T56" s="183">
        <v>0</v>
      </c>
      <c r="U56" s="183">
        <v>2.7674224987085783</v>
      </c>
      <c r="V56" s="183">
        <v>3.9531295042785106</v>
      </c>
      <c r="W56" s="183">
        <v>0</v>
      </c>
      <c r="X56" s="37">
        <v>6.7136842662999996</v>
      </c>
      <c r="Y56" s="186">
        <f t="shared" si="9"/>
        <v>-6.8677366870906198E-3</v>
      </c>
      <c r="Z56" s="183">
        <f t="shared" si="10"/>
        <v>0</v>
      </c>
      <c r="AA56" s="183">
        <f t="shared" si="11"/>
        <v>-3.3061346885792098E-3</v>
      </c>
      <c r="AB56" s="183">
        <f t="shared" si="12"/>
        <v>-3.5616019985109659E-3</v>
      </c>
      <c r="AC56" s="341">
        <f t="shared" si="13"/>
        <v>6.8677366870906198E-3</v>
      </c>
    </row>
    <row r="57" spans="1:29" x14ac:dyDescent="0.25">
      <c r="A57" s="180" t="s">
        <v>1842</v>
      </c>
      <c r="B57" s="181">
        <v>0</v>
      </c>
      <c r="C57" s="181">
        <v>36596.227747619036</v>
      </c>
      <c r="D57" s="181">
        <v>3709.2857083333333</v>
      </c>
      <c r="E57" s="181">
        <v>59.281199999999998</v>
      </c>
      <c r="F57" s="181">
        <v>1240.1153442857144</v>
      </c>
      <c r="G57" s="181">
        <v>4443722.96368</v>
      </c>
      <c r="H57" s="181">
        <v>3821.8573206349206</v>
      </c>
      <c r="I57" s="37">
        <f t="shared" si="14"/>
        <v>6.3516471911566654</v>
      </c>
      <c r="J57" s="37">
        <f t="shared" si="15"/>
        <v>0</v>
      </c>
      <c r="K57" s="37">
        <f t="shared" si="16"/>
        <v>1.5370415653999994</v>
      </c>
      <c r="L57" s="37">
        <f t="shared" si="17"/>
        <v>0.15578999974999999</v>
      </c>
      <c r="M57" s="37">
        <f t="shared" si="18"/>
        <v>2.4898104E-3</v>
      </c>
      <c r="N57" s="37">
        <f t="shared" si="18"/>
        <v>5.2084844460000002E-2</v>
      </c>
      <c r="O57" s="37">
        <f t="shared" si="19"/>
        <v>4.44372296368</v>
      </c>
      <c r="P57" s="37">
        <f t="shared" si="20"/>
        <v>0.16051800746666667</v>
      </c>
      <c r="Q57" s="37">
        <f t="shared" si="7"/>
        <v>1.9079242274766659</v>
      </c>
      <c r="R57" s="37">
        <f t="shared" si="8"/>
        <v>6.3516471911566654</v>
      </c>
      <c r="S57" s="183">
        <v>6.3331977627934153</v>
      </c>
      <c r="T57" s="183">
        <v>0</v>
      </c>
      <c r="U57" s="183">
        <v>1.9049327883520382</v>
      </c>
      <c r="V57" s="183">
        <v>4.4282649744413778</v>
      </c>
      <c r="W57" s="183">
        <v>0</v>
      </c>
      <c r="X57" s="37">
        <v>6.3516471911566672</v>
      </c>
      <c r="Y57" s="186">
        <f t="shared" si="9"/>
        <v>1.8449428363250142E-2</v>
      </c>
      <c r="Z57" s="183">
        <f t="shared" si="10"/>
        <v>0</v>
      </c>
      <c r="AA57" s="183">
        <f t="shared" si="11"/>
        <v>2.9914391246277372E-3</v>
      </c>
      <c r="AB57" s="183">
        <f t="shared" si="12"/>
        <v>1.5457989238622183E-2</v>
      </c>
      <c r="AC57" s="341">
        <f t="shared" si="13"/>
        <v>1.8449428363250142E-2</v>
      </c>
    </row>
    <row r="58" spans="1:29" x14ac:dyDescent="0.25">
      <c r="A58" s="180" t="s">
        <v>1843</v>
      </c>
      <c r="B58" s="181">
        <v>0</v>
      </c>
      <c r="C58" s="181">
        <v>23080.170352380945</v>
      </c>
      <c r="D58" s="181">
        <v>3392.9900277777779</v>
      </c>
      <c r="E58" s="181">
        <v>9.8802000000000003</v>
      </c>
      <c r="F58" s="181">
        <v>365.23945071428574</v>
      </c>
      <c r="G58" s="181">
        <v>4003670.0704000001</v>
      </c>
      <c r="H58" s="181">
        <v>2472.9665015873015</v>
      </c>
      <c r="I58" s="37">
        <f t="shared" si="14"/>
        <v>5.2351624247633337</v>
      </c>
      <c r="J58" s="37">
        <f t="shared" si="15"/>
        <v>0</v>
      </c>
      <c r="K58" s="37">
        <f t="shared" si="16"/>
        <v>0.96936715479999958</v>
      </c>
      <c r="L58" s="37">
        <f t="shared" si="17"/>
        <v>0.14250558116666667</v>
      </c>
      <c r="M58" s="37">
        <f t="shared" si="18"/>
        <v>4.1496840000000002E-4</v>
      </c>
      <c r="N58" s="37">
        <f t="shared" si="18"/>
        <v>1.534005693E-2</v>
      </c>
      <c r="O58" s="37">
        <f t="shared" si="19"/>
        <v>4.0036700704000001</v>
      </c>
      <c r="P58" s="37">
        <f t="shared" si="20"/>
        <v>0.10386459306666666</v>
      </c>
      <c r="Q58" s="37">
        <f t="shared" si="7"/>
        <v>1.2314923543633329</v>
      </c>
      <c r="R58" s="37">
        <f t="shared" si="8"/>
        <v>5.2351624247633328</v>
      </c>
      <c r="S58" s="183">
        <v>5.2380301223549299</v>
      </c>
      <c r="T58" s="183">
        <v>0</v>
      </c>
      <c r="U58" s="183">
        <v>1.2301488243819914</v>
      </c>
      <c r="V58" s="183">
        <v>4.0078812979729381</v>
      </c>
      <c r="W58" s="183">
        <v>0</v>
      </c>
      <c r="X58" s="37">
        <v>5.2351624247633337</v>
      </c>
      <c r="Y58" s="186">
        <f t="shared" si="9"/>
        <v>-2.867697591597107E-3</v>
      </c>
      <c r="Z58" s="183">
        <f t="shared" si="10"/>
        <v>0</v>
      </c>
      <c r="AA58" s="183">
        <f t="shared" si="11"/>
        <v>1.3435299813415735E-3</v>
      </c>
      <c r="AB58" s="183">
        <f t="shared" si="12"/>
        <v>-4.2112275729380144E-3</v>
      </c>
      <c r="AC58" s="341">
        <f t="shared" si="13"/>
        <v>2.867697591597107E-3</v>
      </c>
    </row>
    <row r="59" spans="1:29" x14ac:dyDescent="0.25">
      <c r="A59" s="180" t="s">
        <v>1844</v>
      </c>
      <c r="B59" s="181">
        <v>0</v>
      </c>
      <c r="C59" s="181">
        <v>23793.150019047611</v>
      </c>
      <c r="D59" s="181">
        <v>4192.3554750000003</v>
      </c>
      <c r="E59" s="181">
        <v>19.760400000000001</v>
      </c>
      <c r="F59" s="181">
        <v>399.21521357142859</v>
      </c>
      <c r="G59" s="181">
        <v>5469471.5675600003</v>
      </c>
      <c r="H59" s="181">
        <v>2495.4480152380952</v>
      </c>
      <c r="I59" s="37">
        <f t="shared" si="14"/>
        <v>6.7672685907200005</v>
      </c>
      <c r="J59" s="37">
        <f t="shared" si="15"/>
        <v>0</v>
      </c>
      <c r="K59" s="37">
        <f t="shared" si="16"/>
        <v>0.99931230079999955</v>
      </c>
      <c r="L59" s="37">
        <f t="shared" si="17"/>
        <v>0.17607892994999999</v>
      </c>
      <c r="M59" s="37">
        <f t="shared" si="18"/>
        <v>8.2993680000000003E-4</v>
      </c>
      <c r="N59" s="37">
        <f t="shared" si="18"/>
        <v>1.6767038969999998E-2</v>
      </c>
      <c r="O59" s="37">
        <f t="shared" si="19"/>
        <v>5.4694715675600003</v>
      </c>
      <c r="P59" s="37">
        <f t="shared" si="20"/>
        <v>0.10480881664</v>
      </c>
      <c r="Q59" s="37">
        <f t="shared" si="7"/>
        <v>1.2977970231599996</v>
      </c>
      <c r="R59" s="37">
        <f t="shared" si="8"/>
        <v>6.7672685907199996</v>
      </c>
      <c r="S59" s="183">
        <v>6.7611893496847895</v>
      </c>
      <c r="T59" s="183">
        <v>0</v>
      </c>
      <c r="U59" s="183">
        <v>1.2963482585676289</v>
      </c>
      <c r="V59" s="183">
        <v>5.4648410911171599</v>
      </c>
      <c r="W59" s="183">
        <v>0</v>
      </c>
      <c r="X59" s="37">
        <v>6.7672685907200014</v>
      </c>
      <c r="Y59" s="186">
        <f t="shared" si="9"/>
        <v>6.0792410352101811E-3</v>
      </c>
      <c r="Z59" s="183">
        <f t="shared" si="10"/>
        <v>0</v>
      </c>
      <c r="AA59" s="183">
        <f t="shared" si="11"/>
        <v>1.4487645923706438E-3</v>
      </c>
      <c r="AB59" s="183">
        <f t="shared" si="12"/>
        <v>4.6304764428404255E-3</v>
      </c>
      <c r="AC59" s="341">
        <f t="shared" si="13"/>
        <v>6.0792410352101811E-3</v>
      </c>
    </row>
    <row r="60" spans="1:29" x14ac:dyDescent="0.25">
      <c r="A60" s="180" t="s">
        <v>1845</v>
      </c>
      <c r="B60" s="181">
        <v>0</v>
      </c>
      <c r="C60" s="181">
        <v>26879.333433333326</v>
      </c>
      <c r="D60" s="181">
        <v>4612.166105555556</v>
      </c>
      <c r="E60" s="181">
        <v>128.4426</v>
      </c>
      <c r="F60" s="181">
        <v>390.72127285714288</v>
      </c>
      <c r="G60" s="181">
        <v>5799456.4227599995</v>
      </c>
      <c r="H60" s="181">
        <v>1506.2614146031747</v>
      </c>
      <c r="I60" s="37">
        <f t="shared" si="14"/>
        <v>7.2071672654666656</v>
      </c>
      <c r="J60" s="37">
        <f t="shared" si="15"/>
        <v>0</v>
      </c>
      <c r="K60" s="37">
        <f t="shared" si="16"/>
        <v>1.1289320041999997</v>
      </c>
      <c r="L60" s="37">
        <f t="shared" si="17"/>
        <v>0.19371097643333335</v>
      </c>
      <c r="M60" s="37">
        <f t="shared" si="18"/>
        <v>5.3945892E-3</v>
      </c>
      <c r="N60" s="37">
        <f t="shared" si="18"/>
        <v>1.6410293459999999E-2</v>
      </c>
      <c r="O60" s="37">
        <f t="shared" si="19"/>
        <v>5.7994564227599996</v>
      </c>
      <c r="P60" s="37">
        <f t="shared" si="20"/>
        <v>6.3262979413333337E-2</v>
      </c>
      <c r="Q60" s="37">
        <f t="shared" si="7"/>
        <v>1.4077108427066662</v>
      </c>
      <c r="R60" s="37">
        <f t="shared" si="8"/>
        <v>7.2071672654666656</v>
      </c>
      <c r="S60" s="183">
        <v>7.1448860839636392</v>
      </c>
      <c r="T60" s="183">
        <v>0</v>
      </c>
      <c r="U60" s="183">
        <v>1.4060573164101322</v>
      </c>
      <c r="V60" s="183">
        <v>5.7388287675535068</v>
      </c>
      <c r="W60" s="183">
        <v>0</v>
      </c>
      <c r="X60" s="37">
        <v>7.2071672654666665</v>
      </c>
      <c r="Y60" s="186">
        <f t="shared" si="9"/>
        <v>6.2281181503026417E-2</v>
      </c>
      <c r="Z60" s="183">
        <f t="shared" si="10"/>
        <v>0</v>
      </c>
      <c r="AA60" s="183">
        <f t="shared" si="11"/>
        <v>1.6535262965340358E-3</v>
      </c>
      <c r="AB60" s="183">
        <f t="shared" si="12"/>
        <v>6.0627655206492825E-2</v>
      </c>
      <c r="AC60" s="341">
        <f t="shared" si="13"/>
        <v>6.2281181503026417E-2</v>
      </c>
    </row>
    <row r="61" spans="1:29" x14ac:dyDescent="0.25">
      <c r="A61" s="180" t="s">
        <v>1846</v>
      </c>
      <c r="B61" s="181">
        <v>0</v>
      </c>
      <c r="C61" s="181">
        <v>27419.160895238088</v>
      </c>
      <c r="D61" s="181">
        <v>4232.6112888888892</v>
      </c>
      <c r="E61" s="181">
        <v>128.4426</v>
      </c>
      <c r="F61" s="181">
        <v>11789.589711428573</v>
      </c>
      <c r="G61" s="181">
        <v>5764923.1239599995</v>
      </c>
      <c r="H61" s="181">
        <v>573.27859809523807</v>
      </c>
      <c r="I61" s="37">
        <f t="shared" si="14"/>
        <v>7.6189326138933327</v>
      </c>
      <c r="J61" s="37">
        <f t="shared" si="15"/>
        <v>0</v>
      </c>
      <c r="K61" s="37">
        <f t="shared" si="16"/>
        <v>1.1516047575999997</v>
      </c>
      <c r="L61" s="37">
        <f t="shared" si="17"/>
        <v>0.17776967413333333</v>
      </c>
      <c r="M61" s="37">
        <f t="shared" si="18"/>
        <v>5.3945892E-3</v>
      </c>
      <c r="N61" s="37">
        <f t="shared" si="18"/>
        <v>0.49516276788000002</v>
      </c>
      <c r="O61" s="37">
        <f t="shared" si="19"/>
        <v>5.7649231239599992</v>
      </c>
      <c r="P61" s="37">
        <f t="shared" si="20"/>
        <v>2.4077701119999996E-2</v>
      </c>
      <c r="Q61" s="37">
        <f t="shared" si="7"/>
        <v>1.854009489933333</v>
      </c>
      <c r="R61" s="37">
        <f t="shared" si="8"/>
        <v>7.6189326138933318</v>
      </c>
      <c r="S61" s="183">
        <v>7.545627367910976</v>
      </c>
      <c r="T61" s="183">
        <v>0</v>
      </c>
      <c r="U61" s="183">
        <v>1.8175385997979567</v>
      </c>
      <c r="V61" s="183">
        <v>5.728088768113019</v>
      </c>
      <c r="W61" s="183">
        <v>0</v>
      </c>
      <c r="X61" s="37">
        <v>7.6189326138933327</v>
      </c>
      <c r="Y61" s="186">
        <f t="shared" si="9"/>
        <v>7.3305245982355771E-2</v>
      </c>
      <c r="Z61" s="183">
        <f t="shared" si="10"/>
        <v>0</v>
      </c>
      <c r="AA61" s="183">
        <f t="shared" si="11"/>
        <v>3.6470890135376299E-2</v>
      </c>
      <c r="AB61" s="183">
        <f t="shared" si="12"/>
        <v>3.6834355846980138E-2</v>
      </c>
      <c r="AC61" s="341">
        <f t="shared" si="13"/>
        <v>7.3305245982355771E-2</v>
      </c>
    </row>
    <row r="62" spans="1:29" x14ac:dyDescent="0.25">
      <c r="A62" s="180" t="s">
        <v>1847</v>
      </c>
      <c r="B62" s="181">
        <v>0</v>
      </c>
      <c r="C62" s="181">
        <v>14992.943847619043</v>
      </c>
      <c r="D62" s="181">
        <v>3226.2159416666668</v>
      </c>
      <c r="E62" s="181">
        <v>138.3228</v>
      </c>
      <c r="F62" s="181">
        <v>11891.517000000002</v>
      </c>
      <c r="G62" s="181">
        <v>5747327.5860000001</v>
      </c>
      <c r="H62" s="181">
        <v>348.46346158730159</v>
      </c>
      <c r="I62" s="37">
        <f t="shared" si="14"/>
        <v>7.0324210341366662</v>
      </c>
      <c r="J62" s="37">
        <f t="shared" si="15"/>
        <v>0</v>
      </c>
      <c r="K62" s="37">
        <f t="shared" si="16"/>
        <v>0.62970364159999981</v>
      </c>
      <c r="L62" s="37">
        <f t="shared" si="17"/>
        <v>0.13550106954999999</v>
      </c>
      <c r="M62" s="37">
        <f t="shared" si="18"/>
        <v>5.8095576000000001E-3</v>
      </c>
      <c r="N62" s="37">
        <f t="shared" si="18"/>
        <v>0.49944371400000004</v>
      </c>
      <c r="O62" s="37">
        <f t="shared" si="19"/>
        <v>5.7473275859999999</v>
      </c>
      <c r="P62" s="37">
        <f t="shared" si="20"/>
        <v>1.4635465386666666E-2</v>
      </c>
      <c r="Q62" s="37">
        <f t="shared" si="7"/>
        <v>1.2850934481366665</v>
      </c>
      <c r="R62" s="37">
        <f t="shared" si="8"/>
        <v>7.0324210341366662</v>
      </c>
      <c r="S62" s="183">
        <v>6.9641016411483267</v>
      </c>
      <c r="T62" s="183">
        <v>0</v>
      </c>
      <c r="U62" s="183">
        <v>1.2483947263949233</v>
      </c>
      <c r="V62" s="183">
        <v>5.7157069147534036</v>
      </c>
      <c r="W62" s="183">
        <v>0</v>
      </c>
      <c r="X62" s="37">
        <v>7.0324210341366662</v>
      </c>
      <c r="Y62" s="186">
        <f t="shared" si="9"/>
        <v>6.8319392988339445E-2</v>
      </c>
      <c r="Z62" s="183">
        <f t="shared" si="10"/>
        <v>0</v>
      </c>
      <c r="AA62" s="183">
        <f t="shared" si="11"/>
        <v>3.6698721741743157E-2</v>
      </c>
      <c r="AB62" s="183">
        <f t="shared" si="12"/>
        <v>3.1620671246596288E-2</v>
      </c>
      <c r="AC62" s="341">
        <f t="shared" si="13"/>
        <v>6.8319392988339445E-2</v>
      </c>
    </row>
    <row r="63" spans="1:29" x14ac:dyDescent="0.25">
      <c r="A63" s="180" t="s">
        <v>1848</v>
      </c>
      <c r="B63" s="181">
        <v>0</v>
      </c>
      <c r="C63" s="181">
        <v>17182.80996666666</v>
      </c>
      <c r="D63" s="181">
        <v>3237.7176027777778</v>
      </c>
      <c r="E63" s="181">
        <v>98.802000000000007</v>
      </c>
      <c r="F63" s="181">
        <v>12027.420051428573</v>
      </c>
      <c r="G63" s="181">
        <v>6000571.7772000004</v>
      </c>
      <c r="H63" s="181">
        <v>269.77816380952379</v>
      </c>
      <c r="I63" s="37">
        <f t="shared" si="14"/>
        <v>7.3788659441566677</v>
      </c>
      <c r="J63" s="37">
        <f t="shared" si="15"/>
        <v>0</v>
      </c>
      <c r="K63" s="37">
        <f t="shared" si="16"/>
        <v>0.72167801859999969</v>
      </c>
      <c r="L63" s="37">
        <f t="shared" si="17"/>
        <v>0.13598413931666667</v>
      </c>
      <c r="M63" s="37">
        <f t="shared" si="18"/>
        <v>4.1496839999999998E-3</v>
      </c>
      <c r="N63" s="37">
        <f t="shared" si="18"/>
        <v>0.50515164216000008</v>
      </c>
      <c r="O63" s="37">
        <f t="shared" si="19"/>
        <v>6.0005717772000002</v>
      </c>
      <c r="P63" s="37">
        <f t="shared" si="20"/>
        <v>1.1330682879999998E-2</v>
      </c>
      <c r="Q63" s="37">
        <f t="shared" si="7"/>
        <v>1.3782941669566666</v>
      </c>
      <c r="R63" s="37">
        <f t="shared" si="8"/>
        <v>7.3788659441566669</v>
      </c>
      <c r="S63" s="183">
        <v>7.3076283203949952</v>
      </c>
      <c r="T63" s="183">
        <v>0</v>
      </c>
      <c r="U63" s="183">
        <v>1.3407018705199198</v>
      </c>
      <c r="V63" s="183">
        <v>5.9669264498750749</v>
      </c>
      <c r="W63" s="183">
        <v>0</v>
      </c>
      <c r="X63" s="37">
        <v>7.3788659441566677</v>
      </c>
      <c r="Y63" s="186">
        <f t="shared" si="9"/>
        <v>7.1237623761671642E-2</v>
      </c>
      <c r="Z63" s="183">
        <f t="shared" si="10"/>
        <v>0</v>
      </c>
      <c r="AA63" s="183">
        <f t="shared" si="11"/>
        <v>3.7592296436746775E-2</v>
      </c>
      <c r="AB63" s="183">
        <f t="shared" si="12"/>
        <v>3.3645327324925312E-2</v>
      </c>
      <c r="AC63" s="341">
        <f t="shared" si="13"/>
        <v>7.1237623761671642E-2</v>
      </c>
    </row>
    <row r="64" spans="1:29" x14ac:dyDescent="0.25">
      <c r="A64" s="180" t="s">
        <v>1849</v>
      </c>
      <c r="B64" s="181">
        <v>0</v>
      </c>
      <c r="C64" s="181">
        <v>16266.121823809519</v>
      </c>
      <c r="D64" s="181">
        <v>5129.7408555555558</v>
      </c>
      <c r="E64" s="181">
        <v>88.921800000000005</v>
      </c>
      <c r="F64" s="181">
        <v>11950.974585000002</v>
      </c>
      <c r="G64" s="181">
        <v>6510842.3780399999</v>
      </c>
      <c r="H64" s="181">
        <v>146.12983873015872</v>
      </c>
      <c r="I64" s="37">
        <f t="shared" si="14"/>
        <v>7.921281711969999</v>
      </c>
      <c r="J64" s="37">
        <f t="shared" si="15"/>
        <v>0</v>
      </c>
      <c r="K64" s="37">
        <f t="shared" si="16"/>
        <v>0.6831771165999998</v>
      </c>
      <c r="L64" s="37">
        <f t="shared" si="17"/>
        <v>0.21544911593333332</v>
      </c>
      <c r="M64" s="37">
        <f t="shared" si="18"/>
        <v>3.7347156000000002E-3</v>
      </c>
      <c r="N64" s="37">
        <f t="shared" si="18"/>
        <v>0.50194093257000005</v>
      </c>
      <c r="O64" s="37">
        <f t="shared" si="19"/>
        <v>6.5108423780399995</v>
      </c>
      <c r="P64" s="37">
        <f t="shared" si="20"/>
        <v>6.1374532266666657E-3</v>
      </c>
      <c r="Q64" s="37">
        <f t="shared" si="7"/>
        <v>1.4104393339299999</v>
      </c>
      <c r="R64" s="37">
        <f t="shared" si="8"/>
        <v>7.9212817119699999</v>
      </c>
      <c r="S64" s="183">
        <v>7.8481931426451901</v>
      </c>
      <c r="T64" s="183">
        <v>0</v>
      </c>
      <c r="U64" s="183">
        <v>1.3740698302743068</v>
      </c>
      <c r="V64" s="183">
        <v>6.4741233123708817</v>
      </c>
      <c r="W64" s="183">
        <v>0</v>
      </c>
      <c r="X64" s="37">
        <v>7.9212817119700007</v>
      </c>
      <c r="Y64" s="186">
        <f t="shared" si="9"/>
        <v>7.3088569324809782E-2</v>
      </c>
      <c r="Z64" s="183">
        <f t="shared" si="10"/>
        <v>0</v>
      </c>
      <c r="AA64" s="183">
        <f t="shared" si="11"/>
        <v>3.6369503655693025E-2</v>
      </c>
      <c r="AB64" s="183">
        <f t="shared" si="12"/>
        <v>3.6719065669117867E-2</v>
      </c>
      <c r="AC64" s="341">
        <f t="shared" si="13"/>
        <v>7.3088569324809782E-2</v>
      </c>
    </row>
    <row r="65" spans="1:29" x14ac:dyDescent="0.25">
      <c r="A65" s="180" t="s">
        <v>1850</v>
      </c>
      <c r="B65" s="181">
        <v>0</v>
      </c>
      <c r="C65" s="181">
        <v>17396.703866666659</v>
      </c>
      <c r="D65" s="181">
        <v>4554.6578</v>
      </c>
      <c r="E65" s="181">
        <v>138.3228</v>
      </c>
      <c r="F65" s="181">
        <v>12027.420051428573</v>
      </c>
      <c r="G65" s="181">
        <v>6660980.0056800004</v>
      </c>
      <c r="H65" s="181">
        <v>224.81513650793653</v>
      </c>
      <c r="I65" s="37">
        <f t="shared" si="14"/>
        <v>8.1033406311733334</v>
      </c>
      <c r="J65" s="37">
        <f t="shared" si="15"/>
        <v>0</v>
      </c>
      <c r="K65" s="37">
        <f t="shared" si="16"/>
        <v>0.73066156239999969</v>
      </c>
      <c r="L65" s="37">
        <f t="shared" si="17"/>
        <v>0.19129562759999999</v>
      </c>
      <c r="M65" s="37">
        <f t="shared" si="18"/>
        <v>5.8095576000000001E-3</v>
      </c>
      <c r="N65" s="37">
        <f t="shared" si="18"/>
        <v>0.50515164216000008</v>
      </c>
      <c r="O65" s="37">
        <f t="shared" si="19"/>
        <v>6.6609800056799999</v>
      </c>
      <c r="P65" s="37">
        <f t="shared" si="20"/>
        <v>9.4422357333333335E-3</v>
      </c>
      <c r="Q65" s="37">
        <f t="shared" si="7"/>
        <v>1.442360625493333</v>
      </c>
      <c r="R65" s="37">
        <f t="shared" si="8"/>
        <v>8.1033406311733334</v>
      </c>
      <c r="S65" s="183">
        <v>8.0254561539310512</v>
      </c>
      <c r="T65" s="183">
        <v>0</v>
      </c>
      <c r="U65" s="183">
        <v>1.4048561007690061</v>
      </c>
      <c r="V65" s="183">
        <v>6.620600053162045</v>
      </c>
      <c r="W65" s="183">
        <v>0</v>
      </c>
      <c r="X65" s="37">
        <v>8.1033406311733334</v>
      </c>
      <c r="Y65" s="186">
        <f t="shared" si="9"/>
        <v>7.7884477242282202E-2</v>
      </c>
      <c r="Z65" s="183">
        <f t="shared" si="10"/>
        <v>0</v>
      </c>
      <c r="AA65" s="183">
        <f t="shared" si="11"/>
        <v>3.750452472432686E-2</v>
      </c>
      <c r="AB65" s="183">
        <f t="shared" si="12"/>
        <v>4.0379952517954898E-2</v>
      </c>
      <c r="AC65" s="341">
        <f t="shared" si="13"/>
        <v>7.7884477242282202E-2</v>
      </c>
    </row>
    <row r="66" spans="1:29" x14ac:dyDescent="0.25">
      <c r="A66" s="180" t="s">
        <v>1851</v>
      </c>
      <c r="B66" s="181">
        <v>0</v>
      </c>
      <c r="C66" s="181">
        <v>12976.229933333329</v>
      </c>
      <c r="D66" s="181">
        <v>5440.285705555556</v>
      </c>
      <c r="E66" s="181">
        <v>167.96340000000001</v>
      </c>
      <c r="F66" s="181">
        <v>12137.841280714287</v>
      </c>
      <c r="G66" s="181">
        <v>6009068.0650000004</v>
      </c>
      <c r="H66" s="181">
        <v>370.94497523809525</v>
      </c>
      <c r="I66" s="37">
        <f t="shared" si="14"/>
        <v>7.3149852073833328</v>
      </c>
      <c r="J66" s="37">
        <f t="shared" si="15"/>
        <v>0</v>
      </c>
      <c r="K66" s="37">
        <f t="shared" si="16"/>
        <v>0.54500165719999982</v>
      </c>
      <c r="L66" s="37">
        <f t="shared" si="17"/>
        <v>0.22849199963333333</v>
      </c>
      <c r="M66" s="37">
        <f t="shared" si="18"/>
        <v>7.0544628000000003E-3</v>
      </c>
      <c r="N66" s="37">
        <f t="shared" si="18"/>
        <v>0.50978933379000002</v>
      </c>
      <c r="O66" s="37">
        <f t="shared" si="19"/>
        <v>6.0090680650000001</v>
      </c>
      <c r="P66" s="37">
        <f t="shared" si="20"/>
        <v>1.5579688959999999E-2</v>
      </c>
      <c r="Q66" s="37">
        <f t="shared" si="7"/>
        <v>1.3059171423833331</v>
      </c>
      <c r="R66" s="37">
        <f t="shared" si="8"/>
        <v>7.3149852073833337</v>
      </c>
      <c r="S66" s="183">
        <v>7.2205112279485109</v>
      </c>
      <c r="T66" s="183">
        <v>0</v>
      </c>
      <c r="U66" s="183">
        <v>1.2675134722255061</v>
      </c>
      <c r="V66" s="183">
        <v>5.952997755723004</v>
      </c>
      <c r="W66" s="183">
        <v>0</v>
      </c>
      <c r="X66" s="37">
        <v>7.3149852073833328</v>
      </c>
      <c r="Y66" s="186">
        <f t="shared" si="9"/>
        <v>9.447397943482283E-2</v>
      </c>
      <c r="Z66" s="183">
        <f t="shared" si="10"/>
        <v>0</v>
      </c>
      <c r="AA66" s="183">
        <f t="shared" si="11"/>
        <v>3.8403670157826975E-2</v>
      </c>
      <c r="AB66" s="183">
        <f t="shared" si="12"/>
        <v>5.6070309276996078E-2</v>
      </c>
      <c r="AC66" s="341">
        <f t="shared" si="13"/>
        <v>9.447397943482283E-2</v>
      </c>
    </row>
    <row r="67" spans="1:29" x14ac:dyDescent="0.25">
      <c r="A67" s="180" t="s">
        <v>1852</v>
      </c>
      <c r="B67" s="181">
        <v>0</v>
      </c>
      <c r="C67" s="181">
        <v>23986.673071428562</v>
      </c>
      <c r="D67" s="181">
        <v>5986.6146083333333</v>
      </c>
      <c r="E67" s="181">
        <v>98.802000000000007</v>
      </c>
      <c r="F67" s="181">
        <v>12273.744332142858</v>
      </c>
      <c r="G67" s="181">
        <v>5659952.8585599996</v>
      </c>
      <c r="H67" s="181">
        <v>213.5743796825397</v>
      </c>
      <c r="I67" s="37">
        <f t="shared" si="14"/>
        <v>7.4474480110066663</v>
      </c>
      <c r="J67" s="37">
        <f t="shared" si="15"/>
        <v>0</v>
      </c>
      <c r="K67" s="37">
        <f t="shared" si="16"/>
        <v>1.0074402689999995</v>
      </c>
      <c r="L67" s="37">
        <f t="shared" si="17"/>
        <v>0.25143781355</v>
      </c>
      <c r="M67" s="37">
        <f t="shared" si="18"/>
        <v>4.1496839999999998E-3</v>
      </c>
      <c r="N67" s="37">
        <f t="shared" si="18"/>
        <v>0.51549726195000001</v>
      </c>
      <c r="O67" s="37">
        <f t="shared" si="19"/>
        <v>5.6599528585599996</v>
      </c>
      <c r="P67" s="37">
        <f t="shared" si="20"/>
        <v>8.9701239466666669E-3</v>
      </c>
      <c r="Q67" s="37">
        <f t="shared" si="7"/>
        <v>1.7874951524466662</v>
      </c>
      <c r="R67" s="37">
        <f t="shared" si="8"/>
        <v>7.4474480110066654</v>
      </c>
      <c r="S67" s="183">
        <v>7.3492946038554301</v>
      </c>
      <c r="T67" s="183">
        <v>0</v>
      </c>
      <c r="U67" s="183">
        <v>1.7490464101547694</v>
      </c>
      <c r="V67" s="183">
        <v>5.6002481937006605</v>
      </c>
      <c r="W67" s="183">
        <v>0</v>
      </c>
      <c r="X67" s="37">
        <v>7.4474480110066663</v>
      </c>
      <c r="Y67" s="186">
        <f t="shared" si="9"/>
        <v>9.8153407151235328E-2</v>
      </c>
      <c r="Z67" s="183">
        <f t="shared" si="10"/>
        <v>0</v>
      </c>
      <c r="AA67" s="183">
        <f t="shared" si="11"/>
        <v>3.8448742291896876E-2</v>
      </c>
      <c r="AB67" s="183">
        <f t="shared" si="12"/>
        <v>5.9704664859339118E-2</v>
      </c>
      <c r="AC67" s="341">
        <f t="shared" si="13"/>
        <v>9.8153407151235328E-2</v>
      </c>
    </row>
    <row r="68" spans="1:29" x14ac:dyDescent="0.25">
      <c r="A68" s="180" t="s">
        <v>1853</v>
      </c>
      <c r="B68" s="181">
        <v>0</v>
      </c>
      <c r="C68" s="181">
        <v>23365.362219047613</v>
      </c>
      <c r="D68" s="181">
        <v>5722.0764027777777</v>
      </c>
      <c r="E68" s="181">
        <v>88.921800000000005</v>
      </c>
      <c r="F68" s="181">
        <v>13573.317261428572</v>
      </c>
      <c r="G68" s="181">
        <v>6398252.8609999996</v>
      </c>
      <c r="H68" s="181">
        <v>224.81513650793653</v>
      </c>
      <c r="I68" s="37">
        <f t="shared" si="14"/>
        <v>8.2031815594299999</v>
      </c>
      <c r="J68" s="37">
        <f t="shared" si="15"/>
        <v>0</v>
      </c>
      <c r="K68" s="37">
        <f t="shared" si="16"/>
        <v>0.98134521319999968</v>
      </c>
      <c r="L68" s="37">
        <f t="shared" si="17"/>
        <v>0.24032720891666665</v>
      </c>
      <c r="M68" s="37">
        <f t="shared" si="18"/>
        <v>3.7347156000000002E-3</v>
      </c>
      <c r="N68" s="37">
        <f t="shared" si="18"/>
        <v>0.57007932498000002</v>
      </c>
      <c r="O68" s="37">
        <f t="shared" si="19"/>
        <v>6.3982528609999996</v>
      </c>
      <c r="P68" s="37">
        <f t="shared" si="20"/>
        <v>9.4422357333333335E-3</v>
      </c>
      <c r="Q68" s="37">
        <f t="shared" si="7"/>
        <v>1.8049286984299997</v>
      </c>
      <c r="R68" s="37">
        <f t="shared" si="8"/>
        <v>8.2031815594299999</v>
      </c>
      <c r="S68" s="183">
        <v>8.0910568216766663</v>
      </c>
      <c r="T68" s="183">
        <v>0</v>
      </c>
      <c r="U68" s="183">
        <v>1.762191399495761</v>
      </c>
      <c r="V68" s="183">
        <v>6.3288654221809066</v>
      </c>
      <c r="W68" s="183">
        <v>0</v>
      </c>
      <c r="X68" s="37">
        <v>8.2031815594299999</v>
      </c>
      <c r="Y68" s="186">
        <f t="shared" si="9"/>
        <v>0.11212473775333365</v>
      </c>
      <c r="Z68" s="183">
        <f t="shared" si="10"/>
        <v>0</v>
      </c>
      <c r="AA68" s="183">
        <f t="shared" si="11"/>
        <v>4.2737298934238721E-2</v>
      </c>
      <c r="AB68" s="183">
        <f>O68-V68</f>
        <v>6.9387438819092928E-2</v>
      </c>
      <c r="AC68" s="341">
        <f t="shared" si="13"/>
        <v>0.11212473775333365</v>
      </c>
    </row>
    <row r="69" spans="1:29" x14ac:dyDescent="0.25">
      <c r="A69" s="180" t="s">
        <v>1854</v>
      </c>
      <c r="B69" s="181">
        <v>0</v>
      </c>
      <c r="C69" s="181">
        <v>23416.28933809523</v>
      </c>
      <c r="D69" s="181">
        <v>5054.9800583333335</v>
      </c>
      <c r="E69" s="181">
        <v>167.96340000000001</v>
      </c>
      <c r="F69" s="181">
        <v>12902.295945000002</v>
      </c>
      <c r="G69" s="181">
        <v>5857450.43884</v>
      </c>
      <c r="H69" s="181">
        <v>179.85210920634921</v>
      </c>
      <c r="I69" s="37">
        <f t="shared" si="14"/>
        <v>7.6097484345666668</v>
      </c>
      <c r="J69" s="37">
        <f t="shared" si="15"/>
        <v>0</v>
      </c>
      <c r="K69" s="37">
        <f t="shared" si="16"/>
        <v>0.98348415219999963</v>
      </c>
      <c r="L69" s="37">
        <f t="shared" si="17"/>
        <v>0.21230916245000001</v>
      </c>
      <c r="M69" s="37">
        <f t="shared" si="18"/>
        <v>7.0544628000000003E-3</v>
      </c>
      <c r="N69" s="37">
        <f t="shared" si="18"/>
        <v>0.54189642969000007</v>
      </c>
      <c r="O69" s="37">
        <f t="shared" si="19"/>
        <v>5.8574504388399999</v>
      </c>
      <c r="P69" s="37">
        <f t="shared" si="20"/>
        <v>7.5537885866666663E-3</v>
      </c>
      <c r="Q69" s="37">
        <f t="shared" si="7"/>
        <v>1.7522979957266664</v>
      </c>
      <c r="R69" s="37">
        <f t="shared" si="8"/>
        <v>7.6097484345666668</v>
      </c>
      <c r="X69" s="37">
        <v>7.6097484345666677</v>
      </c>
      <c r="AC69" s="342">
        <f>AVERAGE(AC36:AC68)</f>
        <v>7.4056015956362506E-2</v>
      </c>
    </row>
    <row r="70" spans="1:29" x14ac:dyDescent="0.25">
      <c r="AC70" s="342">
        <f>MAX(AC36:AC68)</f>
        <v>0.2157337700188604</v>
      </c>
    </row>
  </sheetData>
  <mergeCells count="1">
    <mergeCell ref="J1:Q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48A63-5B42-41D5-96BF-897F0EFE1C3D}">
  <dimension ref="A1:AI70"/>
  <sheetViews>
    <sheetView topLeftCell="B28" workbookViewId="0">
      <selection activeCell="AJ36" sqref="AJ36:AJ68"/>
    </sheetView>
    <sheetView workbookViewId="1"/>
  </sheetViews>
  <sheetFormatPr defaultRowHeight="15" x14ac:dyDescent="0.25"/>
  <cols>
    <col min="3" max="3" width="10.5703125" bestFit="1" customWidth="1"/>
    <col min="4" max="4" width="9.5703125" bestFit="1" customWidth="1"/>
    <col min="5" max="5" width="9.5703125" customWidth="1"/>
    <col min="7" max="7" width="10" customWidth="1"/>
    <col min="9" max="9" width="14.5703125" customWidth="1"/>
    <col min="10" max="10" width="9.5703125" bestFit="1" customWidth="1"/>
    <col min="11" max="11" width="11.5703125" bestFit="1" customWidth="1"/>
    <col min="12" max="12" width="14.7109375" bestFit="1" customWidth="1"/>
    <col min="13" max="13" width="14.5703125" customWidth="1"/>
    <col min="19" max="19" width="4.5703125" bestFit="1" customWidth="1"/>
    <col min="20" max="20" width="5" bestFit="1" customWidth="1"/>
    <col min="21" max="26" width="4.5703125" bestFit="1" customWidth="1"/>
    <col min="27" max="27" width="5.5703125" bestFit="1" customWidth="1"/>
    <col min="28" max="30" width="6.42578125" customWidth="1"/>
    <col min="31" max="31" width="9.28515625" bestFit="1" customWidth="1"/>
    <col min="32" max="32" width="9.28515625" customWidth="1"/>
    <col min="33" max="33" width="12.28515625" customWidth="1"/>
  </cols>
  <sheetData>
    <row r="1" spans="1:13" x14ac:dyDescent="0.25">
      <c r="B1" s="260" t="s">
        <v>2161</v>
      </c>
      <c r="C1" s="261"/>
      <c r="D1" s="261"/>
      <c r="E1" s="261"/>
      <c r="F1" s="261"/>
      <c r="G1" s="261"/>
      <c r="H1" s="261"/>
      <c r="I1" s="261"/>
      <c r="L1" s="191"/>
      <c r="M1" s="191"/>
    </row>
    <row r="2" spans="1:13" x14ac:dyDescent="0.25">
      <c r="B2" t="s">
        <v>2091</v>
      </c>
      <c r="C2" s="97" t="s">
        <v>1886</v>
      </c>
      <c r="D2" t="s">
        <v>2054</v>
      </c>
      <c r="E2" t="s">
        <v>2055</v>
      </c>
      <c r="F2" t="s">
        <v>1782</v>
      </c>
      <c r="G2" t="s">
        <v>1729</v>
      </c>
      <c r="H2" t="s">
        <v>1740</v>
      </c>
      <c r="I2" t="s">
        <v>1728</v>
      </c>
      <c r="J2" t="s">
        <v>1726</v>
      </c>
      <c r="K2" t="s">
        <v>1736</v>
      </c>
      <c r="L2" s="193"/>
      <c r="M2" s="193"/>
    </row>
    <row r="3" spans="1:13" x14ac:dyDescent="0.25">
      <c r="B3">
        <v>42000</v>
      </c>
      <c r="C3" s="97">
        <v>1</v>
      </c>
      <c r="D3">
        <v>42000</v>
      </c>
      <c r="E3">
        <v>0</v>
      </c>
      <c r="F3">
        <v>42000</v>
      </c>
      <c r="G3">
        <v>42000</v>
      </c>
      <c r="H3">
        <v>42000</v>
      </c>
      <c r="I3">
        <v>42000</v>
      </c>
      <c r="J3">
        <v>1000</v>
      </c>
      <c r="K3">
        <v>42000</v>
      </c>
      <c r="L3" s="193"/>
      <c r="M3" s="193"/>
    </row>
    <row r="4" spans="1:13" x14ac:dyDescent="0.25">
      <c r="L4" s="193"/>
      <c r="M4" s="193"/>
    </row>
    <row r="5" spans="1:13" x14ac:dyDescent="0.25">
      <c r="A5" s="191" t="s">
        <v>1751</v>
      </c>
      <c r="B5" s="191" t="s">
        <v>97</v>
      </c>
      <c r="C5" s="191" t="s">
        <v>278</v>
      </c>
      <c r="D5" s="191" t="s">
        <v>454</v>
      </c>
      <c r="E5" s="191" t="s">
        <v>517</v>
      </c>
      <c r="F5" s="191" t="s">
        <v>678</v>
      </c>
      <c r="G5" s="191" t="s">
        <v>768</v>
      </c>
      <c r="H5" s="191" t="s">
        <v>834</v>
      </c>
      <c r="I5" s="191" t="s">
        <v>867</v>
      </c>
      <c r="J5" s="191" t="s">
        <v>927</v>
      </c>
      <c r="K5" s="191" t="s">
        <v>1358</v>
      </c>
      <c r="L5" s="193" t="s">
        <v>2128</v>
      </c>
      <c r="M5" s="193"/>
    </row>
    <row r="6" spans="1:13" x14ac:dyDescent="0.25">
      <c r="A6" s="192" t="s">
        <v>1791</v>
      </c>
      <c r="B6" s="193">
        <v>8045.6017574603156</v>
      </c>
      <c r="C6" s="193">
        <v>38188.643826666659</v>
      </c>
      <c r="D6" s="193">
        <v>24149.639852380944</v>
      </c>
      <c r="E6" s="193">
        <v>0</v>
      </c>
      <c r="F6" s="193">
        <v>23.003322222222224</v>
      </c>
      <c r="G6" s="193">
        <v>11789.5635</v>
      </c>
      <c r="H6" s="193">
        <v>4738.1416587301592</v>
      </c>
      <c r="I6" s="193">
        <v>294952.09130357148</v>
      </c>
      <c r="J6" s="193">
        <v>15019.24424</v>
      </c>
      <c r="K6" s="193">
        <v>13567.59348825397</v>
      </c>
      <c r="L6" s="193">
        <f>SUMPRODUCT($B$3:$K$3,B6:K6)/1000000000</f>
        <v>15.020214097953827</v>
      </c>
      <c r="M6" s="193"/>
    </row>
    <row r="7" spans="1:13" x14ac:dyDescent="0.25">
      <c r="A7" s="192" t="s">
        <v>1792</v>
      </c>
      <c r="B7" s="193">
        <v>7006.6552495238075</v>
      </c>
      <c r="C7" s="193">
        <v>8679.2372333333315</v>
      </c>
      <c r="D7" s="193">
        <v>23538.514423809516</v>
      </c>
      <c r="E7" s="193">
        <v>0</v>
      </c>
      <c r="F7" s="193">
        <v>23.003322222222224</v>
      </c>
      <c r="G7" s="193">
        <v>15134.328</v>
      </c>
      <c r="H7" s="193">
        <v>4609.7947063492065</v>
      </c>
      <c r="I7" s="193">
        <v>304856.0261764286</v>
      </c>
      <c r="J7" s="193">
        <v>18362.944599999999</v>
      </c>
      <c r="K7" s="193">
        <v>23897.849010793652</v>
      </c>
      <c r="L7" s="193">
        <f t="shared" ref="L7:L69" si="0">SUMPRODUCT($B$3:$K$3,B7:K7)/1000000000</f>
        <v>15.939150801180569</v>
      </c>
      <c r="M7" s="193"/>
    </row>
    <row r="8" spans="1:13" x14ac:dyDescent="0.25">
      <c r="A8" s="192" t="s">
        <v>1793</v>
      </c>
      <c r="B8" s="193">
        <v>12375.930802539679</v>
      </c>
      <c r="C8" s="193">
        <v>6943.3897866666657</v>
      </c>
      <c r="D8" s="193">
        <v>21898.661190476185</v>
      </c>
      <c r="E8" s="193">
        <v>0</v>
      </c>
      <c r="F8" s="193">
        <v>28.754152777777779</v>
      </c>
      <c r="G8" s="193">
        <v>20146.598999999998</v>
      </c>
      <c r="H8" s="193">
        <v>4524.230071428572</v>
      </c>
      <c r="I8" s="193">
        <v>313129.12443214288</v>
      </c>
      <c r="J8" s="193">
        <v>10085.91584</v>
      </c>
      <c r="K8" s="193">
        <v>22964.866194285714</v>
      </c>
      <c r="L8" s="193">
        <f t="shared" si="0"/>
        <v>16.60295582466312</v>
      </c>
      <c r="M8" s="193"/>
    </row>
    <row r="9" spans="1:13" x14ac:dyDescent="0.25">
      <c r="A9" s="192" t="s">
        <v>1794</v>
      </c>
      <c r="B9" s="193">
        <v>13880.325346031743</v>
      </c>
      <c r="C9" s="193">
        <v>5207.5423399999991</v>
      </c>
      <c r="D9" s="193">
        <v>27561.756828571419</v>
      </c>
      <c r="E9" s="193">
        <v>0</v>
      </c>
      <c r="F9" s="193">
        <v>46.006644444444447</v>
      </c>
      <c r="G9" s="193">
        <v>23471.860499999999</v>
      </c>
      <c r="H9" s="193">
        <v>4524.230071428572</v>
      </c>
      <c r="I9" s="193">
        <v>320807.6468378572</v>
      </c>
      <c r="J9" s="193">
        <v>13265.171920000001</v>
      </c>
      <c r="K9" s="193">
        <v>21110.14131809524</v>
      </c>
      <c r="L9" s="193">
        <f t="shared" si="0"/>
        <v>17.292153016412342</v>
      </c>
      <c r="M9" s="193"/>
    </row>
    <row r="10" spans="1:13" x14ac:dyDescent="0.25">
      <c r="A10" s="192" t="s">
        <v>1795</v>
      </c>
      <c r="B10" s="193">
        <v>15459.524038095235</v>
      </c>
      <c r="C10" s="193">
        <v>3471.6948933333329</v>
      </c>
      <c r="D10" s="193">
        <v>27806.206999999991</v>
      </c>
      <c r="E10" s="193">
        <v>0</v>
      </c>
      <c r="F10" s="193">
        <v>51.757474999999999</v>
      </c>
      <c r="G10" s="193">
        <v>23549.872500000001</v>
      </c>
      <c r="H10" s="193">
        <v>4748.8372380952387</v>
      </c>
      <c r="I10" s="193">
        <v>324154.25947928574</v>
      </c>
      <c r="J10" s="193">
        <v>10634.06344</v>
      </c>
      <c r="K10" s="193">
        <v>20435.69590857143</v>
      </c>
      <c r="L10" s="193">
        <f t="shared" si="0"/>
        <v>17.491295987974894</v>
      </c>
      <c r="M10" s="193"/>
    </row>
    <row r="11" spans="1:13" x14ac:dyDescent="0.25">
      <c r="A11" s="192" t="s">
        <v>1796</v>
      </c>
      <c r="B11" s="193">
        <v>14146.295652063489</v>
      </c>
      <c r="C11" s="193">
        <v>3471.6948933333329</v>
      </c>
      <c r="D11" s="193">
        <v>26808.035466666657</v>
      </c>
      <c r="E11" s="193">
        <v>0</v>
      </c>
      <c r="F11" s="193">
        <v>126.51827222222224</v>
      </c>
      <c r="G11" s="193">
        <v>30873.249</v>
      </c>
      <c r="H11" s="193">
        <v>4363.7963809523817</v>
      </c>
      <c r="I11" s="193">
        <v>335119.93694142863</v>
      </c>
      <c r="J11" s="193">
        <v>12771.83908</v>
      </c>
      <c r="K11" s="193">
        <v>27787.150872380953</v>
      </c>
      <c r="L11" s="193">
        <f t="shared" si="0"/>
        <v>18.460224579374898</v>
      </c>
      <c r="M11" s="193"/>
    </row>
    <row r="12" spans="1:13" x14ac:dyDescent="0.25">
      <c r="A12" s="192" t="s">
        <v>1797</v>
      </c>
      <c r="B12" s="193">
        <v>10298.037786666664</v>
      </c>
      <c r="C12" s="193">
        <v>1735.8474466666664</v>
      </c>
      <c r="D12" s="193">
        <v>27011.743942857134</v>
      </c>
      <c r="E12" s="193">
        <v>0</v>
      </c>
      <c r="F12" s="193">
        <v>74.760797222222223</v>
      </c>
      <c r="G12" s="193">
        <v>36373.095000000001</v>
      </c>
      <c r="H12" s="193">
        <v>4534.9256507936516</v>
      </c>
      <c r="I12" s="193">
        <v>348064.70259000006</v>
      </c>
      <c r="J12" s="193">
        <v>18911.092199999999</v>
      </c>
      <c r="K12" s="193">
        <v>15973.11544888889</v>
      </c>
      <c r="L12" s="193">
        <f t="shared" si="0"/>
        <v>18.596788839137446</v>
      </c>
      <c r="M12" s="193"/>
    </row>
    <row r="13" spans="1:13" x14ac:dyDescent="0.25">
      <c r="A13" s="192" t="s">
        <v>1798</v>
      </c>
      <c r="B13" s="193">
        <v>5194.7325396825381</v>
      </c>
      <c r="C13" s="193">
        <v>1735.8474466666664</v>
      </c>
      <c r="D13" s="193">
        <v>26543.214447619041</v>
      </c>
      <c r="E13" s="193">
        <v>0</v>
      </c>
      <c r="F13" s="193">
        <v>86.262458333333342</v>
      </c>
      <c r="G13" s="193">
        <v>52862.881500000003</v>
      </c>
      <c r="H13" s="193">
        <v>4192.6671111111118</v>
      </c>
      <c r="I13" s="193">
        <v>357459.00102000003</v>
      </c>
      <c r="J13" s="193">
        <v>108588.03956</v>
      </c>
      <c r="K13" s="193">
        <v>26797.964271746034</v>
      </c>
      <c r="L13" s="193">
        <f t="shared" si="0"/>
        <v>19.980332156044113</v>
      </c>
      <c r="M13" s="193"/>
    </row>
    <row r="14" spans="1:13" x14ac:dyDescent="0.25">
      <c r="A14" s="192" t="s">
        <v>1799</v>
      </c>
      <c r="B14" s="193">
        <v>2601.5220558730152</v>
      </c>
      <c r="C14" s="193">
        <v>1735.8474466666664</v>
      </c>
      <c r="D14" s="193">
        <v>35149.897566666659</v>
      </c>
      <c r="E14" s="193">
        <v>0</v>
      </c>
      <c r="F14" s="193">
        <v>115.01661111111112</v>
      </c>
      <c r="G14" s="193">
        <v>64018.597500000003</v>
      </c>
      <c r="H14" s="193">
        <v>4609.7947063492065</v>
      </c>
      <c r="I14" s="193">
        <v>380630.47128857148</v>
      </c>
      <c r="J14" s="193">
        <v>90389.539239999998</v>
      </c>
      <c r="K14" s="193">
        <v>25021.924693333334</v>
      </c>
      <c r="L14" s="193">
        <f t="shared" si="0"/>
        <v>21.600574700807449</v>
      </c>
      <c r="M14" s="193"/>
    </row>
    <row r="15" spans="1:13" x14ac:dyDescent="0.25">
      <c r="A15" s="192" t="s">
        <v>1800</v>
      </c>
      <c r="B15" s="193">
        <v>2352.1748939682534</v>
      </c>
      <c r="C15" s="193">
        <v>1735.8474466666664</v>
      </c>
      <c r="D15" s="193">
        <v>35363.791466666655</v>
      </c>
      <c r="E15" s="193">
        <v>0</v>
      </c>
      <c r="F15" s="193">
        <v>97.764119444444447</v>
      </c>
      <c r="G15" s="193">
        <v>72931.468500000003</v>
      </c>
      <c r="H15" s="193">
        <v>4631.1858650793656</v>
      </c>
      <c r="I15" s="193">
        <v>393023.13079071435</v>
      </c>
      <c r="J15" s="193">
        <v>52896.243399999999</v>
      </c>
      <c r="K15" s="193">
        <v>22121.809432380953</v>
      </c>
      <c r="L15" s="193">
        <f t="shared" si="0"/>
        <v>22.334793632114117</v>
      </c>
      <c r="M15" s="193"/>
    </row>
    <row r="16" spans="1:13" x14ac:dyDescent="0.25">
      <c r="A16" s="192" t="s">
        <v>1801</v>
      </c>
      <c r="B16" s="193">
        <v>2293.9938895238088</v>
      </c>
      <c r="C16" s="193">
        <v>0</v>
      </c>
      <c r="D16" s="193">
        <v>32572.985342857133</v>
      </c>
      <c r="E16" s="193">
        <v>0</v>
      </c>
      <c r="F16" s="193">
        <v>166.77408611111113</v>
      </c>
      <c r="G16" s="193">
        <v>76685.796000000002</v>
      </c>
      <c r="H16" s="193">
        <v>4716.7505000000001</v>
      </c>
      <c r="I16" s="193">
        <v>418870.19238428574</v>
      </c>
      <c r="J16" s="193">
        <v>59254.755559999998</v>
      </c>
      <c r="K16" s="193">
        <v>36139.033193650794</v>
      </c>
      <c r="L16" s="193">
        <f t="shared" si="0"/>
        <v>24.059966822210004</v>
      </c>
      <c r="M16" s="193"/>
    </row>
    <row r="17" spans="1:13" x14ac:dyDescent="0.25">
      <c r="A17" s="192" t="s">
        <v>1802</v>
      </c>
      <c r="B17" s="193">
        <v>2194.2550247619042</v>
      </c>
      <c r="C17" s="193">
        <v>0</v>
      </c>
      <c r="D17" s="193">
        <v>34559.142985714272</v>
      </c>
      <c r="E17" s="193">
        <v>0</v>
      </c>
      <c r="F17" s="193">
        <v>201.27906944444445</v>
      </c>
      <c r="G17" s="193">
        <v>84272.463000000003</v>
      </c>
      <c r="H17" s="193">
        <v>4834.4018730158732</v>
      </c>
      <c r="I17" s="193">
        <v>430031.23048285721</v>
      </c>
      <c r="J17" s="193">
        <v>35903.667800000003</v>
      </c>
      <c r="K17" s="193">
        <v>39061.629968253968</v>
      </c>
      <c r="L17" s="193">
        <f t="shared" si="0"/>
        <v>25.032388568770003</v>
      </c>
      <c r="M17" s="193"/>
    </row>
    <row r="18" spans="1:13" x14ac:dyDescent="0.25">
      <c r="A18" s="192" t="s">
        <v>1803</v>
      </c>
      <c r="B18" s="193">
        <v>2535.0294793650787</v>
      </c>
      <c r="C18" s="193">
        <v>0</v>
      </c>
      <c r="D18" s="193">
        <v>42004.687790476179</v>
      </c>
      <c r="E18" s="193">
        <v>0</v>
      </c>
      <c r="F18" s="193">
        <v>218.53156111111113</v>
      </c>
      <c r="G18" s="193">
        <v>85696.182000000001</v>
      </c>
      <c r="H18" s="193">
        <v>5176.660412698413</v>
      </c>
      <c r="I18" s="193">
        <v>453805.77054214291</v>
      </c>
      <c r="J18" s="193">
        <v>36013.297319999998</v>
      </c>
      <c r="K18" s="193">
        <v>33992.048640000001</v>
      </c>
      <c r="L18" s="193">
        <f t="shared" si="0"/>
        <v>26.220027535203336</v>
      </c>
      <c r="M18" s="193"/>
    </row>
    <row r="19" spans="1:13" x14ac:dyDescent="0.25">
      <c r="A19" s="192" t="s">
        <v>1804</v>
      </c>
      <c r="B19" s="193">
        <v>2327.2401777777773</v>
      </c>
      <c r="C19" s="193">
        <v>0</v>
      </c>
      <c r="D19" s="193">
        <v>46129.78443333332</v>
      </c>
      <c r="E19" s="193">
        <v>0</v>
      </c>
      <c r="F19" s="193">
        <v>224.28239166666668</v>
      </c>
      <c r="G19" s="193">
        <v>87207.664499999999</v>
      </c>
      <c r="H19" s="193">
        <v>5101.791357142858</v>
      </c>
      <c r="I19" s="193">
        <v>470080.16095071431</v>
      </c>
      <c r="J19" s="193">
        <v>31792.560799999999</v>
      </c>
      <c r="K19" s="193">
        <v>31091.933379047619</v>
      </c>
      <c r="L19" s="193">
        <f t="shared" si="0"/>
        <v>27.002632562766664</v>
      </c>
      <c r="M19" s="193"/>
    </row>
    <row r="20" spans="1:13" x14ac:dyDescent="0.25">
      <c r="A20" s="192" t="s">
        <v>1805</v>
      </c>
      <c r="B20" s="193">
        <v>2393.7327542857138</v>
      </c>
      <c r="C20" s="193">
        <v>0</v>
      </c>
      <c r="D20" s="193">
        <v>44846.421033333318</v>
      </c>
      <c r="E20" s="193">
        <v>0</v>
      </c>
      <c r="F20" s="193">
        <v>212.78073055555558</v>
      </c>
      <c r="G20" s="193">
        <v>79494.228000000003</v>
      </c>
      <c r="H20" s="193">
        <v>4877.1841904761914</v>
      </c>
      <c r="I20" s="193">
        <v>459165.44713285723</v>
      </c>
      <c r="J20" s="193">
        <v>36945.148240000002</v>
      </c>
      <c r="K20" s="193">
        <v>16254.13436952381</v>
      </c>
      <c r="L20" s="193">
        <f t="shared" si="0"/>
        <v>25.541190133103335</v>
      </c>
      <c r="M20" s="193"/>
    </row>
    <row r="21" spans="1:13" x14ac:dyDescent="0.25">
      <c r="A21" s="192" t="s">
        <v>1806</v>
      </c>
      <c r="B21" s="193">
        <v>1895.0384304761899</v>
      </c>
      <c r="C21" s="193">
        <v>0</v>
      </c>
      <c r="D21" s="193">
        <v>45681.62578571427</v>
      </c>
      <c r="E21" s="193">
        <v>0</v>
      </c>
      <c r="F21" s="193">
        <v>189.77740833333334</v>
      </c>
      <c r="G21" s="193">
        <v>77690.200500000006</v>
      </c>
      <c r="H21" s="193">
        <v>4631.1858650793656</v>
      </c>
      <c r="I21" s="193">
        <v>462410.13248571433</v>
      </c>
      <c r="J21" s="193">
        <v>27736.26856</v>
      </c>
      <c r="K21" s="193">
        <v>11791.55390984127</v>
      </c>
      <c r="L21" s="193">
        <f t="shared" si="0"/>
        <v>25.407895872736667</v>
      </c>
      <c r="M21" s="193"/>
    </row>
    <row r="22" spans="1:13" x14ac:dyDescent="0.25">
      <c r="A22" s="192" t="s">
        <v>1807</v>
      </c>
      <c r="B22" s="193">
        <v>1828.5458539682536</v>
      </c>
      <c r="C22" s="193">
        <v>0</v>
      </c>
      <c r="D22" s="193">
        <v>45192.725442857132</v>
      </c>
      <c r="E22" s="193">
        <v>0</v>
      </c>
      <c r="F22" s="193">
        <v>201.27906944444445</v>
      </c>
      <c r="G22" s="193">
        <v>78060.757500000007</v>
      </c>
      <c r="H22" s="193">
        <v>5144.5736746031753</v>
      </c>
      <c r="I22" s="193">
        <v>476747.90441142861</v>
      </c>
      <c r="J22" s="193">
        <v>34423.669280000002</v>
      </c>
      <c r="K22" s="193">
        <v>15613.411230476191</v>
      </c>
      <c r="L22" s="193">
        <f t="shared" si="0"/>
        <v>26.191569950956669</v>
      </c>
      <c r="M22" s="193"/>
    </row>
    <row r="23" spans="1:13" x14ac:dyDescent="0.25">
      <c r="A23" s="192" t="s">
        <v>1808</v>
      </c>
      <c r="B23" s="193">
        <v>2252.4360292063488</v>
      </c>
      <c r="C23" s="193">
        <v>0</v>
      </c>
      <c r="D23" s="193">
        <v>41322.264395238082</v>
      </c>
      <c r="E23" s="193">
        <v>0</v>
      </c>
      <c r="F23" s="193">
        <v>230.03322222222224</v>
      </c>
      <c r="G23" s="193">
        <v>85384.134000000005</v>
      </c>
      <c r="H23" s="193">
        <v>4952.0532460317463</v>
      </c>
      <c r="I23" s="193">
        <v>481869.75066214293</v>
      </c>
      <c r="J23" s="193">
        <v>26694.788120000001</v>
      </c>
      <c r="K23" s="193">
        <v>14410.650250158731</v>
      </c>
      <c r="L23" s="193">
        <f t="shared" si="0"/>
        <v>26.504390303930002</v>
      </c>
      <c r="M23" s="193"/>
    </row>
    <row r="24" spans="1:13" x14ac:dyDescent="0.25">
      <c r="A24" s="192" t="s">
        <v>1809</v>
      </c>
      <c r="B24" s="193">
        <v>3008.7890869841262</v>
      </c>
      <c r="C24" s="193">
        <v>0</v>
      </c>
      <c r="D24" s="193">
        <v>45569.586123809509</v>
      </c>
      <c r="E24" s="193">
        <v>0</v>
      </c>
      <c r="F24" s="193">
        <v>304.79401944444447</v>
      </c>
      <c r="G24" s="193">
        <v>82439.180999999997</v>
      </c>
      <c r="H24" s="193">
        <v>5315.7029444444452</v>
      </c>
      <c r="I24" s="193">
        <v>486371.53924071434</v>
      </c>
      <c r="J24" s="193">
        <v>27571.824280000001</v>
      </c>
      <c r="K24" s="193">
        <v>9352.3096787301583</v>
      </c>
      <c r="L24" s="193">
        <f t="shared" si="0"/>
        <v>26.586771712233332</v>
      </c>
      <c r="M24" s="193"/>
    </row>
    <row r="25" spans="1:13" x14ac:dyDescent="0.25">
      <c r="A25" s="192" t="s">
        <v>1810</v>
      </c>
      <c r="B25" s="193">
        <v>2235.8128850793646</v>
      </c>
      <c r="C25" s="193">
        <v>0</v>
      </c>
      <c r="D25" s="193">
        <v>52373.449228571415</v>
      </c>
      <c r="E25" s="193">
        <v>0</v>
      </c>
      <c r="F25" s="193">
        <v>224.28239166666668</v>
      </c>
      <c r="G25" s="193">
        <v>84955.067999999999</v>
      </c>
      <c r="H25" s="193">
        <v>5561.70126984127</v>
      </c>
      <c r="I25" s="193">
        <v>469145.82747214293</v>
      </c>
      <c r="J25" s="193">
        <v>35684.408759999998</v>
      </c>
      <c r="K25" s="193">
        <v>17209.598699682541</v>
      </c>
      <c r="L25" s="193">
        <f t="shared" si="0"/>
        <v>26.567325486533328</v>
      </c>
      <c r="M25" s="193"/>
    </row>
    <row r="26" spans="1:13" x14ac:dyDescent="0.25">
      <c r="A26" s="192" t="s">
        <v>1811</v>
      </c>
      <c r="B26" s="193">
        <v>2277.370745396825</v>
      </c>
      <c r="C26" s="193">
        <v>0</v>
      </c>
      <c r="D26" s="193">
        <v>49908.576666666653</v>
      </c>
      <c r="E26" s="193">
        <v>0</v>
      </c>
      <c r="F26" s="193">
        <v>149.52159444444445</v>
      </c>
      <c r="G26" s="193">
        <v>83502.094500000007</v>
      </c>
      <c r="H26" s="193">
        <v>4952.0532460317463</v>
      </c>
      <c r="I26" s="193">
        <v>434558.50088357145</v>
      </c>
      <c r="J26" s="193">
        <v>36999.963000000003</v>
      </c>
      <c r="K26" s="193">
        <v>10116.681142857144</v>
      </c>
      <c r="L26" s="193">
        <f t="shared" si="0"/>
        <v>24.626521511716668</v>
      </c>
      <c r="M26" s="193"/>
    </row>
    <row r="27" spans="1:13" x14ac:dyDescent="0.25">
      <c r="A27" s="192" t="s">
        <v>1812</v>
      </c>
      <c r="B27" s="193">
        <v>1737.1185612698407</v>
      </c>
      <c r="C27" s="193">
        <v>0</v>
      </c>
      <c r="D27" s="193">
        <v>50621.556333333319</v>
      </c>
      <c r="E27" s="193">
        <v>101.92728857142859</v>
      </c>
      <c r="F27" s="193">
        <v>333.54817222222226</v>
      </c>
      <c r="G27" s="193">
        <v>77836.472999999998</v>
      </c>
      <c r="H27" s="193">
        <v>4748.8372380952387</v>
      </c>
      <c r="I27" s="193">
        <v>439969.14111857145</v>
      </c>
      <c r="J27" s="193">
        <v>36999.963000000003</v>
      </c>
      <c r="K27" s="193">
        <v>11937.68374857143</v>
      </c>
      <c r="L27" s="193">
        <f t="shared" si="0"/>
        <v>24.698743006226664</v>
      </c>
      <c r="M27" s="193"/>
    </row>
    <row r="28" spans="1:13" x14ac:dyDescent="0.25">
      <c r="A28" s="192" t="s">
        <v>1813</v>
      </c>
      <c r="B28" s="193">
        <v>1379.7209625396822</v>
      </c>
      <c r="C28" s="193">
        <v>0</v>
      </c>
      <c r="D28" s="193">
        <v>59106.014366666648</v>
      </c>
      <c r="E28" s="193">
        <v>8.4939407142857153</v>
      </c>
      <c r="F28" s="193">
        <v>281.79069722222226</v>
      </c>
      <c r="G28" s="193">
        <v>71751.536999999997</v>
      </c>
      <c r="H28" s="193">
        <v>4331.7096428571431</v>
      </c>
      <c r="I28" s="193">
        <v>438686.55607071432</v>
      </c>
      <c r="J28" s="193">
        <v>87758.430760000003</v>
      </c>
      <c r="K28" s="193">
        <v>16400.264208253968</v>
      </c>
      <c r="L28" s="193">
        <f t="shared" si="0"/>
        <v>24.949137334586666</v>
      </c>
      <c r="M28" s="193"/>
    </row>
    <row r="29" spans="1:13" x14ac:dyDescent="0.25">
      <c r="A29" s="192" t="s">
        <v>1814</v>
      </c>
      <c r="B29" s="193">
        <v>1363.097818412698</v>
      </c>
      <c r="C29" s="193">
        <v>0</v>
      </c>
      <c r="D29" s="193">
        <v>68313.637490476176</v>
      </c>
      <c r="E29" s="193">
        <v>0</v>
      </c>
      <c r="F29" s="193">
        <v>333.54817222222226</v>
      </c>
      <c r="G29" s="193">
        <v>70990.92</v>
      </c>
      <c r="H29" s="193">
        <v>4534.9256507936516</v>
      </c>
      <c r="I29" s="193">
        <v>444445.44787500007</v>
      </c>
      <c r="J29" s="193">
        <v>56623.647080000002</v>
      </c>
      <c r="K29" s="193">
        <v>1708.5950374603176</v>
      </c>
      <c r="L29" s="193">
        <f t="shared" si="0"/>
        <v>24.907610872943337</v>
      </c>
      <c r="M29" s="193"/>
    </row>
    <row r="30" spans="1:13" x14ac:dyDescent="0.25">
      <c r="A30" s="192" t="s">
        <v>1815</v>
      </c>
      <c r="B30" s="193">
        <v>1146.9969447619044</v>
      </c>
      <c r="C30" s="193">
        <v>0</v>
      </c>
      <c r="D30" s="193">
        <v>72683.184304761875</v>
      </c>
      <c r="E30" s="193">
        <v>0</v>
      </c>
      <c r="F30" s="193">
        <v>592.3355472222222</v>
      </c>
      <c r="G30" s="193">
        <v>67275.598500000007</v>
      </c>
      <c r="H30" s="193">
        <v>4845.0974523809527</v>
      </c>
      <c r="I30" s="193">
        <v>455300.70410785719</v>
      </c>
      <c r="J30" s="193">
        <v>65448.82344</v>
      </c>
      <c r="K30" s="193">
        <v>1641.1504965079366</v>
      </c>
      <c r="L30" s="193">
        <f t="shared" si="0"/>
        <v>25.411821652286665</v>
      </c>
      <c r="M30" s="193"/>
    </row>
    <row r="31" spans="1:13" x14ac:dyDescent="0.25">
      <c r="A31" s="192" t="s">
        <v>1816</v>
      </c>
      <c r="B31" s="193">
        <v>1113.7506565079361</v>
      </c>
      <c r="C31" s="193">
        <v>0</v>
      </c>
      <c r="D31" s="193">
        <v>77409.220952380929</v>
      </c>
      <c r="E31" s="193">
        <v>0</v>
      </c>
      <c r="F31" s="193">
        <v>402.55813888888889</v>
      </c>
      <c r="G31" s="193">
        <v>68104.475999999995</v>
      </c>
      <c r="H31" s="193">
        <v>4513.5344920634925</v>
      </c>
      <c r="I31" s="193">
        <v>461153.02926000004</v>
      </c>
      <c r="J31" s="193">
        <v>75699.183560000005</v>
      </c>
      <c r="K31" s="193">
        <v>9824.4214653968265</v>
      </c>
      <c r="L31" s="193">
        <f t="shared" si="0"/>
        <v>26.221580804100004</v>
      </c>
      <c r="M31" s="193"/>
    </row>
    <row r="32" spans="1:13" x14ac:dyDescent="0.25">
      <c r="A32" s="192" t="s">
        <v>1817</v>
      </c>
      <c r="B32" s="193">
        <v>1205.1779492063488</v>
      </c>
      <c r="C32" s="193">
        <v>0</v>
      </c>
      <c r="D32" s="193">
        <v>80149.099957142826</v>
      </c>
      <c r="E32" s="193">
        <v>0</v>
      </c>
      <c r="F32" s="193">
        <v>356.55149444444447</v>
      </c>
      <c r="G32" s="193">
        <v>67412.119500000001</v>
      </c>
      <c r="H32" s="193">
        <v>4406.5786984126989</v>
      </c>
      <c r="I32" s="193">
        <v>474063.81914571434</v>
      </c>
      <c r="J32" s="193">
        <v>88964.355479999998</v>
      </c>
      <c r="K32" s="193">
        <v>6811.8986361904763</v>
      </c>
      <c r="L32" s="193">
        <f t="shared" si="0"/>
        <v>26.733984661486666</v>
      </c>
      <c r="M32" s="193"/>
    </row>
    <row r="33" spans="1:35" x14ac:dyDescent="0.25">
      <c r="A33" s="192" t="s">
        <v>1818</v>
      </c>
      <c r="B33" s="193">
        <v>1022.3233638095236</v>
      </c>
      <c r="C33" s="193">
        <v>0</v>
      </c>
      <c r="D33" s="193">
        <v>86178.870852380918</v>
      </c>
      <c r="E33" s="193">
        <v>0</v>
      </c>
      <c r="F33" s="193">
        <v>293.29235833333337</v>
      </c>
      <c r="G33" s="193">
        <v>76549.274999999994</v>
      </c>
      <c r="H33" s="193">
        <v>4984.1399841269849</v>
      </c>
      <c r="I33" s="193">
        <v>485071.96631142864</v>
      </c>
      <c r="J33" s="193">
        <v>61337.716439999997</v>
      </c>
      <c r="K33" s="193">
        <v>5159.5073828571431</v>
      </c>
      <c r="L33" s="193">
        <f t="shared" si="0"/>
        <v>27.750231477063334</v>
      </c>
      <c r="M33" s="193"/>
    </row>
    <row r="34" spans="1:35" x14ac:dyDescent="0.25">
      <c r="A34" s="192" t="s">
        <v>1819</v>
      </c>
      <c r="B34" s="193">
        <v>1055.5696520634917</v>
      </c>
      <c r="C34" s="193">
        <v>0</v>
      </c>
      <c r="D34" s="193">
        <v>81850.065733333307</v>
      </c>
      <c r="E34" s="193">
        <v>0</v>
      </c>
      <c r="F34" s="193">
        <v>356.55149444444447</v>
      </c>
      <c r="G34" s="193">
        <v>90883.98</v>
      </c>
      <c r="H34" s="193">
        <v>4813.010714285715</v>
      </c>
      <c r="I34" s="193">
        <v>498968.05332000006</v>
      </c>
      <c r="J34" s="193">
        <v>108423.59527999999</v>
      </c>
      <c r="K34" s="193">
        <v>7587.5108571428573</v>
      </c>
      <c r="L34" s="193">
        <f t="shared" si="0"/>
        <v>28.900042749673332</v>
      </c>
      <c r="M34" s="220" t="s">
        <v>2159</v>
      </c>
      <c r="N34" s="83"/>
      <c r="O34" s="83"/>
      <c r="P34" s="83"/>
      <c r="Q34" s="83"/>
      <c r="S34" s="1" t="s">
        <v>2162</v>
      </c>
    </row>
    <row r="35" spans="1:35" ht="60" x14ac:dyDescent="0.25">
      <c r="A35" s="192" t="s">
        <v>1820</v>
      </c>
      <c r="B35" s="193">
        <v>980.7655034920632</v>
      </c>
      <c r="C35" s="193">
        <v>0</v>
      </c>
      <c r="D35" s="193">
        <v>79222.226390476164</v>
      </c>
      <c r="E35" s="193">
        <v>0</v>
      </c>
      <c r="F35" s="193">
        <v>356.55149444444447</v>
      </c>
      <c r="G35" s="193">
        <v>97563.757500000007</v>
      </c>
      <c r="H35" s="193">
        <v>4930.6620873015881</v>
      </c>
      <c r="I35" s="193">
        <v>489480.32154214289</v>
      </c>
      <c r="J35" s="193">
        <v>123552.46904</v>
      </c>
      <c r="K35" s="193">
        <v>13196.648513015873</v>
      </c>
      <c r="L35" s="193">
        <f t="shared" si="0"/>
        <v>28.924251656336665</v>
      </c>
      <c r="M35" s="221" t="s">
        <v>2157</v>
      </c>
      <c r="N35" s="83" t="s">
        <v>1886</v>
      </c>
      <c r="O35" s="83" t="s">
        <v>1755</v>
      </c>
      <c r="P35" s="83" t="s">
        <v>2158</v>
      </c>
      <c r="Q35" s="83" t="s">
        <v>2082</v>
      </c>
      <c r="S35" t="s">
        <v>2091</v>
      </c>
      <c r="T35" s="97" t="s">
        <v>1886</v>
      </c>
      <c r="U35" t="s">
        <v>2054</v>
      </c>
      <c r="V35" t="s">
        <v>1782</v>
      </c>
      <c r="W35" t="s">
        <v>1729</v>
      </c>
      <c r="X35" t="s">
        <v>1740</v>
      </c>
      <c r="Y35" t="s">
        <v>1726</v>
      </c>
      <c r="Z35" t="s">
        <v>1736</v>
      </c>
      <c r="AA35" s="216" t="s">
        <v>1728</v>
      </c>
      <c r="AB35" s="216" t="s">
        <v>2055</v>
      </c>
      <c r="AC35" s="216" t="s">
        <v>1732</v>
      </c>
      <c r="AD35" s="218">
        <f>76.11/70.65666</f>
        <v>1.0771808347578276</v>
      </c>
      <c r="AE35" s="83" t="s">
        <v>2129</v>
      </c>
      <c r="AF35" s="227" t="s">
        <v>2130</v>
      </c>
      <c r="AG35" s="147" t="s">
        <v>2166</v>
      </c>
      <c r="AH35" s="147" t="s">
        <v>2165</v>
      </c>
    </row>
    <row r="36" spans="1:35" x14ac:dyDescent="0.25">
      <c r="A36" s="192" t="s">
        <v>1821</v>
      </c>
      <c r="B36" s="193">
        <v>806.2224901587299</v>
      </c>
      <c r="C36" s="193">
        <v>0</v>
      </c>
      <c r="D36" s="193">
        <v>75952.705347619019</v>
      </c>
      <c r="E36" s="193">
        <v>0</v>
      </c>
      <c r="F36" s="193">
        <v>339.29900277777779</v>
      </c>
      <c r="G36" s="193">
        <v>95623.209000000003</v>
      </c>
      <c r="H36" s="193">
        <v>5080.400198412699</v>
      </c>
      <c r="I36" s="193">
        <v>472619.84922428575</v>
      </c>
      <c r="J36" s="193">
        <v>67696.228600000002</v>
      </c>
      <c r="K36" s="193">
        <v>15354.873823492064</v>
      </c>
      <c r="L36" s="193">
        <f t="shared" si="0"/>
        <v>28.030311710243332</v>
      </c>
      <c r="M36" s="222">
        <v>28.506437825265561</v>
      </c>
      <c r="N36" s="223">
        <v>0</v>
      </c>
      <c r="O36" s="223">
        <v>28.506437825265561</v>
      </c>
      <c r="P36" s="223">
        <v>0</v>
      </c>
      <c r="Q36" s="223">
        <v>0</v>
      </c>
      <c r="S36" s="37">
        <f>B$3*B36/1000000000</f>
        <v>3.3861344586666661E-2</v>
      </c>
      <c r="T36" s="37">
        <f>C$3*C36/1000000000</f>
        <v>0</v>
      </c>
      <c r="U36" s="37">
        <f>D$3*D36/1000000000</f>
        <v>3.1900136245999988</v>
      </c>
      <c r="V36" s="37">
        <f t="shared" ref="V36:V68" si="1">F$3*F36/1000000000</f>
        <v>1.4250558116666668E-2</v>
      </c>
      <c r="W36" s="37">
        <f t="shared" ref="W36:W68" si="2">G$3*G36/1000000000</f>
        <v>4.0161747779999999</v>
      </c>
      <c r="X36" s="37">
        <f t="shared" ref="X36:X68" si="3">H$3*H36/1000000000</f>
        <v>0.21337680833333333</v>
      </c>
      <c r="Y36" s="37">
        <f t="shared" ref="Y36:Y68" si="4">J$3*J36/1000000000</f>
        <v>6.7696228600000005E-2</v>
      </c>
      <c r="Z36" s="37">
        <f t="shared" ref="Z36:Z68" si="5">K$3*K36/1000000000</f>
        <v>0.64490470058666671</v>
      </c>
      <c r="AA36" s="217">
        <f t="shared" ref="AA36:AA68" si="6">I$3*I36/1000000000</f>
        <v>19.850033667420004</v>
      </c>
      <c r="AB36" s="217">
        <f t="shared" ref="AB36:AB68" si="7">E36*42000/1000000000</f>
        <v>0</v>
      </c>
      <c r="AC36" s="217">
        <f>AA36-AB36</f>
        <v>19.850033667420004</v>
      </c>
      <c r="AD36" s="219">
        <f>$AD$35*AC36</f>
        <v>21.382075835842461</v>
      </c>
      <c r="AE36" s="226">
        <f>SUM(S36:Z36)+AD36</f>
        <v>29.562353878665792</v>
      </c>
      <c r="AF36" s="228">
        <f t="shared" ref="AF36:AF68" si="8">M36-AE36</f>
        <v>-1.0559160534002316</v>
      </c>
      <c r="AG36" s="37">
        <f>+AD36+U36</f>
        <v>24.572089460442459</v>
      </c>
      <c r="AH36" s="37">
        <f>S36+T36+V36+X36+Y36+Z36</f>
        <v>0.97408964022333344</v>
      </c>
      <c r="AI36" s="149">
        <f>+AF36/AA36</f>
        <v>-5.3194673172434662E-2</v>
      </c>
    </row>
    <row r="37" spans="1:35" x14ac:dyDescent="0.25">
      <c r="A37" s="192" t="s">
        <v>1822</v>
      </c>
      <c r="B37" s="193">
        <v>374.02074285714275</v>
      </c>
      <c r="C37" s="193">
        <v>0</v>
      </c>
      <c r="D37" s="193">
        <v>75718.440599999973</v>
      </c>
      <c r="E37" s="193">
        <v>0</v>
      </c>
      <c r="F37" s="193">
        <v>396.80730833333337</v>
      </c>
      <c r="G37" s="193">
        <v>91644.596999999994</v>
      </c>
      <c r="H37" s="193">
        <v>4545.6212301587302</v>
      </c>
      <c r="I37" s="193">
        <v>458451.95611285721</v>
      </c>
      <c r="J37" s="193">
        <v>82879.917119999998</v>
      </c>
      <c r="K37" s="193">
        <v>4945.9330031746031</v>
      </c>
      <c r="L37" s="193">
        <f t="shared" si="0"/>
        <v>26.798129709010002</v>
      </c>
      <c r="M37" s="222">
        <v>26.924606252648253</v>
      </c>
      <c r="N37" s="223">
        <v>0</v>
      </c>
      <c r="O37" s="223">
        <v>26.924551663841292</v>
      </c>
      <c r="P37" s="223">
        <v>5.4588806964422069E-5</v>
      </c>
      <c r="Q37" s="223">
        <v>0</v>
      </c>
      <c r="S37" s="37">
        <f t="shared" ref="S37:S68" si="9">B$3*B37/1000000000</f>
        <v>1.5708871199999995E-2</v>
      </c>
      <c r="T37" s="37">
        <f t="shared" ref="T37:T68" si="10">C$3*C37/1000000000</f>
        <v>0</v>
      </c>
      <c r="U37" s="37">
        <f t="shared" ref="U37:U68" si="11">D$3*D37/1000000000</f>
        <v>3.1801745051999988</v>
      </c>
      <c r="V37" s="37">
        <f t="shared" si="1"/>
        <v>1.666590695E-2</v>
      </c>
      <c r="W37" s="37">
        <f t="shared" si="2"/>
        <v>3.8490730739999997</v>
      </c>
      <c r="X37" s="37">
        <f t="shared" si="3"/>
        <v>0.19091609166666665</v>
      </c>
      <c r="Y37" s="37">
        <f t="shared" si="4"/>
        <v>8.2879917120000007E-2</v>
      </c>
      <c r="Z37" s="37">
        <f t="shared" si="5"/>
        <v>0.20772918613333333</v>
      </c>
      <c r="AA37" s="217">
        <f t="shared" si="6"/>
        <v>19.254982156740002</v>
      </c>
      <c r="AB37" s="217">
        <f t="shared" si="7"/>
        <v>0</v>
      </c>
      <c r="AC37" s="217">
        <f t="shared" ref="AC37:AC68" si="12">AA37-AB37</f>
        <v>19.254982156740002</v>
      </c>
      <c r="AD37" s="219">
        <f t="shared" ref="AD37:AD68" si="13">$AD$35*AC37</f>
        <v>20.741097752844272</v>
      </c>
      <c r="AE37" s="226">
        <f t="shared" ref="AE37:AE68" si="14">SUM(S37:Z37)+AD37</f>
        <v>28.284245305114268</v>
      </c>
      <c r="AF37" s="228">
        <f t="shared" si="8"/>
        <v>-1.3596390524660151</v>
      </c>
      <c r="AG37" s="37">
        <f t="shared" ref="AG37:AG68" si="15">+AD37+U37</f>
        <v>23.921272258044272</v>
      </c>
      <c r="AH37" s="37">
        <f t="shared" ref="AH37:AH67" si="16">S37+T37+V37+X37+Y37+Z37</f>
        <v>0.51389997307000002</v>
      </c>
      <c r="AI37" s="149">
        <f t="shared" ref="AI37:AI68" si="17">+AF37/AA37</f>
        <v>-7.0612324716701327E-2</v>
      </c>
    </row>
    <row r="38" spans="1:35" x14ac:dyDescent="0.25">
      <c r="A38" s="192" t="s">
        <v>1823</v>
      </c>
      <c r="B38" s="193">
        <v>374.02074285714275</v>
      </c>
      <c r="C38" s="193">
        <v>0</v>
      </c>
      <c r="D38" s="193">
        <v>76064.745009523787</v>
      </c>
      <c r="E38" s="193">
        <v>0</v>
      </c>
      <c r="F38" s="193">
        <v>362.302325</v>
      </c>
      <c r="G38" s="193">
        <v>76841.820000000007</v>
      </c>
      <c r="H38" s="193">
        <v>4631.1858650793656</v>
      </c>
      <c r="I38" s="193">
        <v>466640.11496142863</v>
      </c>
      <c r="J38" s="193">
        <v>98008.79088</v>
      </c>
      <c r="K38" s="193">
        <v>4833.5254349206352</v>
      </c>
      <c r="L38" s="193">
        <f t="shared" si="0"/>
        <v>26.547412793110002</v>
      </c>
      <c r="M38" s="222">
        <v>26.448466366325668</v>
      </c>
      <c r="N38" s="223">
        <v>0</v>
      </c>
      <c r="O38" s="223">
        <v>26.448357188711736</v>
      </c>
      <c r="P38" s="223">
        <v>1.0917761392884414E-4</v>
      </c>
      <c r="Q38" s="223">
        <v>0</v>
      </c>
      <c r="S38" s="37">
        <f t="shared" si="9"/>
        <v>1.5708871199999995E-2</v>
      </c>
      <c r="T38" s="37">
        <f t="shared" si="10"/>
        <v>0</v>
      </c>
      <c r="U38" s="37">
        <f t="shared" si="11"/>
        <v>3.1947192903999992</v>
      </c>
      <c r="V38" s="37">
        <f t="shared" si="1"/>
        <v>1.521669765E-2</v>
      </c>
      <c r="W38" s="37">
        <f t="shared" si="2"/>
        <v>3.2273564400000003</v>
      </c>
      <c r="X38" s="37">
        <f t="shared" si="3"/>
        <v>0.19450980633333334</v>
      </c>
      <c r="Y38" s="37">
        <f t="shared" si="4"/>
        <v>9.8008790880000002E-2</v>
      </c>
      <c r="Z38" s="37">
        <f t="shared" si="5"/>
        <v>0.20300806826666667</v>
      </c>
      <c r="AA38" s="217">
        <f t="shared" si="6"/>
        <v>19.598884828380001</v>
      </c>
      <c r="AB38" s="217">
        <f t="shared" si="7"/>
        <v>0</v>
      </c>
      <c r="AC38" s="217">
        <f t="shared" si="12"/>
        <v>19.598884828380001</v>
      </c>
      <c r="AD38" s="219">
        <f t="shared" si="13"/>
        <v>21.111543119756892</v>
      </c>
      <c r="AE38" s="226">
        <f t="shared" si="14"/>
        <v>28.060071084486893</v>
      </c>
      <c r="AF38" s="228">
        <f t="shared" si="8"/>
        <v>-1.6116047181612245</v>
      </c>
      <c r="AG38" s="37">
        <f t="shared" si="15"/>
        <v>24.30626241015689</v>
      </c>
      <c r="AH38" s="37">
        <f t="shared" si="16"/>
        <v>0.52645223432999999</v>
      </c>
      <c r="AI38" s="149">
        <f t="shared" si="17"/>
        <v>-8.2229409084926805E-2</v>
      </c>
    </row>
    <row r="39" spans="1:35" x14ac:dyDescent="0.25">
      <c r="A39" s="192" t="s">
        <v>1824</v>
      </c>
      <c r="B39" s="193">
        <v>706.48362539682523</v>
      </c>
      <c r="C39" s="193">
        <v>0</v>
      </c>
      <c r="D39" s="193">
        <v>79884.278938095216</v>
      </c>
      <c r="E39" s="193">
        <v>0</v>
      </c>
      <c r="F39" s="193">
        <v>356.55149444444447</v>
      </c>
      <c r="G39" s="193">
        <v>75359.592000000004</v>
      </c>
      <c r="H39" s="193">
        <v>4716.7505000000001</v>
      </c>
      <c r="I39" s="193">
        <v>474276.16766357148</v>
      </c>
      <c r="J39" s="193">
        <v>124155.4314</v>
      </c>
      <c r="K39" s="193">
        <v>3878.061104761905</v>
      </c>
      <c r="L39" s="193">
        <f t="shared" si="0"/>
        <v>26.969626615103341</v>
      </c>
      <c r="M39" s="222">
        <v>26.684940195948617</v>
      </c>
      <c r="N39" s="223">
        <v>0</v>
      </c>
      <c r="O39" s="223">
        <v>26.684830942615985</v>
      </c>
      <c r="P39" s="223">
        <v>1.09253332631684E-4</v>
      </c>
      <c r="Q39" s="223">
        <v>0</v>
      </c>
      <c r="S39" s="37">
        <f t="shared" si="9"/>
        <v>2.9672312266666657E-2</v>
      </c>
      <c r="T39" s="37">
        <f t="shared" si="10"/>
        <v>0</v>
      </c>
      <c r="U39" s="37">
        <f t="shared" si="11"/>
        <v>3.3551397153999991</v>
      </c>
      <c r="V39" s="37">
        <f t="shared" si="1"/>
        <v>1.4975162766666668E-2</v>
      </c>
      <c r="W39" s="37">
        <f t="shared" si="2"/>
        <v>3.1651028640000001</v>
      </c>
      <c r="X39" s="37">
        <f t="shared" si="3"/>
        <v>0.198103521</v>
      </c>
      <c r="Y39" s="37">
        <f t="shared" si="4"/>
        <v>0.1241554314</v>
      </c>
      <c r="Z39" s="37">
        <f t="shared" si="5"/>
        <v>0.16287856640000001</v>
      </c>
      <c r="AA39" s="217">
        <f t="shared" si="6"/>
        <v>19.919599041870004</v>
      </c>
      <c r="AB39" s="217">
        <f t="shared" si="7"/>
        <v>0</v>
      </c>
      <c r="AC39" s="217">
        <f t="shared" si="12"/>
        <v>19.919599041870004</v>
      </c>
      <c r="AD39" s="219">
        <f t="shared" si="13"/>
        <v>21.457010323962752</v>
      </c>
      <c r="AE39" s="226">
        <f t="shared" si="14"/>
        <v>28.507037897196085</v>
      </c>
      <c r="AF39" s="228">
        <f t="shared" si="8"/>
        <v>-1.8220977012474684</v>
      </c>
      <c r="AG39" s="37">
        <f t="shared" si="15"/>
        <v>24.812150039362752</v>
      </c>
      <c r="AH39" s="37">
        <f t="shared" si="16"/>
        <v>0.52978499383333333</v>
      </c>
      <c r="AI39" s="149">
        <f t="shared" si="17"/>
        <v>-9.1472609334028759E-2</v>
      </c>
    </row>
    <row r="40" spans="1:35" x14ac:dyDescent="0.25">
      <c r="A40" s="192" t="s">
        <v>1825</v>
      </c>
      <c r="B40" s="193">
        <v>606.74476063492045</v>
      </c>
      <c r="C40" s="193">
        <v>0</v>
      </c>
      <c r="D40" s="193">
        <v>83326.952185714254</v>
      </c>
      <c r="E40" s="193">
        <v>0</v>
      </c>
      <c r="F40" s="193">
        <v>506.07308888888895</v>
      </c>
      <c r="G40" s="193">
        <v>72482.8995</v>
      </c>
      <c r="H40" s="193">
        <v>4930.6620873015881</v>
      </c>
      <c r="I40" s="193">
        <v>479618.85637285718</v>
      </c>
      <c r="J40" s="193">
        <v>101407.306</v>
      </c>
      <c r="K40" s="193">
        <v>4091.6354844444445</v>
      </c>
      <c r="L40" s="193">
        <f t="shared" si="0"/>
        <v>27.215087892153331</v>
      </c>
      <c r="M40" s="222">
        <v>26.904845065360281</v>
      </c>
      <c r="N40" s="223">
        <v>0</v>
      </c>
      <c r="O40" s="223">
        <v>26.904353539162464</v>
      </c>
      <c r="P40" s="223">
        <v>4.9152619781934082E-4</v>
      </c>
      <c r="Q40" s="223">
        <v>0</v>
      </c>
      <c r="S40" s="37">
        <f t="shared" si="9"/>
        <v>2.5483279946666659E-2</v>
      </c>
      <c r="T40" s="37">
        <f t="shared" si="10"/>
        <v>0</v>
      </c>
      <c r="U40" s="37">
        <f t="shared" si="11"/>
        <v>3.4997319917999987</v>
      </c>
      <c r="V40" s="37">
        <f t="shared" si="1"/>
        <v>2.1255069733333333E-2</v>
      </c>
      <c r="W40" s="37">
        <f t="shared" si="2"/>
        <v>3.0442817789999999</v>
      </c>
      <c r="X40" s="37">
        <f t="shared" si="3"/>
        <v>0.20708780766666671</v>
      </c>
      <c r="Y40" s="37">
        <f t="shared" si="4"/>
        <v>0.101407306</v>
      </c>
      <c r="Z40" s="37">
        <f t="shared" si="5"/>
        <v>0.17184869034666667</v>
      </c>
      <c r="AA40" s="217">
        <f t="shared" si="6"/>
        <v>20.14399196766</v>
      </c>
      <c r="AB40" s="217">
        <f t="shared" si="7"/>
        <v>0</v>
      </c>
      <c r="AC40" s="217">
        <f t="shared" si="12"/>
        <v>20.14399196766</v>
      </c>
      <c r="AD40" s="219">
        <f t="shared" si="13"/>
        <v>21.698722083078973</v>
      </c>
      <c r="AE40" s="226">
        <f t="shared" si="14"/>
        <v>28.769818007572304</v>
      </c>
      <c r="AF40" s="228">
        <f t="shared" si="8"/>
        <v>-1.8649729422120238</v>
      </c>
      <c r="AG40" s="37">
        <f t="shared" si="15"/>
        <v>25.19845407487897</v>
      </c>
      <c r="AH40" s="37">
        <f t="shared" si="16"/>
        <v>0.52708215369333344</v>
      </c>
      <c r="AI40" s="149">
        <f t="shared" si="17"/>
        <v>-9.2582093221945716E-2</v>
      </c>
    </row>
    <row r="41" spans="1:35" x14ac:dyDescent="0.25">
      <c r="A41" s="192" t="s">
        <v>1826</v>
      </c>
      <c r="B41" s="193">
        <v>698.17205333333311</v>
      </c>
      <c r="C41" s="193">
        <v>0</v>
      </c>
      <c r="D41" s="193">
        <v>89428.021047619026</v>
      </c>
      <c r="E41" s="193">
        <v>0</v>
      </c>
      <c r="F41" s="193">
        <v>287.54152777777779</v>
      </c>
      <c r="G41" s="193">
        <v>64710.953999999998</v>
      </c>
      <c r="H41" s="193">
        <v>4845.0974523809527</v>
      </c>
      <c r="I41" s="193">
        <v>495511.01944928576</v>
      </c>
      <c r="J41" s="193">
        <v>105189.52443999999</v>
      </c>
      <c r="K41" s="193">
        <v>2236.9106082539683</v>
      </c>
      <c r="L41" s="193">
        <f t="shared" si="0"/>
        <v>27.729333602263331</v>
      </c>
      <c r="M41" s="222">
        <v>27.543957964998537</v>
      </c>
      <c r="N41" s="223">
        <v>0</v>
      </c>
      <c r="O41" s="223">
        <v>27.543302292974939</v>
      </c>
      <c r="P41" s="223">
        <v>6.5567202359502615E-4</v>
      </c>
      <c r="Q41" s="223">
        <v>0</v>
      </c>
      <c r="S41" s="37">
        <f t="shared" si="9"/>
        <v>2.9323226239999989E-2</v>
      </c>
      <c r="T41" s="37">
        <f t="shared" si="10"/>
        <v>0</v>
      </c>
      <c r="U41" s="37">
        <f t="shared" si="11"/>
        <v>3.755976883999999</v>
      </c>
      <c r="V41" s="37">
        <f t="shared" si="1"/>
        <v>1.2076744166666669E-2</v>
      </c>
      <c r="W41" s="37">
        <f t="shared" si="2"/>
        <v>2.7178600679999998</v>
      </c>
      <c r="X41" s="37">
        <f t="shared" si="3"/>
        <v>0.20349409300000004</v>
      </c>
      <c r="Y41" s="37">
        <f t="shared" si="4"/>
        <v>0.10518952444</v>
      </c>
      <c r="Z41" s="37">
        <f t="shared" si="5"/>
        <v>9.3950245546666672E-2</v>
      </c>
      <c r="AA41" s="217">
        <f t="shared" si="6"/>
        <v>20.811462816870002</v>
      </c>
      <c r="AB41" s="217">
        <f t="shared" si="7"/>
        <v>0</v>
      </c>
      <c r="AC41" s="217">
        <f t="shared" si="12"/>
        <v>20.811462816870002</v>
      </c>
      <c r="AD41" s="219">
        <f t="shared" si="13"/>
        <v>22.417708889607518</v>
      </c>
      <c r="AE41" s="226">
        <f t="shared" si="14"/>
        <v>29.335579675000851</v>
      </c>
      <c r="AF41" s="228">
        <f t="shared" si="8"/>
        <v>-1.791621710002314</v>
      </c>
      <c r="AG41" s="37">
        <f t="shared" si="15"/>
        <v>26.173685773607517</v>
      </c>
      <c r="AH41" s="37">
        <f t="shared" si="16"/>
        <v>0.44403383339333335</v>
      </c>
      <c r="AI41" s="149">
        <f t="shared" si="17"/>
        <v>-8.6088216180075797E-2</v>
      </c>
    </row>
    <row r="42" spans="1:35" x14ac:dyDescent="0.25">
      <c r="A42" s="192" t="s">
        <v>1827</v>
      </c>
      <c r="B42" s="193">
        <v>748.0414857142855</v>
      </c>
      <c r="C42" s="193">
        <v>0</v>
      </c>
      <c r="D42" s="193">
        <v>87879.8366285714</v>
      </c>
      <c r="E42" s="193">
        <v>0</v>
      </c>
      <c r="F42" s="193">
        <v>258.787375</v>
      </c>
      <c r="G42" s="193">
        <v>67022.059500000003</v>
      </c>
      <c r="H42" s="193">
        <v>4695.3593412698419</v>
      </c>
      <c r="I42" s="193">
        <v>504166.34503714292</v>
      </c>
      <c r="J42" s="193">
        <v>120263.58344</v>
      </c>
      <c r="K42" s="193">
        <v>22503.995164444445</v>
      </c>
      <c r="L42" s="193">
        <f t="shared" si="0"/>
        <v>28.985789413789998</v>
      </c>
      <c r="M42" s="222">
        <v>28.348712325078182</v>
      </c>
      <c r="N42" s="223">
        <v>0</v>
      </c>
      <c r="O42" s="223">
        <v>28.348439128401683</v>
      </c>
      <c r="P42" s="223">
        <v>2.7319667649792757E-4</v>
      </c>
      <c r="Q42" s="223">
        <v>0</v>
      </c>
      <c r="S42" s="37">
        <f t="shared" si="9"/>
        <v>3.141774239999999E-2</v>
      </c>
      <c r="T42" s="37">
        <f t="shared" si="10"/>
        <v>0</v>
      </c>
      <c r="U42" s="37">
        <f t="shared" si="11"/>
        <v>3.6909531383999985</v>
      </c>
      <c r="V42" s="37">
        <f t="shared" si="1"/>
        <v>1.086906975E-2</v>
      </c>
      <c r="W42" s="37">
        <f t="shared" si="2"/>
        <v>2.8149264989999998</v>
      </c>
      <c r="X42" s="37">
        <f t="shared" si="3"/>
        <v>0.19720509233333336</v>
      </c>
      <c r="Y42" s="37">
        <f t="shared" si="4"/>
        <v>0.12026358344</v>
      </c>
      <c r="Z42" s="37">
        <f t="shared" si="5"/>
        <v>0.94516779690666664</v>
      </c>
      <c r="AA42" s="217">
        <f t="shared" si="6"/>
        <v>21.174986491560002</v>
      </c>
      <c r="AB42" s="217">
        <f t="shared" si="7"/>
        <v>0</v>
      </c>
      <c r="AC42" s="217">
        <f t="shared" si="12"/>
        <v>21.174986491560002</v>
      </c>
      <c r="AD42" s="219">
        <f t="shared" si="13"/>
        <v>22.809289624964325</v>
      </c>
      <c r="AE42" s="226">
        <f t="shared" si="14"/>
        <v>30.620092547194325</v>
      </c>
      <c r="AF42" s="228">
        <f t="shared" si="8"/>
        <v>-2.271380222116143</v>
      </c>
      <c r="AG42" s="37">
        <f t="shared" si="15"/>
        <v>26.500242763364323</v>
      </c>
      <c r="AH42" s="37">
        <f t="shared" si="16"/>
        <v>1.3049232848300001</v>
      </c>
      <c r="AI42" s="149">
        <f t="shared" si="17"/>
        <v>-0.10726713913236627</v>
      </c>
    </row>
    <row r="43" spans="1:35" x14ac:dyDescent="0.25">
      <c r="A43" s="192" t="s">
        <v>1828</v>
      </c>
      <c r="B43" s="193">
        <v>723.10676952380936</v>
      </c>
      <c r="C43" s="193">
        <v>0</v>
      </c>
      <c r="D43" s="193">
        <v>91108.615976190442</v>
      </c>
      <c r="E43" s="193">
        <v>0</v>
      </c>
      <c r="F43" s="193">
        <v>270.2890361111111</v>
      </c>
      <c r="G43" s="193">
        <v>71195.701499999996</v>
      </c>
      <c r="H43" s="193">
        <v>4962.7488253968259</v>
      </c>
      <c r="I43" s="193">
        <v>513645.58287428576</v>
      </c>
      <c r="J43" s="193">
        <v>136708.01144</v>
      </c>
      <c r="K43" s="193">
        <v>15512.24441904762</v>
      </c>
      <c r="L43" s="193">
        <f t="shared" si="0"/>
        <v>29.428276166263334</v>
      </c>
      <c r="M43" s="222">
        <v>28.691676822505464</v>
      </c>
      <c r="N43" s="223">
        <v>0</v>
      </c>
      <c r="O43" s="223">
        <v>28.687797429699192</v>
      </c>
      <c r="P43" s="223">
        <v>3.8793928062705709E-3</v>
      </c>
      <c r="Q43" s="223">
        <v>0</v>
      </c>
      <c r="S43" s="37">
        <f t="shared" si="9"/>
        <v>3.0370484319999991E-2</v>
      </c>
      <c r="T43" s="37">
        <f t="shared" si="10"/>
        <v>0</v>
      </c>
      <c r="U43" s="37">
        <f t="shared" si="11"/>
        <v>3.8265618709999987</v>
      </c>
      <c r="V43" s="37">
        <f t="shared" si="1"/>
        <v>1.1352139516666665E-2</v>
      </c>
      <c r="W43" s="37">
        <f t="shared" si="2"/>
        <v>2.9902194629999999</v>
      </c>
      <c r="X43" s="37">
        <f t="shared" si="3"/>
        <v>0.20843545066666669</v>
      </c>
      <c r="Y43" s="37">
        <f t="shared" si="4"/>
        <v>0.13670801144</v>
      </c>
      <c r="Z43" s="37">
        <f t="shared" si="5"/>
        <v>0.65151426560000003</v>
      </c>
      <c r="AA43" s="217">
        <f t="shared" si="6"/>
        <v>21.573114480720001</v>
      </c>
      <c r="AB43" s="217">
        <f t="shared" si="7"/>
        <v>0</v>
      </c>
      <c r="AC43" s="217">
        <f t="shared" si="12"/>
        <v>21.573114480720001</v>
      </c>
      <c r="AD43" s="219">
        <f t="shared" si="13"/>
        <v>23.238145464668147</v>
      </c>
      <c r="AE43" s="226">
        <f t="shared" si="14"/>
        <v>31.09330715021148</v>
      </c>
      <c r="AF43" s="228">
        <f t="shared" si="8"/>
        <v>-2.401630327706016</v>
      </c>
      <c r="AG43" s="37">
        <f t="shared" si="15"/>
        <v>27.064707335668146</v>
      </c>
      <c r="AH43" s="37">
        <f t="shared" si="16"/>
        <v>1.0383803515433334</v>
      </c>
      <c r="AI43" s="149">
        <f t="shared" si="17"/>
        <v>-0.11132515566319202</v>
      </c>
    </row>
    <row r="44" spans="1:35" x14ac:dyDescent="0.25">
      <c r="A44" s="192" t="s">
        <v>1829</v>
      </c>
      <c r="B44" s="193">
        <v>723.10676952380936</v>
      </c>
      <c r="C44" s="193">
        <v>0</v>
      </c>
      <c r="D44" s="193">
        <v>90487.305123809492</v>
      </c>
      <c r="E44" s="193">
        <v>0</v>
      </c>
      <c r="F44" s="193">
        <v>258.787375</v>
      </c>
      <c r="G44" s="193">
        <v>75437.604000000007</v>
      </c>
      <c r="H44" s="193">
        <v>5198.0515714285721</v>
      </c>
      <c r="I44" s="193">
        <v>525791.9180957143</v>
      </c>
      <c r="J44" s="193">
        <v>108862.11336</v>
      </c>
      <c r="K44" s="193">
        <v>337.22270476190477</v>
      </c>
      <c r="L44" s="193">
        <f t="shared" si="0"/>
        <v>29.434689930249998</v>
      </c>
      <c r="M44" s="222">
        <v>28.98102039463458</v>
      </c>
      <c r="N44" s="223">
        <v>0</v>
      </c>
      <c r="O44" s="223">
        <v>28.977036329396217</v>
      </c>
      <c r="P44" s="223">
        <v>3.984065238362298E-3</v>
      </c>
      <c r="Q44" s="223">
        <v>0</v>
      </c>
      <c r="S44" s="37">
        <f t="shared" si="9"/>
        <v>3.0370484319999991E-2</v>
      </c>
      <c r="T44" s="37">
        <f t="shared" si="10"/>
        <v>0</v>
      </c>
      <c r="U44" s="37">
        <f t="shared" si="11"/>
        <v>3.8004668151999987</v>
      </c>
      <c r="V44" s="37">
        <f t="shared" si="1"/>
        <v>1.086906975E-2</v>
      </c>
      <c r="W44" s="37">
        <f t="shared" si="2"/>
        <v>3.1683793680000005</v>
      </c>
      <c r="X44" s="37">
        <f t="shared" si="3"/>
        <v>0.21831816600000004</v>
      </c>
      <c r="Y44" s="37">
        <f t="shared" si="4"/>
        <v>0.10886211336</v>
      </c>
      <c r="Z44" s="37">
        <f t="shared" si="5"/>
        <v>1.4163353599999999E-2</v>
      </c>
      <c r="AA44" s="217">
        <f t="shared" si="6"/>
        <v>22.083260560020001</v>
      </c>
      <c r="AB44" s="217">
        <f t="shared" si="7"/>
        <v>0</v>
      </c>
      <c r="AC44" s="217">
        <f t="shared" si="12"/>
        <v>22.083260560020001</v>
      </c>
      <c r="AD44" s="219">
        <f t="shared" si="13"/>
        <v>23.787665044216954</v>
      </c>
      <c r="AE44" s="226">
        <f t="shared" si="14"/>
        <v>31.139094414446955</v>
      </c>
      <c r="AF44" s="228">
        <f t="shared" si="8"/>
        <v>-2.1580740198123749</v>
      </c>
      <c r="AG44" s="37">
        <f t="shared" si="15"/>
        <v>27.588131859416954</v>
      </c>
      <c r="AH44" s="37">
        <f t="shared" si="16"/>
        <v>0.38258318702999999</v>
      </c>
      <c r="AI44" s="149">
        <f t="shared" si="17"/>
        <v>-9.7724428598166227E-2</v>
      </c>
    </row>
    <row r="45" spans="1:35" x14ac:dyDescent="0.25">
      <c r="A45" s="192" t="s">
        <v>1830</v>
      </c>
      <c r="B45" s="193">
        <v>797.91091809523789</v>
      </c>
      <c r="C45" s="193">
        <v>0</v>
      </c>
      <c r="D45" s="193">
        <v>94734.626852380927</v>
      </c>
      <c r="E45" s="193">
        <v>0</v>
      </c>
      <c r="F45" s="193">
        <v>897.12956666666673</v>
      </c>
      <c r="G45" s="193">
        <v>78801.871499999994</v>
      </c>
      <c r="H45" s="193">
        <v>5251.5294682539688</v>
      </c>
      <c r="I45" s="193">
        <v>535738.32267214288</v>
      </c>
      <c r="J45" s="193">
        <v>151069.47855999999</v>
      </c>
      <c r="K45" s="193">
        <v>236.05589333333333</v>
      </c>
      <c r="L45" s="193">
        <f t="shared" si="0"/>
        <v>30.242282247136664</v>
      </c>
      <c r="M45" s="222">
        <v>29.667708078894691</v>
      </c>
      <c r="N45" s="223">
        <v>0</v>
      </c>
      <c r="O45" s="223">
        <v>29.662737052259949</v>
      </c>
      <c r="P45" s="223">
        <v>4.9710266347416212E-3</v>
      </c>
      <c r="Q45" s="223">
        <v>0</v>
      </c>
      <c r="S45" s="37">
        <f t="shared" si="9"/>
        <v>3.3512258559999994E-2</v>
      </c>
      <c r="T45" s="37">
        <f t="shared" si="10"/>
        <v>0</v>
      </c>
      <c r="U45" s="37">
        <f t="shared" si="11"/>
        <v>3.9788543277999988</v>
      </c>
      <c r="V45" s="37">
        <f t="shared" si="1"/>
        <v>3.7679441800000005E-2</v>
      </c>
      <c r="W45" s="37">
        <f t="shared" si="2"/>
        <v>3.3096786029999996</v>
      </c>
      <c r="X45" s="37">
        <f t="shared" si="3"/>
        <v>0.22056423766666669</v>
      </c>
      <c r="Y45" s="37">
        <f t="shared" si="4"/>
        <v>0.15106947856</v>
      </c>
      <c r="Z45" s="37">
        <f t="shared" si="5"/>
        <v>9.9143475200000001E-3</v>
      </c>
      <c r="AA45" s="217">
        <f t="shared" si="6"/>
        <v>22.501009552229998</v>
      </c>
      <c r="AB45" s="217">
        <f t="shared" si="7"/>
        <v>0</v>
      </c>
      <c r="AC45" s="217">
        <f t="shared" si="12"/>
        <v>22.501009552229998</v>
      </c>
      <c r="AD45" s="219">
        <f t="shared" si="13"/>
        <v>24.23765625236496</v>
      </c>
      <c r="AE45" s="226">
        <f t="shared" si="14"/>
        <v>31.978928947271626</v>
      </c>
      <c r="AF45" s="228">
        <f t="shared" si="8"/>
        <v>-2.3112208683769353</v>
      </c>
      <c r="AG45" s="37">
        <f t="shared" si="15"/>
        <v>28.216510580164957</v>
      </c>
      <c r="AH45" s="37">
        <f t="shared" si="16"/>
        <v>0.45273976410666661</v>
      </c>
      <c r="AI45" s="149">
        <f t="shared" si="17"/>
        <v>-0.10271631870614792</v>
      </c>
    </row>
    <row r="46" spans="1:35" x14ac:dyDescent="0.25">
      <c r="A46" s="192" t="s">
        <v>1831</v>
      </c>
      <c r="B46" s="193">
        <v>964.14235936507907</v>
      </c>
      <c r="C46" s="193">
        <v>0</v>
      </c>
      <c r="D46" s="193">
        <v>102363.50928571426</v>
      </c>
      <c r="E46" s="193">
        <v>0</v>
      </c>
      <c r="F46" s="193">
        <v>322.04651111111116</v>
      </c>
      <c r="G46" s="193">
        <v>80001.305999999997</v>
      </c>
      <c r="H46" s="193">
        <v>5176.660412698413</v>
      </c>
      <c r="I46" s="193">
        <v>547375.02145071432</v>
      </c>
      <c r="J46" s="193">
        <v>137091.71476</v>
      </c>
      <c r="K46" s="193">
        <v>6058.7679288888894</v>
      </c>
      <c r="L46" s="193">
        <f t="shared" si="0"/>
        <v>31.312072780596665</v>
      </c>
      <c r="M46" s="222">
        <v>30.840346353806449</v>
      </c>
      <c r="N46" s="223">
        <v>0</v>
      </c>
      <c r="O46" s="223">
        <v>30.834826498877117</v>
      </c>
      <c r="P46" s="223">
        <v>5.5198549293330283E-3</v>
      </c>
      <c r="Q46" s="223">
        <v>0</v>
      </c>
      <c r="S46" s="37">
        <f t="shared" si="9"/>
        <v>4.049397909333332E-2</v>
      </c>
      <c r="T46" s="37">
        <f t="shared" si="10"/>
        <v>0</v>
      </c>
      <c r="U46" s="37">
        <f t="shared" si="11"/>
        <v>4.2992673899999989</v>
      </c>
      <c r="V46" s="37">
        <f t="shared" si="1"/>
        <v>1.3525953466666669E-2</v>
      </c>
      <c r="W46" s="37">
        <f t="shared" si="2"/>
        <v>3.3600548520000002</v>
      </c>
      <c r="X46" s="37">
        <f t="shared" si="3"/>
        <v>0.21741973733333333</v>
      </c>
      <c r="Y46" s="37">
        <f t="shared" si="4"/>
        <v>0.13709171475999998</v>
      </c>
      <c r="Z46" s="37">
        <f t="shared" si="5"/>
        <v>0.25446825301333337</v>
      </c>
      <c r="AA46" s="217">
        <f t="shared" si="6"/>
        <v>22.989750900930002</v>
      </c>
      <c r="AB46" s="217">
        <f t="shared" si="7"/>
        <v>0</v>
      </c>
      <c r="AC46" s="217">
        <f t="shared" si="12"/>
        <v>22.989750900930002</v>
      </c>
      <c r="AD46" s="219">
        <f t="shared" si="13"/>
        <v>24.764119066338296</v>
      </c>
      <c r="AE46" s="226">
        <f t="shared" si="14"/>
        <v>33.086440946004963</v>
      </c>
      <c r="AF46" s="228">
        <f t="shared" si="8"/>
        <v>-2.2460945921985136</v>
      </c>
      <c r="AG46" s="37">
        <f t="shared" si="15"/>
        <v>29.063386456338293</v>
      </c>
      <c r="AH46" s="37">
        <f t="shared" si="16"/>
        <v>0.6629996376666667</v>
      </c>
      <c r="AI46" s="149">
        <f t="shared" si="17"/>
        <v>-9.7699822928818791E-2</v>
      </c>
    </row>
    <row r="47" spans="1:35" x14ac:dyDescent="0.25">
      <c r="A47" s="192" t="s">
        <v>1832</v>
      </c>
      <c r="B47" s="193">
        <v>664.92576507936496</v>
      </c>
      <c r="C47" s="193">
        <v>0</v>
      </c>
      <c r="D47" s="193">
        <v>106743.24152380948</v>
      </c>
      <c r="E47" s="193">
        <v>0</v>
      </c>
      <c r="F47" s="193">
        <v>235.78405277777779</v>
      </c>
      <c r="G47" s="193">
        <v>68289.754499999995</v>
      </c>
      <c r="H47" s="193">
        <v>4738.1416587301592</v>
      </c>
      <c r="I47" s="193">
        <v>546687.01225285721</v>
      </c>
      <c r="J47" s="193">
        <v>181546.48512</v>
      </c>
      <c r="K47" s="193">
        <v>3226.0972088888889</v>
      </c>
      <c r="L47" s="193">
        <f t="shared" si="0"/>
        <v>30.86611467753</v>
      </c>
      <c r="M47" s="222">
        <v>30.391075770329753</v>
      </c>
      <c r="N47" s="223">
        <v>0</v>
      </c>
      <c r="O47" s="223">
        <v>30.38424901758226</v>
      </c>
      <c r="P47" s="223">
        <v>6.8267527474908454E-3</v>
      </c>
      <c r="Q47" s="223">
        <v>0</v>
      </c>
      <c r="S47" s="37">
        <f t="shared" si="9"/>
        <v>2.7926882133333331E-2</v>
      </c>
      <c r="T47" s="37">
        <f t="shared" si="10"/>
        <v>0</v>
      </c>
      <c r="U47" s="37">
        <f t="shared" si="11"/>
        <v>4.4832161439999982</v>
      </c>
      <c r="V47" s="37">
        <f t="shared" si="1"/>
        <v>9.9029302166666663E-3</v>
      </c>
      <c r="W47" s="37">
        <f t="shared" si="2"/>
        <v>2.8681696890000001</v>
      </c>
      <c r="X47" s="37">
        <f t="shared" si="3"/>
        <v>0.19900194966666668</v>
      </c>
      <c r="Y47" s="37">
        <f t="shared" si="4"/>
        <v>0.18154648512000002</v>
      </c>
      <c r="Z47" s="37">
        <f t="shared" si="5"/>
        <v>0.13549608277333333</v>
      </c>
      <c r="AA47" s="217">
        <f t="shared" si="6"/>
        <v>22.960854514620003</v>
      </c>
      <c r="AB47" s="217">
        <f t="shared" si="7"/>
        <v>0</v>
      </c>
      <c r="AC47" s="217">
        <f t="shared" si="12"/>
        <v>22.960854514620003</v>
      </c>
      <c r="AD47" s="219">
        <f t="shared" si="13"/>
        <v>24.732992432811407</v>
      </c>
      <c r="AE47" s="226">
        <f t="shared" si="14"/>
        <v>32.638252595721404</v>
      </c>
      <c r="AF47" s="228">
        <f t="shared" si="8"/>
        <v>-2.2471768253916515</v>
      </c>
      <c r="AG47" s="37">
        <f t="shared" si="15"/>
        <v>29.216208576811404</v>
      </c>
      <c r="AH47" s="37">
        <f t="shared" si="16"/>
        <v>0.55387432991000007</v>
      </c>
      <c r="AI47" s="149">
        <f t="shared" si="17"/>
        <v>-9.7869912635907913E-2</v>
      </c>
    </row>
    <row r="48" spans="1:35" x14ac:dyDescent="0.25">
      <c r="A48" s="192" t="s">
        <v>1833</v>
      </c>
      <c r="B48" s="193">
        <v>639.99104888888871</v>
      </c>
      <c r="C48" s="193">
        <v>0</v>
      </c>
      <c r="D48" s="193">
        <v>106244.15575714283</v>
      </c>
      <c r="E48" s="193">
        <v>178.37275500000001</v>
      </c>
      <c r="F48" s="193">
        <v>224.28239166666668</v>
      </c>
      <c r="G48" s="193">
        <v>54696.163500000002</v>
      </c>
      <c r="H48" s="193">
        <v>4684.6637619047624</v>
      </c>
      <c r="I48" s="193">
        <v>561220.14481500012</v>
      </c>
      <c r="J48" s="193">
        <v>238334.57647999999</v>
      </c>
      <c r="K48" s="193">
        <v>3529.5976431746035</v>
      </c>
      <c r="L48" s="193">
        <f t="shared" si="0"/>
        <v>30.950372531026666</v>
      </c>
      <c r="M48" s="222">
        <v>30.599206279874757</v>
      </c>
      <c r="N48" s="223">
        <v>0</v>
      </c>
      <c r="O48" s="223">
        <v>30.592318521689833</v>
      </c>
      <c r="P48" s="223">
        <v>6.8877581849242937E-3</v>
      </c>
      <c r="Q48" s="223">
        <v>0</v>
      </c>
      <c r="S48" s="37">
        <f t="shared" si="9"/>
        <v>2.6879624053333329E-2</v>
      </c>
      <c r="T48" s="37">
        <f t="shared" si="10"/>
        <v>0</v>
      </c>
      <c r="U48" s="37">
        <f t="shared" si="11"/>
        <v>4.4622545417999984</v>
      </c>
      <c r="V48" s="37">
        <f t="shared" si="1"/>
        <v>9.4198604500000012E-3</v>
      </c>
      <c r="W48" s="37">
        <f t="shared" si="2"/>
        <v>2.2972388669999999</v>
      </c>
      <c r="X48" s="37">
        <f t="shared" si="3"/>
        <v>0.19675587800000002</v>
      </c>
      <c r="Y48" s="37">
        <f t="shared" si="4"/>
        <v>0.23833457647999998</v>
      </c>
      <c r="Z48" s="37">
        <f t="shared" si="5"/>
        <v>0.14824310101333335</v>
      </c>
      <c r="AA48" s="217">
        <f t="shared" si="6"/>
        <v>23.571246082230005</v>
      </c>
      <c r="AB48" s="217">
        <f t="shared" si="7"/>
        <v>7.4916557100000005E-3</v>
      </c>
      <c r="AC48" s="217">
        <f t="shared" si="12"/>
        <v>23.563754426520003</v>
      </c>
      <c r="AD48" s="219">
        <f t="shared" si="13"/>
        <v>25.382424663187269</v>
      </c>
      <c r="AE48" s="226">
        <f t="shared" si="14"/>
        <v>32.761551111983934</v>
      </c>
      <c r="AF48" s="228">
        <f t="shared" si="8"/>
        <v>-2.1623448321091772</v>
      </c>
      <c r="AG48" s="37">
        <f t="shared" si="15"/>
        <v>29.844679204987266</v>
      </c>
      <c r="AH48" s="37">
        <f t="shared" si="16"/>
        <v>0.61963303999666675</v>
      </c>
      <c r="AI48" s="149">
        <f t="shared" si="17"/>
        <v>-9.1736551583470813E-2</v>
      </c>
    </row>
    <row r="49" spans="1:35" x14ac:dyDescent="0.25">
      <c r="A49" s="192" t="s">
        <v>1834</v>
      </c>
      <c r="B49" s="193">
        <v>673.23733714285697</v>
      </c>
      <c r="C49" s="193">
        <v>0</v>
      </c>
      <c r="D49" s="193">
        <v>105245.98422380949</v>
      </c>
      <c r="E49" s="193">
        <v>178.37275500000001</v>
      </c>
      <c r="F49" s="193">
        <v>224.28239166666668</v>
      </c>
      <c r="G49" s="193">
        <v>62370.593999999997</v>
      </c>
      <c r="H49" s="193">
        <v>4331.7096428571431</v>
      </c>
      <c r="I49" s="193">
        <v>560014.00523357152</v>
      </c>
      <c r="J49" s="193">
        <v>117413.21592</v>
      </c>
      <c r="K49" s="193">
        <v>78.685297777777777</v>
      </c>
      <c r="L49" s="193">
        <f t="shared" si="0"/>
        <v>30.900830137246668</v>
      </c>
      <c r="M49" s="222">
        <v>31.044336567887118</v>
      </c>
      <c r="N49" s="223">
        <v>0</v>
      </c>
      <c r="O49" s="223">
        <v>31.035926008502205</v>
      </c>
      <c r="P49" s="223">
        <v>8.4105593849087244E-3</v>
      </c>
      <c r="Q49" s="223">
        <v>0</v>
      </c>
      <c r="S49" s="37">
        <f t="shared" si="9"/>
        <v>2.8275968159999991E-2</v>
      </c>
      <c r="T49" s="37">
        <f t="shared" si="10"/>
        <v>0</v>
      </c>
      <c r="U49" s="37">
        <f t="shared" si="11"/>
        <v>4.4203313373999986</v>
      </c>
      <c r="V49" s="37">
        <f t="shared" si="1"/>
        <v>9.4198604500000012E-3</v>
      </c>
      <c r="W49" s="37">
        <f t="shared" si="2"/>
        <v>2.6195649479999998</v>
      </c>
      <c r="X49" s="37">
        <f t="shared" si="3"/>
        <v>0.181931805</v>
      </c>
      <c r="Y49" s="37">
        <f t="shared" si="4"/>
        <v>0.11741321592000001</v>
      </c>
      <c r="Z49" s="37">
        <f t="shared" si="5"/>
        <v>3.304782506666667E-3</v>
      </c>
      <c r="AA49" s="217">
        <f t="shared" si="6"/>
        <v>23.520588219810005</v>
      </c>
      <c r="AB49" s="217">
        <f t="shared" si="7"/>
        <v>7.4916557100000005E-3</v>
      </c>
      <c r="AC49" s="217">
        <f t="shared" si="12"/>
        <v>23.513096564100003</v>
      </c>
      <c r="AD49" s="219">
        <f t="shared" si="13"/>
        <v>25.327856984658649</v>
      </c>
      <c r="AE49" s="226">
        <f t="shared" si="14"/>
        <v>32.708098902095315</v>
      </c>
      <c r="AF49" s="228">
        <f t="shared" si="8"/>
        <v>-1.6637623342081973</v>
      </c>
      <c r="AG49" s="37">
        <f t="shared" si="15"/>
        <v>29.748188322058645</v>
      </c>
      <c r="AH49" s="37">
        <f t="shared" si="16"/>
        <v>0.34034563203666668</v>
      </c>
      <c r="AI49" s="149">
        <f t="shared" si="17"/>
        <v>-7.0736425409926973E-2</v>
      </c>
    </row>
    <row r="50" spans="1:35" x14ac:dyDescent="0.25">
      <c r="A50" s="192" t="s">
        <v>1835</v>
      </c>
      <c r="B50" s="193">
        <v>789.59934603174588</v>
      </c>
      <c r="C50" s="193">
        <v>0</v>
      </c>
      <c r="D50" s="193">
        <v>119383.35247142853</v>
      </c>
      <c r="E50" s="193">
        <v>1673.3063207142859</v>
      </c>
      <c r="F50" s="193">
        <v>184.02657777777779</v>
      </c>
      <c r="G50" s="193">
        <v>80303.602499999994</v>
      </c>
      <c r="H50" s="193">
        <v>4385.1875396825399</v>
      </c>
      <c r="I50" s="193">
        <v>570818.29782214295</v>
      </c>
      <c r="J50" s="193">
        <v>105682.85728</v>
      </c>
      <c r="K50" s="193">
        <v>22.481513650793651</v>
      </c>
      <c r="L50" s="193">
        <f t="shared" si="0"/>
        <v>32.692917863650003</v>
      </c>
      <c r="M50" s="222">
        <v>32.341144579996183</v>
      </c>
      <c r="N50" s="223">
        <v>0</v>
      </c>
      <c r="O50" s="223">
        <v>32.331691974989354</v>
      </c>
      <c r="P50" s="223">
        <v>9.4526050068282959E-3</v>
      </c>
      <c r="Q50" s="223">
        <v>0</v>
      </c>
      <c r="S50" s="37">
        <f t="shared" si="9"/>
        <v>3.3163172533333327E-2</v>
      </c>
      <c r="T50" s="37">
        <f t="shared" si="10"/>
        <v>0</v>
      </c>
      <c r="U50" s="37">
        <f t="shared" si="11"/>
        <v>5.0141008037999981</v>
      </c>
      <c r="V50" s="37">
        <f t="shared" si="1"/>
        <v>7.7291162666666673E-3</v>
      </c>
      <c r="W50" s="37">
        <f t="shared" si="2"/>
        <v>3.3727513049999995</v>
      </c>
      <c r="X50" s="37">
        <f t="shared" si="3"/>
        <v>0.18417787666666668</v>
      </c>
      <c r="Y50" s="37">
        <f t="shared" si="4"/>
        <v>0.10568285728</v>
      </c>
      <c r="Z50" s="37">
        <f t="shared" si="5"/>
        <v>9.4422357333333339E-4</v>
      </c>
      <c r="AA50" s="217">
        <f t="shared" si="6"/>
        <v>23.974368508530002</v>
      </c>
      <c r="AB50" s="217">
        <f t="shared" si="7"/>
        <v>7.0278865470000007E-2</v>
      </c>
      <c r="AC50" s="217">
        <f t="shared" si="12"/>
        <v>23.904089643060001</v>
      </c>
      <c r="AD50" s="219">
        <f t="shared" si="13"/>
        <v>25.74902723583731</v>
      </c>
      <c r="AE50" s="226">
        <f t="shared" si="14"/>
        <v>34.467576590957307</v>
      </c>
      <c r="AF50" s="228">
        <f t="shared" si="8"/>
        <v>-2.1264320109611248</v>
      </c>
      <c r="AG50" s="37">
        <f t="shared" si="15"/>
        <v>30.763128039637309</v>
      </c>
      <c r="AH50" s="37">
        <f t="shared" si="16"/>
        <v>0.33169724632000003</v>
      </c>
      <c r="AI50" s="149">
        <f t="shared" si="17"/>
        <v>-8.8696059302022789E-2</v>
      </c>
    </row>
    <row r="51" spans="1:35" x14ac:dyDescent="0.25">
      <c r="A51" s="192" t="s">
        <v>1836</v>
      </c>
      <c r="B51" s="193">
        <v>972.4539314285712</v>
      </c>
      <c r="C51" s="193">
        <v>0</v>
      </c>
      <c r="D51" s="193">
        <v>124822.36878571425</v>
      </c>
      <c r="E51" s="193">
        <v>14736.987139285717</v>
      </c>
      <c r="F51" s="193">
        <v>230.03322222222224</v>
      </c>
      <c r="G51" s="193">
        <v>88007.287500000006</v>
      </c>
      <c r="H51" s="193">
        <v>4363.7963809523817</v>
      </c>
      <c r="I51" s="193">
        <v>569782.03705500008</v>
      </c>
      <c r="J51" s="193">
        <v>141531.71032000001</v>
      </c>
      <c r="K51" s="193">
        <v>7261.5289092063495</v>
      </c>
      <c r="L51" s="193">
        <f t="shared" si="0"/>
        <v>33.549990953270004</v>
      </c>
      <c r="M51" s="222">
        <v>32.347883053926061</v>
      </c>
      <c r="N51" s="223">
        <v>0</v>
      </c>
      <c r="O51" s="223">
        <v>32.305721028957556</v>
      </c>
      <c r="P51" s="223">
        <v>4.2162024968503464E-2</v>
      </c>
      <c r="Q51" s="223">
        <v>0</v>
      </c>
      <c r="S51" s="37">
        <f t="shared" si="9"/>
        <v>4.0843065119999987E-2</v>
      </c>
      <c r="T51" s="37">
        <f t="shared" si="10"/>
        <v>0</v>
      </c>
      <c r="U51" s="37">
        <f t="shared" si="11"/>
        <v>5.2425394889999977</v>
      </c>
      <c r="V51" s="37">
        <f t="shared" si="1"/>
        <v>9.6613953333333346E-3</v>
      </c>
      <c r="W51" s="37">
        <f t="shared" si="2"/>
        <v>3.6963060750000003</v>
      </c>
      <c r="X51" s="37">
        <f t="shared" si="3"/>
        <v>0.18327944800000004</v>
      </c>
      <c r="Y51" s="37">
        <f t="shared" si="4"/>
        <v>0.14153171032000003</v>
      </c>
      <c r="Z51" s="37">
        <f t="shared" si="5"/>
        <v>0.30498421418666666</v>
      </c>
      <c r="AA51" s="217">
        <f t="shared" si="6"/>
        <v>23.930845556310004</v>
      </c>
      <c r="AB51" s="217">
        <f t="shared" si="7"/>
        <v>0.61895345985000016</v>
      </c>
      <c r="AC51" s="217">
        <f t="shared" si="12"/>
        <v>23.311892096460003</v>
      </c>
      <c r="AD51" s="219">
        <f t="shared" si="13"/>
        <v>25.11112338824919</v>
      </c>
      <c r="AE51" s="226">
        <f t="shared" si="14"/>
        <v>34.730268785209191</v>
      </c>
      <c r="AF51" s="228">
        <f t="shared" si="8"/>
        <v>-2.3823857312831294</v>
      </c>
      <c r="AG51" s="37">
        <f t="shared" si="15"/>
        <v>30.353662877249189</v>
      </c>
      <c r="AH51" s="37">
        <f t="shared" si="16"/>
        <v>0.68029983296000007</v>
      </c>
      <c r="AI51" s="149">
        <f t="shared" si="17"/>
        <v>-9.9552927441585948E-2</v>
      </c>
    </row>
    <row r="52" spans="1:35" x14ac:dyDescent="0.25">
      <c r="A52" s="192" t="s">
        <v>1837</v>
      </c>
      <c r="B52" s="193">
        <v>407.26703111111101</v>
      </c>
      <c r="C52" s="193">
        <v>0</v>
      </c>
      <c r="D52" s="193">
        <v>122082.48978095234</v>
      </c>
      <c r="E52" s="193">
        <v>39836.581950000007</v>
      </c>
      <c r="F52" s="193">
        <v>195.52823888888889</v>
      </c>
      <c r="G52" s="193">
        <v>81785.830499999996</v>
      </c>
      <c r="H52" s="193">
        <v>4246.1450079365086</v>
      </c>
      <c r="I52" s="193">
        <v>572483.11020214297</v>
      </c>
      <c r="J52" s="193">
        <v>121359.87864</v>
      </c>
      <c r="K52" s="193">
        <v>4204.0430526984128</v>
      </c>
      <c r="L52" s="193">
        <f t="shared" si="0"/>
        <v>33.108345258816669</v>
      </c>
      <c r="M52" s="222">
        <v>31.473855031392308</v>
      </c>
      <c r="N52" s="223">
        <v>0</v>
      </c>
      <c r="O52" s="223">
        <v>31.434806005676663</v>
      </c>
      <c r="P52" s="223">
        <v>3.9049025715647639E-2</v>
      </c>
      <c r="Q52" s="223">
        <v>0</v>
      </c>
      <c r="S52" s="37">
        <f t="shared" si="9"/>
        <v>1.7105215306666661E-2</v>
      </c>
      <c r="T52" s="37">
        <f t="shared" si="10"/>
        <v>0</v>
      </c>
      <c r="U52" s="37">
        <f t="shared" si="11"/>
        <v>5.1274645707999982</v>
      </c>
      <c r="V52" s="37">
        <f t="shared" si="1"/>
        <v>8.2121860333333324E-3</v>
      </c>
      <c r="W52" s="37">
        <f t="shared" si="2"/>
        <v>3.4350048809999998</v>
      </c>
      <c r="X52" s="37">
        <f t="shared" si="3"/>
        <v>0.17833809033333337</v>
      </c>
      <c r="Y52" s="37">
        <f t="shared" si="4"/>
        <v>0.12135987864</v>
      </c>
      <c r="Z52" s="37">
        <f t="shared" si="5"/>
        <v>0.17656980821333335</v>
      </c>
      <c r="AA52" s="217">
        <f t="shared" si="6"/>
        <v>24.044290628490007</v>
      </c>
      <c r="AB52" s="217">
        <f t="shared" si="7"/>
        <v>1.6731364419000003</v>
      </c>
      <c r="AC52" s="217">
        <f t="shared" si="12"/>
        <v>22.371154186590008</v>
      </c>
      <c r="AD52" s="219">
        <f t="shared" si="13"/>
        <v>24.097778541207095</v>
      </c>
      <c r="AE52" s="226">
        <f t="shared" si="14"/>
        <v>33.161833171533758</v>
      </c>
      <c r="AF52" s="228">
        <f t="shared" si="8"/>
        <v>-1.6879781401414498</v>
      </c>
      <c r="AG52" s="37">
        <f t="shared" si="15"/>
        <v>29.225243112007092</v>
      </c>
      <c r="AH52" s="37">
        <f t="shared" si="16"/>
        <v>0.50158517852666673</v>
      </c>
      <c r="AI52" s="149">
        <f t="shared" si="17"/>
        <v>-7.020286712644247E-2</v>
      </c>
    </row>
    <row r="53" spans="1:35" x14ac:dyDescent="0.25">
      <c r="A53" s="192" t="s">
        <v>1838</v>
      </c>
      <c r="B53" s="193">
        <v>723.10676952380936</v>
      </c>
      <c r="C53" s="193">
        <v>0</v>
      </c>
      <c r="D53" s="193">
        <v>121053.76197619044</v>
      </c>
      <c r="E53" s="193">
        <v>51209.968566428579</v>
      </c>
      <c r="F53" s="193">
        <v>166.77408611111113</v>
      </c>
      <c r="G53" s="193">
        <v>80303.602499999994</v>
      </c>
      <c r="H53" s="193">
        <v>4385.1875396825399</v>
      </c>
      <c r="I53" s="193">
        <v>592673.20728000009</v>
      </c>
      <c r="J53" s="193">
        <v>133583.57011999999</v>
      </c>
      <c r="K53" s="193">
        <v>3158.6526679365079</v>
      </c>
      <c r="L53" s="193">
        <f t="shared" si="0"/>
        <v>33.837083868536666</v>
      </c>
      <c r="M53" s="222">
        <v>31.828916188486346</v>
      </c>
      <c r="N53" s="223">
        <v>0</v>
      </c>
      <c r="O53" s="223">
        <v>31.790677522065259</v>
      </c>
      <c r="P53" s="223">
        <v>3.8238666421089397E-2</v>
      </c>
      <c r="Q53" s="223">
        <v>0</v>
      </c>
      <c r="S53" s="37">
        <f t="shared" si="9"/>
        <v>3.0370484319999991E-2</v>
      </c>
      <c r="T53" s="37">
        <f t="shared" si="10"/>
        <v>0</v>
      </c>
      <c r="U53" s="37">
        <f t="shared" si="11"/>
        <v>5.0842580029999977</v>
      </c>
      <c r="V53" s="37">
        <f t="shared" si="1"/>
        <v>7.0045116166666671E-3</v>
      </c>
      <c r="W53" s="37">
        <f t="shared" si="2"/>
        <v>3.3727513049999995</v>
      </c>
      <c r="X53" s="37">
        <f t="shared" si="3"/>
        <v>0.18417787666666668</v>
      </c>
      <c r="Y53" s="37">
        <f t="shared" si="4"/>
        <v>0.13358357011999999</v>
      </c>
      <c r="Z53" s="37">
        <f t="shared" si="5"/>
        <v>0.13266341205333332</v>
      </c>
      <c r="AA53" s="217">
        <f t="shared" si="6"/>
        <v>24.892274705760002</v>
      </c>
      <c r="AB53" s="217">
        <f t="shared" si="7"/>
        <v>2.1508186797900004</v>
      </c>
      <c r="AC53" s="217">
        <f t="shared" si="12"/>
        <v>22.741456025970002</v>
      </c>
      <c r="AD53" s="219">
        <f t="shared" si="13"/>
        <v>24.496660585662795</v>
      </c>
      <c r="AE53" s="226">
        <f t="shared" si="14"/>
        <v>33.441469748439459</v>
      </c>
      <c r="AF53" s="228">
        <f t="shared" si="8"/>
        <v>-1.6125535599531133</v>
      </c>
      <c r="AG53" s="37">
        <f t="shared" si="15"/>
        <v>29.580918588662794</v>
      </c>
      <c r="AH53" s="37">
        <f t="shared" si="16"/>
        <v>0.48779985477666665</v>
      </c>
      <c r="AI53" s="149">
        <f t="shared" si="17"/>
        <v>-6.4781285720745041E-2</v>
      </c>
    </row>
    <row r="54" spans="1:35" x14ac:dyDescent="0.25">
      <c r="A54" s="192" t="s">
        <v>1839</v>
      </c>
      <c r="B54" s="193">
        <v>415.57860317460307</v>
      </c>
      <c r="C54" s="193">
        <v>0</v>
      </c>
      <c r="D54" s="193">
        <v>110837.78189523806</v>
      </c>
      <c r="E54" s="193">
        <v>42707.533911428574</v>
      </c>
      <c r="F54" s="193">
        <v>316.29568055555558</v>
      </c>
      <c r="G54" s="193">
        <v>107851.59</v>
      </c>
      <c r="H54" s="193">
        <v>4075.0157380952387</v>
      </c>
      <c r="I54" s="193">
        <v>570911.73117000004</v>
      </c>
      <c r="J54" s="193">
        <v>104970.2654</v>
      </c>
      <c r="K54" s="193">
        <v>3405.9493180952381</v>
      </c>
      <c r="L54" s="193">
        <f t="shared" si="0"/>
        <v>33.613155846416674</v>
      </c>
      <c r="M54" s="222">
        <v>30.871216525399529</v>
      </c>
      <c r="N54" s="223">
        <v>0</v>
      </c>
      <c r="O54" s="223">
        <v>30.829809512332119</v>
      </c>
      <c r="P54" s="223">
        <v>4.1407013067408231E-2</v>
      </c>
      <c r="Q54" s="223">
        <v>0</v>
      </c>
      <c r="S54" s="37">
        <f t="shared" si="9"/>
        <v>1.7454301333333328E-2</v>
      </c>
      <c r="T54" s="37">
        <f t="shared" si="10"/>
        <v>0</v>
      </c>
      <c r="U54" s="37">
        <f t="shared" si="11"/>
        <v>4.6551868395999989</v>
      </c>
      <c r="V54" s="37">
        <f t="shared" si="1"/>
        <v>1.3284418583333334E-2</v>
      </c>
      <c r="W54" s="37">
        <f t="shared" si="2"/>
        <v>4.5297667800000001</v>
      </c>
      <c r="X54" s="37">
        <f t="shared" si="3"/>
        <v>0.17115066100000004</v>
      </c>
      <c r="Y54" s="37">
        <f t="shared" si="4"/>
        <v>0.10497026540000001</v>
      </c>
      <c r="Z54" s="37">
        <f t="shared" si="5"/>
        <v>0.14304987136000002</v>
      </c>
      <c r="AA54" s="217">
        <f t="shared" si="6"/>
        <v>23.978292709140003</v>
      </c>
      <c r="AB54" s="217">
        <f t="shared" si="7"/>
        <v>1.7937164242800001</v>
      </c>
      <c r="AC54" s="217">
        <f t="shared" si="12"/>
        <v>22.184576284860004</v>
      </c>
      <c r="AD54" s="219">
        <f t="shared" si="13"/>
        <v>23.896800401274202</v>
      </c>
      <c r="AE54" s="226">
        <f t="shared" si="14"/>
        <v>33.531663538550866</v>
      </c>
      <c r="AF54" s="228">
        <f t="shared" si="8"/>
        <v>-2.6604470131513374</v>
      </c>
      <c r="AG54" s="37">
        <f t="shared" si="15"/>
        <v>28.551987240874201</v>
      </c>
      <c r="AH54" s="37">
        <f t="shared" si="16"/>
        <v>0.44990951767666676</v>
      </c>
      <c r="AI54" s="149">
        <f t="shared" si="17"/>
        <v>-0.11095231196911834</v>
      </c>
    </row>
    <row r="55" spans="1:35" x14ac:dyDescent="0.25">
      <c r="A55" s="192" t="s">
        <v>1840</v>
      </c>
      <c r="B55" s="193">
        <v>806.2224901587299</v>
      </c>
      <c r="C55" s="193">
        <v>0</v>
      </c>
      <c r="D55" s="193">
        <v>109758.12697142853</v>
      </c>
      <c r="E55" s="193">
        <v>47413.17706714286</v>
      </c>
      <c r="F55" s="193">
        <v>143.77076388888889</v>
      </c>
      <c r="G55" s="193">
        <v>60508.057500000003</v>
      </c>
      <c r="H55" s="193">
        <v>3668.5837222222226</v>
      </c>
      <c r="I55" s="193">
        <v>557882.02611428581</v>
      </c>
      <c r="J55" s="193">
        <v>102065.08312</v>
      </c>
      <c r="K55" s="193">
        <v>4473.8212165079367</v>
      </c>
      <c r="L55" s="193">
        <f t="shared" si="0"/>
        <v>31.066170651816666</v>
      </c>
      <c r="M55" s="222">
        <v>28.987244396457257</v>
      </c>
      <c r="N55" s="223">
        <v>0</v>
      </c>
      <c r="O55" s="223">
        <v>28.945216986153724</v>
      </c>
      <c r="P55" s="223">
        <v>4.2027410303535635E-2</v>
      </c>
      <c r="Q55" s="223">
        <v>0</v>
      </c>
      <c r="S55" s="37">
        <f t="shared" si="9"/>
        <v>3.3861344586666661E-2</v>
      </c>
      <c r="T55" s="37">
        <f t="shared" si="10"/>
        <v>0</v>
      </c>
      <c r="U55" s="37">
        <f t="shared" si="11"/>
        <v>4.6098413327999985</v>
      </c>
      <c r="V55" s="37">
        <f t="shared" si="1"/>
        <v>6.0383720833333343E-3</v>
      </c>
      <c r="W55" s="37">
        <f t="shared" si="2"/>
        <v>2.5413384149999998</v>
      </c>
      <c r="X55" s="37">
        <f t="shared" si="3"/>
        <v>0.15408051633333333</v>
      </c>
      <c r="Y55" s="37">
        <f t="shared" si="4"/>
        <v>0.10206508311999998</v>
      </c>
      <c r="Z55" s="37">
        <f t="shared" si="5"/>
        <v>0.18790049109333334</v>
      </c>
      <c r="AA55" s="217">
        <f t="shared" si="6"/>
        <v>23.431045096800002</v>
      </c>
      <c r="AB55" s="217">
        <f t="shared" si="7"/>
        <v>1.9913534368200001</v>
      </c>
      <c r="AC55" s="217">
        <f t="shared" si="12"/>
        <v>21.439691659980003</v>
      </c>
      <c r="AD55" s="219">
        <f t="shared" si="13"/>
        <v>23.094424959247693</v>
      </c>
      <c r="AE55" s="226">
        <f t="shared" si="14"/>
        <v>30.729550514264357</v>
      </c>
      <c r="AF55" s="228">
        <f t="shared" si="8"/>
        <v>-1.7423061178071002</v>
      </c>
      <c r="AG55" s="37">
        <f t="shared" si="15"/>
        <v>27.704266292047691</v>
      </c>
      <c r="AH55" s="37">
        <f t="shared" si="16"/>
        <v>0.48394580721666663</v>
      </c>
      <c r="AI55" s="149">
        <f t="shared" si="17"/>
        <v>-7.435887347786499E-2</v>
      </c>
    </row>
    <row r="56" spans="1:35" x14ac:dyDescent="0.25">
      <c r="A56" s="192" t="s">
        <v>1841</v>
      </c>
      <c r="B56" s="193">
        <v>465.44803555555541</v>
      </c>
      <c r="C56" s="193">
        <v>0</v>
      </c>
      <c r="D56" s="193">
        <v>111418.35105238092</v>
      </c>
      <c r="E56" s="193">
        <v>59185.778897142867</v>
      </c>
      <c r="F56" s="193">
        <v>57.508305555555559</v>
      </c>
      <c r="G56" s="193">
        <v>83404.579500000007</v>
      </c>
      <c r="H56" s="193">
        <v>4192.6671111111118</v>
      </c>
      <c r="I56" s="193">
        <v>557652.6897150001</v>
      </c>
      <c r="J56" s="193">
        <v>250064.93512000001</v>
      </c>
      <c r="K56" s="193">
        <v>3192.3749384126986</v>
      </c>
      <c r="L56" s="193">
        <f t="shared" si="0"/>
        <v>32.186176918756665</v>
      </c>
      <c r="M56" s="222">
        <v>29.194372528968803</v>
      </c>
      <c r="N56" s="223">
        <v>0</v>
      </c>
      <c r="O56" s="223">
        <v>29.154184573186264</v>
      </c>
      <c r="P56" s="223">
        <v>4.018795578253808E-2</v>
      </c>
      <c r="Q56" s="223">
        <v>0</v>
      </c>
      <c r="S56" s="37">
        <f t="shared" si="9"/>
        <v>1.9548817493333329E-2</v>
      </c>
      <c r="T56" s="37">
        <f t="shared" si="10"/>
        <v>0</v>
      </c>
      <c r="U56" s="37">
        <f t="shared" si="11"/>
        <v>4.6795707441999985</v>
      </c>
      <c r="V56" s="37">
        <f t="shared" si="1"/>
        <v>2.4153488333333336E-3</v>
      </c>
      <c r="W56" s="37">
        <f t="shared" si="2"/>
        <v>3.5029923390000004</v>
      </c>
      <c r="X56" s="37">
        <f t="shared" si="3"/>
        <v>0.17609201866666668</v>
      </c>
      <c r="Y56" s="37">
        <f t="shared" si="4"/>
        <v>0.25006493512</v>
      </c>
      <c r="Z56" s="37">
        <f t="shared" si="5"/>
        <v>0.13407974741333334</v>
      </c>
      <c r="AA56" s="217">
        <f t="shared" si="6"/>
        <v>23.421412968030001</v>
      </c>
      <c r="AB56" s="217">
        <f t="shared" si="7"/>
        <v>2.4858027136800005</v>
      </c>
      <c r="AC56" s="217">
        <f t="shared" si="12"/>
        <v>20.935610254349999</v>
      </c>
      <c r="AD56" s="219">
        <f t="shared" si="13"/>
        <v>22.551438129945268</v>
      </c>
      <c r="AE56" s="226">
        <f t="shared" si="14"/>
        <v>31.316202080671932</v>
      </c>
      <c r="AF56" s="228">
        <f t="shared" si="8"/>
        <v>-2.1218295517031294</v>
      </c>
      <c r="AG56" s="37">
        <f t="shared" si="15"/>
        <v>27.231008874145267</v>
      </c>
      <c r="AH56" s="37">
        <f t="shared" si="16"/>
        <v>0.58220086752666678</v>
      </c>
      <c r="AI56" s="149">
        <f t="shared" si="17"/>
        <v>-9.0593575827359593E-2</v>
      </c>
    </row>
    <row r="57" spans="1:35" x14ac:dyDescent="0.25">
      <c r="A57" s="192" t="s">
        <v>1842</v>
      </c>
      <c r="B57" s="193">
        <v>440.51331936507927</v>
      </c>
      <c r="C57" s="193">
        <v>0</v>
      </c>
      <c r="D57" s="193">
        <v>115553.63311904758</v>
      </c>
      <c r="E57" s="193">
        <v>56977.354311428579</v>
      </c>
      <c r="F57" s="193">
        <v>63.259136111111118</v>
      </c>
      <c r="G57" s="193">
        <v>84028.675499999998</v>
      </c>
      <c r="H57" s="193">
        <v>4075.0157380952387</v>
      </c>
      <c r="I57" s="193">
        <v>551418.13723071432</v>
      </c>
      <c r="J57" s="193">
        <v>296931.55492000002</v>
      </c>
      <c r="K57" s="193">
        <v>2360.5589333333332</v>
      </c>
      <c r="L57" s="193">
        <f t="shared" si="0"/>
        <v>32.130402859939998</v>
      </c>
      <c r="M57" s="222">
        <v>29.139892806651648</v>
      </c>
      <c r="N57" s="223">
        <v>0</v>
      </c>
      <c r="O57" s="223">
        <v>29.098328209690141</v>
      </c>
      <c r="P57" s="223">
        <v>4.1564596961506863E-2</v>
      </c>
      <c r="Q57" s="223">
        <v>0</v>
      </c>
      <c r="S57" s="37">
        <f t="shared" si="9"/>
        <v>1.850155941333333E-2</v>
      </c>
      <c r="T57" s="37">
        <f t="shared" si="10"/>
        <v>0</v>
      </c>
      <c r="U57" s="37">
        <f t="shared" si="11"/>
        <v>4.8532525909999977</v>
      </c>
      <c r="V57" s="37">
        <f t="shared" si="1"/>
        <v>2.6568837166666666E-3</v>
      </c>
      <c r="W57" s="37">
        <f t="shared" si="2"/>
        <v>3.5292043710000001</v>
      </c>
      <c r="X57" s="37">
        <f t="shared" si="3"/>
        <v>0.17115066100000004</v>
      </c>
      <c r="Y57" s="37">
        <f t="shared" si="4"/>
        <v>0.29693155492000001</v>
      </c>
      <c r="Z57" s="37">
        <f t="shared" si="5"/>
        <v>9.9143475199999997E-2</v>
      </c>
      <c r="AA57" s="217">
        <f t="shared" si="6"/>
        <v>23.159561763690004</v>
      </c>
      <c r="AB57" s="217">
        <f t="shared" si="7"/>
        <v>2.3930488810800004</v>
      </c>
      <c r="AC57" s="217">
        <f t="shared" si="12"/>
        <v>20.766512882610002</v>
      </c>
      <c r="AD57" s="219">
        <f t="shared" si="13"/>
        <v>22.369289681899023</v>
      </c>
      <c r="AE57" s="226">
        <f t="shared" si="14"/>
        <v>31.340130778149021</v>
      </c>
      <c r="AF57" s="228">
        <f t="shared" si="8"/>
        <v>-2.2002379714973728</v>
      </c>
      <c r="AG57" s="37">
        <f t="shared" si="15"/>
        <v>27.22254227289902</v>
      </c>
      <c r="AH57" s="37">
        <f t="shared" si="16"/>
        <v>0.58838413425000002</v>
      </c>
      <c r="AI57" s="149">
        <f t="shared" si="17"/>
        <v>-9.5003437195730844E-2</v>
      </c>
    </row>
    <row r="58" spans="1:35" x14ac:dyDescent="0.25">
      <c r="A58" s="192" t="s">
        <v>1843</v>
      </c>
      <c r="B58" s="193">
        <v>415.57860317460307</v>
      </c>
      <c r="C58" s="193">
        <v>0</v>
      </c>
      <c r="D58" s="193">
        <v>106845.09576190473</v>
      </c>
      <c r="E58" s="193">
        <v>55422.963160714295</v>
      </c>
      <c r="F58" s="193">
        <v>63.259136111111118</v>
      </c>
      <c r="G58" s="193">
        <v>83541.1005</v>
      </c>
      <c r="H58" s="193">
        <v>3700.6704603174608</v>
      </c>
      <c r="I58" s="193">
        <v>548037.5488264286</v>
      </c>
      <c r="J58" s="193">
        <v>245186.42147999999</v>
      </c>
      <c r="K58" s="193">
        <v>1843.4841193650793</v>
      </c>
      <c r="L58" s="193">
        <f t="shared" si="0"/>
        <v>31.511949392586665</v>
      </c>
      <c r="M58" s="222">
        <v>28.60906538035595</v>
      </c>
      <c r="N58" s="223">
        <v>0</v>
      </c>
      <c r="O58" s="223">
        <v>28.56746550750891</v>
      </c>
      <c r="P58" s="223">
        <v>4.1599872847042758E-2</v>
      </c>
      <c r="Q58" s="223">
        <v>0</v>
      </c>
      <c r="S58" s="37">
        <f t="shared" si="9"/>
        <v>1.7454301333333328E-2</v>
      </c>
      <c r="T58" s="37">
        <f t="shared" si="10"/>
        <v>0</v>
      </c>
      <c r="U58" s="37">
        <f t="shared" si="11"/>
        <v>4.4874940219999981</v>
      </c>
      <c r="V58" s="37">
        <f t="shared" si="1"/>
        <v>2.6568837166666666E-3</v>
      </c>
      <c r="W58" s="37">
        <f t="shared" si="2"/>
        <v>3.5087262209999999</v>
      </c>
      <c r="X58" s="37">
        <f t="shared" si="3"/>
        <v>0.15542815933333334</v>
      </c>
      <c r="Y58" s="37">
        <f t="shared" si="4"/>
        <v>0.24518642148</v>
      </c>
      <c r="Z58" s="37">
        <f t="shared" si="5"/>
        <v>7.7426333013333334E-2</v>
      </c>
      <c r="AA58" s="217">
        <f t="shared" si="6"/>
        <v>23.017577050710003</v>
      </c>
      <c r="AB58" s="217">
        <f t="shared" si="7"/>
        <v>2.3277644527500003</v>
      </c>
      <c r="AC58" s="217">
        <f t="shared" si="12"/>
        <v>20.689812597960003</v>
      </c>
      <c r="AD58" s="219">
        <f t="shared" si="13"/>
        <v>22.286669605253572</v>
      </c>
      <c r="AE58" s="226">
        <f t="shared" si="14"/>
        <v>30.781041947130234</v>
      </c>
      <c r="AF58" s="228">
        <f t="shared" si="8"/>
        <v>-2.1719765667742834</v>
      </c>
      <c r="AG58" s="37">
        <f t="shared" si="15"/>
        <v>26.774163627253571</v>
      </c>
      <c r="AH58" s="37">
        <f t="shared" si="16"/>
        <v>0.49815209887666667</v>
      </c>
      <c r="AI58" s="149">
        <f t="shared" si="17"/>
        <v>-9.4361650750172527E-2</v>
      </c>
    </row>
    <row r="59" spans="1:35" x14ac:dyDescent="0.25">
      <c r="A59" s="192" t="s">
        <v>1844</v>
      </c>
      <c r="B59" s="193">
        <v>357.39759873015862</v>
      </c>
      <c r="C59" s="193">
        <v>0</v>
      </c>
      <c r="D59" s="193">
        <v>137095.80447619045</v>
      </c>
      <c r="E59" s="193">
        <v>56263.863291428577</v>
      </c>
      <c r="F59" s="193">
        <v>69.009966666666671</v>
      </c>
      <c r="G59" s="193">
        <v>85754.691000000006</v>
      </c>
      <c r="H59" s="193">
        <v>4214.05826984127</v>
      </c>
      <c r="I59" s="193">
        <v>546236.83339500008</v>
      </c>
      <c r="J59" s="193">
        <v>189549.44008</v>
      </c>
      <c r="K59" s="193">
        <v>2214.4290946031747</v>
      </c>
      <c r="L59" s="193">
        <f t="shared" si="0"/>
        <v>32.779122839723343</v>
      </c>
      <c r="M59" s="222">
        <v>29.873225105712574</v>
      </c>
      <c r="N59" s="223">
        <v>0</v>
      </c>
      <c r="O59" s="223">
        <v>29.8350410659578</v>
      </c>
      <c r="P59" s="223">
        <v>3.8184039754773559E-2</v>
      </c>
      <c r="Q59" s="223">
        <v>0</v>
      </c>
      <c r="S59" s="37">
        <f t="shared" si="9"/>
        <v>1.5010699146666662E-2</v>
      </c>
      <c r="T59" s="37">
        <f t="shared" si="10"/>
        <v>0</v>
      </c>
      <c r="U59" s="37">
        <f t="shared" si="11"/>
        <v>5.7580237879999991</v>
      </c>
      <c r="V59" s="37">
        <f t="shared" si="1"/>
        <v>2.8984186E-3</v>
      </c>
      <c r="W59" s="37">
        <f t="shared" si="2"/>
        <v>3.6016970220000006</v>
      </c>
      <c r="X59" s="37">
        <f t="shared" si="3"/>
        <v>0.17699044733333336</v>
      </c>
      <c r="Y59" s="37">
        <f t="shared" si="4"/>
        <v>0.18954944008000002</v>
      </c>
      <c r="Z59" s="37">
        <f t="shared" si="5"/>
        <v>9.3006021973333339E-2</v>
      </c>
      <c r="AA59" s="217">
        <f t="shared" si="6"/>
        <v>22.941947002590005</v>
      </c>
      <c r="AB59" s="217">
        <f t="shared" si="7"/>
        <v>2.3630822582400004</v>
      </c>
      <c r="AC59" s="217">
        <f t="shared" si="12"/>
        <v>20.578864744350007</v>
      </c>
      <c r="AD59" s="219">
        <f t="shared" si="13"/>
        <v>22.167158703687367</v>
      </c>
      <c r="AE59" s="226">
        <f t="shared" si="14"/>
        <v>32.0043345408207</v>
      </c>
      <c r="AF59" s="228">
        <f t="shared" si="8"/>
        <v>-2.1311094351081259</v>
      </c>
      <c r="AG59" s="37">
        <f t="shared" si="15"/>
        <v>27.925182491687366</v>
      </c>
      <c r="AH59" s="37">
        <f t="shared" si="16"/>
        <v>0.47745502713333338</v>
      </c>
      <c r="AI59" s="149">
        <f t="shared" si="17"/>
        <v>-9.2891393867640643E-2</v>
      </c>
    </row>
    <row r="60" spans="1:35" x14ac:dyDescent="0.25">
      <c r="A60" s="192" t="s">
        <v>1845</v>
      </c>
      <c r="B60" s="193">
        <v>615.05633269841258</v>
      </c>
      <c r="C60" s="193">
        <v>0</v>
      </c>
      <c r="D60" s="193">
        <v>105765.44083809521</v>
      </c>
      <c r="E60" s="193">
        <v>55958.081425714292</v>
      </c>
      <c r="F60" s="193">
        <v>92.013288888888894</v>
      </c>
      <c r="G60" s="193">
        <v>90396.404999999999</v>
      </c>
      <c r="H60" s="193">
        <v>3871.7997301587307</v>
      </c>
      <c r="I60" s="193">
        <v>538677.22615928575</v>
      </c>
      <c r="J60" s="193">
        <v>467515.08804</v>
      </c>
      <c r="K60" s="193">
        <v>1056.6311415873017</v>
      </c>
      <c r="L60" s="193">
        <f t="shared" si="0"/>
        <v>31.567447132650003</v>
      </c>
      <c r="M60" s="222">
        <v>28.061539553056065</v>
      </c>
      <c r="N60" s="223">
        <v>0</v>
      </c>
      <c r="O60" s="223">
        <v>28.022308260175041</v>
      </c>
      <c r="P60" s="223">
        <v>3.9231292881024088E-2</v>
      </c>
      <c r="Q60" s="223">
        <v>0</v>
      </c>
      <c r="S60" s="37">
        <f t="shared" si="9"/>
        <v>2.583236597333333E-2</v>
      </c>
      <c r="T60" s="37">
        <f t="shared" si="10"/>
        <v>0</v>
      </c>
      <c r="U60" s="37">
        <f t="shared" si="11"/>
        <v>4.4421485151999986</v>
      </c>
      <c r="V60" s="37">
        <f t="shared" si="1"/>
        <v>3.8645581333333337E-3</v>
      </c>
      <c r="W60" s="37">
        <f t="shared" si="2"/>
        <v>3.7966490099999999</v>
      </c>
      <c r="X60" s="37">
        <f t="shared" si="3"/>
        <v>0.1626155886666667</v>
      </c>
      <c r="Y60" s="37">
        <f t="shared" si="4"/>
        <v>0.46751508804000003</v>
      </c>
      <c r="Z60" s="37">
        <f t="shared" si="5"/>
        <v>4.4378507946666673E-2</v>
      </c>
      <c r="AA60" s="217">
        <f t="shared" si="6"/>
        <v>22.624443498690002</v>
      </c>
      <c r="AB60" s="217">
        <f t="shared" si="7"/>
        <v>2.3502394198800003</v>
      </c>
      <c r="AC60" s="217">
        <f t="shared" si="12"/>
        <v>20.274204078810001</v>
      </c>
      <c r="AD60" s="219">
        <f t="shared" si="13"/>
        <v>21.838984073663109</v>
      </c>
      <c r="AE60" s="226">
        <f t="shared" si="14"/>
        <v>30.781987707623109</v>
      </c>
      <c r="AF60" s="228">
        <f t="shared" si="8"/>
        <v>-2.7204481545670447</v>
      </c>
      <c r="AG60" s="37">
        <f t="shared" si="15"/>
        <v>26.281132588863109</v>
      </c>
      <c r="AH60" s="37">
        <f t="shared" si="16"/>
        <v>0.70420610876</v>
      </c>
      <c r="AI60" s="149">
        <f t="shared" si="17"/>
        <v>-0.12024376001666356</v>
      </c>
    </row>
    <row r="61" spans="1:35" x14ac:dyDescent="0.25">
      <c r="A61" s="192" t="s">
        <v>1846</v>
      </c>
      <c r="B61" s="193">
        <v>590.12161650793632</v>
      </c>
      <c r="C61" s="193">
        <v>0</v>
      </c>
      <c r="D61" s="193">
        <v>113353.58157619044</v>
      </c>
      <c r="E61" s="193">
        <v>56790.487615714293</v>
      </c>
      <c r="F61" s="193">
        <v>143.77076388888889</v>
      </c>
      <c r="G61" s="193">
        <v>95642.712</v>
      </c>
      <c r="H61" s="193">
        <v>4321.0140634920635</v>
      </c>
      <c r="I61" s="193">
        <v>545039.18775428575</v>
      </c>
      <c r="J61" s="193">
        <v>611129.75924000004</v>
      </c>
      <c r="K61" s="193">
        <v>966.70508698412698</v>
      </c>
      <c r="L61" s="193">
        <f t="shared" si="0"/>
        <v>32.533527659416663</v>
      </c>
      <c r="M61" s="222">
        <v>28.545017287030312</v>
      </c>
      <c r="N61" s="223">
        <v>0</v>
      </c>
      <c r="O61" s="223">
        <v>28.500925718872331</v>
      </c>
      <c r="P61" s="223">
        <v>4.4091568157977469E-2</v>
      </c>
      <c r="Q61" s="223">
        <v>0</v>
      </c>
      <c r="S61" s="37">
        <f t="shared" si="9"/>
        <v>2.4785107893333328E-2</v>
      </c>
      <c r="T61" s="37">
        <f t="shared" si="10"/>
        <v>0</v>
      </c>
      <c r="U61" s="37">
        <f t="shared" si="11"/>
        <v>4.7608504261999984</v>
      </c>
      <c r="V61" s="37">
        <f t="shared" si="1"/>
        <v>6.0383720833333343E-3</v>
      </c>
      <c r="W61" s="37">
        <f t="shared" si="2"/>
        <v>4.0169939039999996</v>
      </c>
      <c r="X61" s="37">
        <f t="shared" si="3"/>
        <v>0.18148259066666667</v>
      </c>
      <c r="Y61" s="37">
        <f t="shared" si="4"/>
        <v>0.61112975924000001</v>
      </c>
      <c r="Z61" s="37">
        <f t="shared" si="5"/>
        <v>4.0601613653333334E-2</v>
      </c>
      <c r="AA61" s="217">
        <f t="shared" si="6"/>
        <v>22.891645885679999</v>
      </c>
      <c r="AB61" s="217">
        <f t="shared" si="7"/>
        <v>2.3852004798599999</v>
      </c>
      <c r="AC61" s="217">
        <f t="shared" si="12"/>
        <v>20.506445405819999</v>
      </c>
      <c r="AD61" s="219">
        <f t="shared" si="13"/>
        <v>22.089149980157003</v>
      </c>
      <c r="AE61" s="226">
        <f t="shared" si="14"/>
        <v>31.731031753893667</v>
      </c>
      <c r="AF61" s="228">
        <f t="shared" si="8"/>
        <v>-3.1860144668633552</v>
      </c>
      <c r="AG61" s="37">
        <f t="shared" si="15"/>
        <v>26.850000406357001</v>
      </c>
      <c r="AH61" s="37">
        <f t="shared" si="16"/>
        <v>0.86403744353666667</v>
      </c>
      <c r="AI61" s="149">
        <f t="shared" si="17"/>
        <v>-0.13917804262630085</v>
      </c>
    </row>
    <row r="62" spans="1:35" x14ac:dyDescent="0.25">
      <c r="A62" s="192" t="s">
        <v>1847</v>
      </c>
      <c r="B62" s="193">
        <v>573.49847238095219</v>
      </c>
      <c r="C62" s="193">
        <v>0</v>
      </c>
      <c r="D62" s="193">
        <v>111713.72834285711</v>
      </c>
      <c r="E62" s="193">
        <v>57096.269481428579</v>
      </c>
      <c r="F62" s="193">
        <v>189.77740833333334</v>
      </c>
      <c r="G62" s="193">
        <v>111167.1</v>
      </c>
      <c r="H62" s="193">
        <v>4096.4068968253969</v>
      </c>
      <c r="I62" s="193">
        <v>551214.28265357146</v>
      </c>
      <c r="J62" s="193">
        <v>485658.77360000001</v>
      </c>
      <c r="K62" s="193">
        <v>2248.151365079365</v>
      </c>
      <c r="L62" s="193">
        <f t="shared" si="0"/>
        <v>33.296182469439998</v>
      </c>
      <c r="M62" s="222">
        <v>28.891424634303558</v>
      </c>
      <c r="N62" s="223">
        <v>0</v>
      </c>
      <c r="O62" s="223">
        <v>28.871695156339172</v>
      </c>
      <c r="P62" s="223">
        <v>1.972947796438547E-2</v>
      </c>
      <c r="Q62" s="223">
        <v>0</v>
      </c>
      <c r="S62" s="37">
        <f t="shared" si="9"/>
        <v>2.4086935839999993E-2</v>
      </c>
      <c r="T62" s="37">
        <f t="shared" si="10"/>
        <v>0</v>
      </c>
      <c r="U62" s="37">
        <f t="shared" si="11"/>
        <v>4.6919765903999986</v>
      </c>
      <c r="V62" s="37">
        <f t="shared" si="1"/>
        <v>7.9706511500000007E-3</v>
      </c>
      <c r="W62" s="37">
        <f t="shared" si="2"/>
        <v>4.6690182</v>
      </c>
      <c r="X62" s="37">
        <f t="shared" si="3"/>
        <v>0.17204908966666665</v>
      </c>
      <c r="Y62" s="37">
        <f t="shared" si="4"/>
        <v>0.48565877360000004</v>
      </c>
      <c r="Z62" s="37">
        <f t="shared" si="5"/>
        <v>9.4422357333333332E-2</v>
      </c>
      <c r="AA62" s="217">
        <f t="shared" si="6"/>
        <v>23.150999871450001</v>
      </c>
      <c r="AB62" s="217">
        <f t="shared" si="7"/>
        <v>2.3980433182200001</v>
      </c>
      <c r="AC62" s="217">
        <f t="shared" si="12"/>
        <v>20.75295655323</v>
      </c>
      <c r="AD62" s="219">
        <f t="shared" si="13"/>
        <v>22.35468706370122</v>
      </c>
      <c r="AE62" s="226">
        <f t="shared" si="14"/>
        <v>32.499869661691221</v>
      </c>
      <c r="AF62" s="228">
        <f t="shared" si="8"/>
        <v>-3.6084450273876634</v>
      </c>
      <c r="AG62" s="37">
        <f t="shared" si="15"/>
        <v>27.04666365410122</v>
      </c>
      <c r="AH62" s="37">
        <f t="shared" si="16"/>
        <v>0.78418780759000006</v>
      </c>
      <c r="AI62" s="149">
        <f t="shared" si="17"/>
        <v>-0.1558656234039216</v>
      </c>
    </row>
    <row r="63" spans="1:35" x14ac:dyDescent="0.25">
      <c r="A63" s="192" t="s">
        <v>1848</v>
      </c>
      <c r="B63" s="193">
        <v>556.87532825396806</v>
      </c>
      <c r="C63" s="193">
        <v>0</v>
      </c>
      <c r="D63" s="193">
        <v>103392.23709047616</v>
      </c>
      <c r="E63" s="193">
        <v>56365.790580000008</v>
      </c>
      <c r="F63" s="193">
        <v>327.79734166666668</v>
      </c>
      <c r="G63" s="193">
        <v>119660.6565</v>
      </c>
      <c r="H63" s="193">
        <v>3636.4969841269844</v>
      </c>
      <c r="I63" s="193">
        <v>541548.17812071438</v>
      </c>
      <c r="J63" s="193">
        <v>459018.80024000001</v>
      </c>
      <c r="K63" s="193">
        <v>3709.4497523809523</v>
      </c>
      <c r="L63" s="193">
        <f t="shared" si="0"/>
        <v>32.917949827180003</v>
      </c>
      <c r="M63" s="222">
        <v>28.332334902786233</v>
      </c>
      <c r="N63" s="223">
        <v>0</v>
      </c>
      <c r="O63" s="223">
        <v>28.326174849482637</v>
      </c>
      <c r="P63" s="223">
        <v>6.1600533035981583E-3</v>
      </c>
      <c r="Q63" s="223">
        <v>0</v>
      </c>
      <c r="S63" s="37">
        <f t="shared" si="9"/>
        <v>2.3388763786666659E-2</v>
      </c>
      <c r="T63" s="37">
        <f t="shared" si="10"/>
        <v>0</v>
      </c>
      <c r="U63" s="37">
        <f t="shared" si="11"/>
        <v>4.3424739577999993</v>
      </c>
      <c r="V63" s="37">
        <f t="shared" si="1"/>
        <v>1.3767488350000001E-2</v>
      </c>
      <c r="W63" s="37">
        <f t="shared" si="2"/>
        <v>5.0257475730000003</v>
      </c>
      <c r="X63" s="37">
        <f t="shared" si="3"/>
        <v>0.15273287333333335</v>
      </c>
      <c r="Y63" s="37">
        <f t="shared" si="4"/>
        <v>0.45901880024000002</v>
      </c>
      <c r="Z63" s="37">
        <f t="shared" si="5"/>
        <v>0.15579688959999999</v>
      </c>
      <c r="AA63" s="217">
        <f t="shared" si="6"/>
        <v>22.745023481070003</v>
      </c>
      <c r="AB63" s="217">
        <f t="shared" si="7"/>
        <v>2.3673632043600001</v>
      </c>
      <c r="AC63" s="217">
        <f t="shared" si="12"/>
        <v>20.377660276710003</v>
      </c>
      <c r="AD63" s="219">
        <f t="shared" si="13"/>
        <v>21.950425107277905</v>
      </c>
      <c r="AE63" s="226">
        <f t="shared" si="14"/>
        <v>32.123351453387905</v>
      </c>
      <c r="AF63" s="228">
        <f t="shared" si="8"/>
        <v>-3.7910165506016718</v>
      </c>
      <c r="AG63" s="37">
        <f t="shared" si="15"/>
        <v>26.292899065077904</v>
      </c>
      <c r="AH63" s="37">
        <f t="shared" si="16"/>
        <v>0.80470481531000004</v>
      </c>
      <c r="AI63" s="149">
        <f t="shared" si="17"/>
        <v>-0.16667454987491309</v>
      </c>
    </row>
    <row r="64" spans="1:35" x14ac:dyDescent="0.25">
      <c r="A64" s="192" t="s">
        <v>1849</v>
      </c>
      <c r="B64" s="193">
        <v>639.99104888888871</v>
      </c>
      <c r="C64" s="193">
        <v>0</v>
      </c>
      <c r="D64" s="193">
        <v>111540.5761380952</v>
      </c>
      <c r="E64" s="193">
        <v>56297.839054285723</v>
      </c>
      <c r="F64" s="193">
        <v>80.51162777777779</v>
      </c>
      <c r="G64" s="193">
        <v>123356.47500000001</v>
      </c>
      <c r="H64" s="193">
        <v>3518.8456111111113</v>
      </c>
      <c r="I64" s="193">
        <v>545489.36661214288</v>
      </c>
      <c r="J64" s="193">
        <v>453098.80615999998</v>
      </c>
      <c r="K64" s="193">
        <v>1236.4832507936508</v>
      </c>
      <c r="L64" s="193">
        <f t="shared" si="0"/>
        <v>33.459313276289997</v>
      </c>
      <c r="M64" s="222">
        <v>29.002637465691354</v>
      </c>
      <c r="N64" s="223">
        <v>0</v>
      </c>
      <c r="O64" s="223">
        <v>28.995714219943061</v>
      </c>
      <c r="P64" s="223">
        <v>6.9232457482917356E-3</v>
      </c>
      <c r="Q64" s="223">
        <v>0</v>
      </c>
      <c r="S64" s="37">
        <f t="shared" si="9"/>
        <v>2.6879624053333329E-2</v>
      </c>
      <c r="T64" s="37">
        <f t="shared" si="10"/>
        <v>0</v>
      </c>
      <c r="U64" s="37">
        <f t="shared" si="11"/>
        <v>4.6847041977999986</v>
      </c>
      <c r="V64" s="37">
        <f t="shared" si="1"/>
        <v>3.3814883666666673E-3</v>
      </c>
      <c r="W64" s="37">
        <f t="shared" si="2"/>
        <v>5.18097195</v>
      </c>
      <c r="X64" s="37">
        <f t="shared" si="3"/>
        <v>0.14779151566666668</v>
      </c>
      <c r="Y64" s="37">
        <f t="shared" si="4"/>
        <v>0.45309880615999998</v>
      </c>
      <c r="Z64" s="37">
        <f t="shared" si="5"/>
        <v>5.1932296533333332E-2</v>
      </c>
      <c r="AA64" s="217">
        <f t="shared" si="6"/>
        <v>22.910553397710004</v>
      </c>
      <c r="AB64" s="217">
        <f t="shared" si="7"/>
        <v>2.3645092402800003</v>
      </c>
      <c r="AC64" s="217">
        <f t="shared" si="12"/>
        <v>20.546044157430003</v>
      </c>
      <c r="AD64" s="219">
        <f t="shared" si="13"/>
        <v>22.131804996471637</v>
      </c>
      <c r="AE64" s="226">
        <f t="shared" si="14"/>
        <v>32.680564875051637</v>
      </c>
      <c r="AF64" s="228">
        <f t="shared" si="8"/>
        <v>-3.677927409360283</v>
      </c>
      <c r="AG64" s="37">
        <f t="shared" si="15"/>
        <v>26.816509194271635</v>
      </c>
      <c r="AH64" s="37">
        <f t="shared" si="16"/>
        <v>0.68308373077999995</v>
      </c>
      <c r="AI64" s="149">
        <f t="shared" si="17"/>
        <v>-0.16053420209954011</v>
      </c>
    </row>
    <row r="65" spans="1:35" x14ac:dyDescent="0.25">
      <c r="A65" s="192" t="s">
        <v>1850</v>
      </c>
      <c r="B65" s="193">
        <v>639.99104888888871</v>
      </c>
      <c r="C65" s="193">
        <v>0</v>
      </c>
      <c r="D65" s="193">
        <v>110104.43138095234</v>
      </c>
      <c r="E65" s="193">
        <v>56289.345113571435</v>
      </c>
      <c r="F65" s="193">
        <v>63.259136111111118</v>
      </c>
      <c r="G65" s="193">
        <v>133068.96900000001</v>
      </c>
      <c r="H65" s="193">
        <v>3326.3251825396828</v>
      </c>
      <c r="I65" s="193">
        <v>535687.35902785719</v>
      </c>
      <c r="J65" s="193">
        <v>622969.74739999999</v>
      </c>
      <c r="K65" s="193">
        <v>2371.7996901587303</v>
      </c>
      <c r="L65" s="193">
        <f t="shared" si="0"/>
        <v>33.603979394993338</v>
      </c>
      <c r="M65" s="222">
        <v>28.718318898688366</v>
      </c>
      <c r="N65" s="223">
        <v>0</v>
      </c>
      <c r="O65" s="223">
        <v>28.711235339273056</v>
      </c>
      <c r="P65" s="223">
        <v>7.0835594153091644E-3</v>
      </c>
      <c r="Q65" s="223">
        <v>0</v>
      </c>
      <c r="S65" s="37">
        <f t="shared" si="9"/>
        <v>2.6879624053333329E-2</v>
      </c>
      <c r="T65" s="37">
        <f t="shared" si="10"/>
        <v>0</v>
      </c>
      <c r="U65" s="37">
        <f t="shared" si="11"/>
        <v>4.6243861179999977</v>
      </c>
      <c r="V65" s="37">
        <f t="shared" si="1"/>
        <v>2.6568837166666666E-3</v>
      </c>
      <c r="W65" s="37">
        <f t="shared" si="2"/>
        <v>5.588896698000001</v>
      </c>
      <c r="X65" s="37">
        <f t="shared" si="3"/>
        <v>0.13970565766666668</v>
      </c>
      <c r="Y65" s="37">
        <f t="shared" si="4"/>
        <v>0.6229697474</v>
      </c>
      <c r="Z65" s="37">
        <f t="shared" si="5"/>
        <v>9.9615586986666685E-2</v>
      </c>
      <c r="AA65" s="217">
        <f t="shared" si="6"/>
        <v>22.498869079170003</v>
      </c>
      <c r="AB65" s="217">
        <f t="shared" si="7"/>
        <v>2.3641524947700003</v>
      </c>
      <c r="AC65" s="217">
        <f t="shared" si="12"/>
        <v>20.134716584400003</v>
      </c>
      <c r="AD65" s="219">
        <f t="shared" si="13"/>
        <v>21.688730817996269</v>
      </c>
      <c r="AE65" s="226">
        <f t="shared" si="14"/>
        <v>32.793841133819605</v>
      </c>
      <c r="AF65" s="228">
        <f t="shared" si="8"/>
        <v>-4.0755222351312383</v>
      </c>
      <c r="AG65" s="37">
        <f t="shared" si="15"/>
        <v>26.313116935996266</v>
      </c>
      <c r="AH65" s="37">
        <f t="shared" si="16"/>
        <v>0.89182749982333342</v>
      </c>
      <c r="AI65" s="149">
        <f t="shared" si="17"/>
        <v>-0.18114342640023873</v>
      </c>
    </row>
    <row r="66" spans="1:35" x14ac:dyDescent="0.25">
      <c r="A66" s="192" t="s">
        <v>1851</v>
      </c>
      <c r="B66" s="193">
        <v>523.62903999999992</v>
      </c>
      <c r="C66" s="193">
        <v>0</v>
      </c>
      <c r="D66" s="193">
        <v>105897.85134761901</v>
      </c>
      <c r="E66" s="193">
        <v>45000.897904285717</v>
      </c>
      <c r="F66" s="193">
        <v>149.52159444444445</v>
      </c>
      <c r="G66" s="193">
        <v>54705.915000000001</v>
      </c>
      <c r="H66" s="193">
        <v>2748.7638968253973</v>
      </c>
      <c r="I66" s="193">
        <v>424246.85685642861</v>
      </c>
      <c r="J66" s="193">
        <v>470310.64079999999</v>
      </c>
      <c r="K66" s="193">
        <v>146.12983873015872</v>
      </c>
      <c r="L66" s="193">
        <f t="shared" si="0"/>
        <v>25.183894678909997</v>
      </c>
      <c r="M66" s="223">
        <v>22.642037334535477</v>
      </c>
      <c r="N66" s="223">
        <v>0</v>
      </c>
      <c r="O66" s="223">
        <v>22.636968711743521</v>
      </c>
      <c r="P66" s="223">
        <v>5.0686227919553841E-3</v>
      </c>
      <c r="Q66" s="223">
        <v>0</v>
      </c>
      <c r="S66" s="37">
        <f t="shared" si="9"/>
        <v>2.1992419679999996E-2</v>
      </c>
      <c r="T66" s="37">
        <f t="shared" si="10"/>
        <v>0</v>
      </c>
      <c r="U66" s="37">
        <f t="shared" si="11"/>
        <v>4.4477097565999983</v>
      </c>
      <c r="V66" s="37">
        <f t="shared" si="1"/>
        <v>6.2799069666666669E-3</v>
      </c>
      <c r="W66" s="37">
        <f t="shared" si="2"/>
        <v>2.2976484300000002</v>
      </c>
      <c r="X66" s="37">
        <f t="shared" si="3"/>
        <v>0.11544808366666669</v>
      </c>
      <c r="Y66" s="37">
        <f t="shared" si="4"/>
        <v>0.47031064080000001</v>
      </c>
      <c r="Z66" s="37">
        <f t="shared" si="5"/>
        <v>6.1374532266666665E-3</v>
      </c>
      <c r="AA66" s="217">
        <f t="shared" si="6"/>
        <v>17.818367987970003</v>
      </c>
      <c r="AB66" s="217">
        <f t="shared" si="7"/>
        <v>1.89003771198</v>
      </c>
      <c r="AC66" s="217">
        <f t="shared" si="12"/>
        <v>15.928330275990003</v>
      </c>
      <c r="AD66" s="219">
        <f t="shared" si="13"/>
        <v>17.157692102989291</v>
      </c>
      <c r="AE66" s="226">
        <f t="shared" si="14"/>
        <v>24.523218793929288</v>
      </c>
      <c r="AF66" s="228">
        <f t="shared" si="8"/>
        <v>-1.8811814593938117</v>
      </c>
      <c r="AG66" s="37">
        <f t="shared" si="15"/>
        <v>21.605401859589289</v>
      </c>
      <c r="AH66" s="37">
        <f t="shared" si="16"/>
        <v>0.62016850434000004</v>
      </c>
      <c r="AI66" s="149">
        <f t="shared" si="17"/>
        <v>-0.10557540739218561</v>
      </c>
    </row>
    <row r="67" spans="1:35" x14ac:dyDescent="0.25">
      <c r="A67" s="192" t="s">
        <v>1852</v>
      </c>
      <c r="B67" s="193">
        <v>590.12161650793632</v>
      </c>
      <c r="C67" s="193">
        <v>0</v>
      </c>
      <c r="D67" s="193">
        <v>105123.75913809521</v>
      </c>
      <c r="E67" s="193">
        <v>50895.692760000005</v>
      </c>
      <c r="F67" s="193">
        <v>120.76744166666667</v>
      </c>
      <c r="G67" s="193">
        <v>74579.471999999994</v>
      </c>
      <c r="H67" s="193">
        <v>2951.9799047619049</v>
      </c>
      <c r="I67" s="193">
        <v>476730.91653000005</v>
      </c>
      <c r="J67" s="193">
        <v>406835.14872</v>
      </c>
      <c r="K67" s="193">
        <v>2450.4849879365079</v>
      </c>
      <c r="L67" s="193">
        <f t="shared" si="0"/>
        <v>28.233830216716669</v>
      </c>
      <c r="M67" s="223">
        <v>25.3046622669575</v>
      </c>
      <c r="N67" s="223">
        <v>0</v>
      </c>
      <c r="O67" s="223">
        <v>25.300302161330013</v>
      </c>
      <c r="P67" s="223">
        <v>4.3601056274885025E-3</v>
      </c>
      <c r="Q67" s="223">
        <v>0</v>
      </c>
      <c r="S67" s="37">
        <f t="shared" si="9"/>
        <v>2.4785107893333328E-2</v>
      </c>
      <c r="T67" s="37">
        <f t="shared" si="10"/>
        <v>0</v>
      </c>
      <c r="U67" s="37">
        <f t="shared" si="11"/>
        <v>4.4151978837999986</v>
      </c>
      <c r="V67" s="37">
        <f t="shared" si="1"/>
        <v>5.0722325499999998E-3</v>
      </c>
      <c r="W67" s="37">
        <f t="shared" si="2"/>
        <v>3.1323378239999995</v>
      </c>
      <c r="X67" s="37">
        <f t="shared" si="3"/>
        <v>0.123983156</v>
      </c>
      <c r="Y67" s="37">
        <f t="shared" si="4"/>
        <v>0.40683514871999998</v>
      </c>
      <c r="Z67" s="37">
        <f t="shared" si="5"/>
        <v>0.10292036949333333</v>
      </c>
      <c r="AA67" s="217">
        <f t="shared" si="6"/>
        <v>20.022698494260002</v>
      </c>
      <c r="AB67" s="217">
        <f t="shared" si="7"/>
        <v>2.1376190959200003</v>
      </c>
      <c r="AC67" s="217">
        <f t="shared" si="12"/>
        <v>17.88507939834</v>
      </c>
      <c r="AD67" s="219">
        <f t="shared" si="13"/>
        <v>19.265464756013905</v>
      </c>
      <c r="AE67" s="226">
        <f t="shared" si="14"/>
        <v>27.476596478470569</v>
      </c>
      <c r="AF67" s="228">
        <f t="shared" si="8"/>
        <v>-2.1719342115130686</v>
      </c>
      <c r="AG67" s="37">
        <f t="shared" si="15"/>
        <v>23.680662639813903</v>
      </c>
      <c r="AH67" s="37">
        <f t="shared" si="16"/>
        <v>0.66359601465666662</v>
      </c>
      <c r="AI67" s="149">
        <f t="shared" si="17"/>
        <v>-0.10847360120493783</v>
      </c>
    </row>
    <row r="68" spans="1:35" x14ac:dyDescent="0.25">
      <c r="A68" s="192" t="s">
        <v>1853</v>
      </c>
      <c r="B68" s="193">
        <v>615.05633269841258</v>
      </c>
      <c r="C68" s="193">
        <v>0</v>
      </c>
      <c r="D68" s="193">
        <v>106651.57270952378</v>
      </c>
      <c r="E68" s="193">
        <v>50921.174582142863</v>
      </c>
      <c r="F68" s="193">
        <v>97.764119444444447</v>
      </c>
      <c r="G68" s="193">
        <v>105891.5385</v>
      </c>
      <c r="H68" s="193">
        <v>3123.1091746031748</v>
      </c>
      <c r="I68" s="193">
        <v>475856.04063642863</v>
      </c>
      <c r="J68" s="193">
        <v>464719.53528000001</v>
      </c>
      <c r="K68" s="193">
        <v>2506.6887720634923</v>
      </c>
      <c r="L68" s="193">
        <f t="shared" si="0"/>
        <v>29.643873885560001</v>
      </c>
      <c r="M68" s="223">
        <v>25.915363713573509</v>
      </c>
      <c r="N68" s="223">
        <v>0</v>
      </c>
      <c r="O68" s="223">
        <v>25.909150563054336</v>
      </c>
      <c r="P68" s="223">
        <v>6.2131505191711147E-3</v>
      </c>
      <c r="Q68" s="223">
        <v>0</v>
      </c>
      <c r="S68" s="37">
        <f t="shared" si="9"/>
        <v>2.583236597333333E-2</v>
      </c>
      <c r="T68" s="37">
        <f t="shared" si="10"/>
        <v>0</v>
      </c>
      <c r="U68" s="37">
        <f t="shared" si="11"/>
        <v>4.4793660537999989</v>
      </c>
      <c r="V68" s="37">
        <f t="shared" si="1"/>
        <v>4.1060930166666662E-3</v>
      </c>
      <c r="W68" s="37">
        <f t="shared" si="2"/>
        <v>4.4474446170000004</v>
      </c>
      <c r="X68" s="37">
        <f t="shared" si="3"/>
        <v>0.13117058533333334</v>
      </c>
      <c r="Y68" s="37">
        <f t="shared" si="4"/>
        <v>0.46471953528000004</v>
      </c>
      <c r="Z68" s="37">
        <f t="shared" si="5"/>
        <v>0.10528092842666667</v>
      </c>
      <c r="AA68" s="217">
        <f t="shared" si="6"/>
        <v>19.985953706730005</v>
      </c>
      <c r="AB68" s="217">
        <f t="shared" si="7"/>
        <v>2.1386893324500003</v>
      </c>
      <c r="AC68" s="217">
        <f t="shared" si="12"/>
        <v>17.847264374280005</v>
      </c>
      <c r="AD68" s="219">
        <f t="shared" si="13"/>
        <v>19.224731136830574</v>
      </c>
      <c r="AE68" s="226">
        <f t="shared" si="14"/>
        <v>28.882651315660574</v>
      </c>
      <c r="AF68" s="228">
        <f t="shared" si="8"/>
        <v>-2.9672876020870653</v>
      </c>
      <c r="AG68" s="37">
        <f t="shared" si="15"/>
        <v>23.704097190630574</v>
      </c>
      <c r="AH68" s="37">
        <f>S68+T68+V68+X68+Y68+Z68</f>
        <v>0.73110950803000008</v>
      </c>
      <c r="AI68" s="149">
        <f t="shared" si="17"/>
        <v>-0.14846865181559341</v>
      </c>
    </row>
    <row r="69" spans="1:35" x14ac:dyDescent="0.25">
      <c r="A69" s="192" t="s">
        <v>1854</v>
      </c>
      <c r="B69" s="193">
        <v>581.81004444444432</v>
      </c>
      <c r="C69" s="193">
        <v>0</v>
      </c>
      <c r="D69" s="193">
        <v>103932.06455238092</v>
      </c>
      <c r="E69" s="193">
        <v>51558.220135714291</v>
      </c>
      <c r="F69" s="193">
        <v>103.51495</v>
      </c>
      <c r="G69" s="193">
        <v>114755.652</v>
      </c>
      <c r="H69" s="193">
        <v>2288.8539841269844</v>
      </c>
      <c r="I69" s="193">
        <v>481725.35367000004</v>
      </c>
      <c r="J69" s="193">
        <v>434735.86155999999</v>
      </c>
      <c r="K69" s="193">
        <v>2079.5400126984127</v>
      </c>
      <c r="L69" s="193">
        <f t="shared" si="0"/>
        <v>30.064341008533336</v>
      </c>
      <c r="M69" s="223"/>
      <c r="N69" s="223"/>
      <c r="O69" s="223"/>
      <c r="P69" s="223"/>
      <c r="Q69" s="223"/>
      <c r="S69" s="224" t="s">
        <v>2163</v>
      </c>
      <c r="T69" s="224"/>
      <c r="U69" s="224"/>
      <c r="V69" s="224"/>
      <c r="W69" s="224"/>
      <c r="X69" s="224"/>
      <c r="Y69" s="224"/>
      <c r="Z69" s="224"/>
      <c r="AA69" s="224"/>
      <c r="AB69" s="224"/>
      <c r="AC69" s="224"/>
      <c r="AD69" s="224"/>
      <c r="AE69" s="224"/>
      <c r="AF69" s="224"/>
      <c r="AG69" s="225"/>
      <c r="AH69" s="225"/>
    </row>
    <row r="70" spans="1:35" x14ac:dyDescent="0.25">
      <c r="S70" s="225"/>
      <c r="T70" s="225" t="s">
        <v>2164</v>
      </c>
      <c r="U70" s="225"/>
      <c r="V70" s="225"/>
      <c r="W70" s="225"/>
      <c r="X70" s="225"/>
      <c r="Y70" s="225"/>
      <c r="Z70" s="225"/>
      <c r="AA70" s="225"/>
      <c r="AB70" s="225"/>
      <c r="AC70" s="225"/>
      <c r="AD70" s="225"/>
      <c r="AE70" s="225"/>
      <c r="AF70" s="225"/>
      <c r="AG70" s="225"/>
      <c r="AH70" s="225"/>
    </row>
  </sheetData>
  <mergeCells count="1">
    <mergeCell ref="B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F1D51-458F-452D-956B-EA508195B795}">
  <dimension ref="A1:Q63"/>
  <sheetViews>
    <sheetView workbookViewId="0">
      <selection activeCell="D2" sqref="D2"/>
    </sheetView>
    <sheetView workbookViewId="1"/>
  </sheetViews>
  <sheetFormatPr defaultRowHeight="15" x14ac:dyDescent="0.25"/>
  <cols>
    <col min="1" max="1" width="39.42578125" bestFit="1" customWidth="1"/>
    <col min="2" max="2" width="46" customWidth="1"/>
    <col min="3" max="3" width="11.85546875" customWidth="1"/>
    <col min="4" max="4" width="15.7109375" customWidth="1"/>
    <col min="5" max="5" width="18.42578125" customWidth="1"/>
    <col min="6" max="6" width="15.85546875" customWidth="1"/>
  </cols>
  <sheetData>
    <row r="1" spans="1:17" ht="24" x14ac:dyDescent="0.25">
      <c r="B1" s="29" t="s">
        <v>1688</v>
      </c>
      <c r="D1" t="s">
        <v>1715</v>
      </c>
      <c r="J1" s="245" t="s">
        <v>1916</v>
      </c>
      <c r="K1" s="245"/>
      <c r="L1" s="245"/>
      <c r="M1" s="245"/>
      <c r="N1" s="245"/>
      <c r="O1" s="245"/>
    </row>
    <row r="2" spans="1:17" x14ac:dyDescent="0.25">
      <c r="B2" t="s">
        <v>1689</v>
      </c>
      <c r="D2" t="s">
        <v>10</v>
      </c>
      <c r="J2" s="245"/>
      <c r="K2" s="245"/>
      <c r="L2" s="245"/>
      <c r="M2" s="245"/>
      <c r="N2" s="245"/>
      <c r="O2" s="245"/>
    </row>
    <row r="3" spans="1:17" x14ac:dyDescent="0.25">
      <c r="J3" s="245"/>
      <c r="K3" s="245"/>
      <c r="L3" s="245"/>
      <c r="M3" s="245"/>
      <c r="N3" s="245"/>
      <c r="O3" s="245"/>
    </row>
    <row r="4" spans="1:17" ht="15.75" x14ac:dyDescent="0.25">
      <c r="B4" s="242" t="s">
        <v>1699</v>
      </c>
      <c r="C4" s="242"/>
      <c r="D4" s="242"/>
      <c r="E4" s="242"/>
      <c r="F4" s="242"/>
      <c r="G4" s="242"/>
      <c r="J4" s="245"/>
      <c r="K4" s="245"/>
      <c r="L4" s="245"/>
      <c r="M4" s="245"/>
      <c r="N4" s="245"/>
      <c r="O4" s="245"/>
      <c r="Q4" s="125"/>
    </row>
    <row r="5" spans="1:17" x14ac:dyDescent="0.25">
      <c r="B5" s="34"/>
      <c r="E5" s="33"/>
      <c r="J5" s="245"/>
      <c r="K5" s="245"/>
      <c r="L5" s="245"/>
      <c r="M5" s="245"/>
      <c r="N5" s="245"/>
      <c r="O5" s="245"/>
    </row>
    <row r="6" spans="1:17" ht="25.5" customHeight="1" x14ac:dyDescent="0.25">
      <c r="A6" s="38"/>
      <c r="B6" s="39" t="s">
        <v>1703</v>
      </c>
      <c r="C6" s="244" t="s">
        <v>1704</v>
      </c>
      <c r="D6" s="244"/>
      <c r="E6" s="244"/>
      <c r="F6" s="243" t="s">
        <v>1705</v>
      </c>
      <c r="G6" s="243"/>
      <c r="H6" s="38"/>
      <c r="J6" s="245"/>
      <c r="K6" s="245"/>
      <c r="L6" s="245"/>
      <c r="M6" s="245"/>
      <c r="N6" s="245"/>
      <c r="O6" s="245"/>
    </row>
    <row r="7" spans="1:17" ht="25.5" x14ac:dyDescent="0.25">
      <c r="A7" s="40" t="s">
        <v>1690</v>
      </c>
      <c r="B7" s="41" t="s">
        <v>1691</v>
      </c>
      <c r="C7" s="42" t="s">
        <v>1700</v>
      </c>
      <c r="D7" s="42" t="s">
        <v>1701</v>
      </c>
      <c r="E7" s="38" t="s">
        <v>21</v>
      </c>
      <c r="F7" s="43" t="s">
        <v>1702</v>
      </c>
      <c r="G7" s="43" t="s">
        <v>1701</v>
      </c>
      <c r="H7" s="51" t="s">
        <v>1749</v>
      </c>
      <c r="J7" s="245"/>
      <c r="K7" s="245"/>
      <c r="L7" s="245"/>
      <c r="M7" s="245"/>
      <c r="N7" s="245"/>
      <c r="O7" s="245"/>
    </row>
    <row r="8" spans="1:17" x14ac:dyDescent="0.25">
      <c r="A8" s="38" t="s">
        <v>1687</v>
      </c>
      <c r="B8" s="44" t="s">
        <v>1660</v>
      </c>
      <c r="C8" s="45">
        <v>12.678396059388888</v>
      </c>
      <c r="D8" s="45">
        <v>5.7508305555555559</v>
      </c>
      <c r="E8" s="45" t="s">
        <v>1706</v>
      </c>
      <c r="F8" s="45">
        <v>138.63385433333332</v>
      </c>
      <c r="G8" s="45">
        <v>62.883333333333326</v>
      </c>
      <c r="H8" s="38" t="s">
        <v>1782</v>
      </c>
      <c r="I8" t="s">
        <v>1783</v>
      </c>
      <c r="P8" t="s">
        <v>1781</v>
      </c>
    </row>
    <row r="9" spans="1:17" x14ac:dyDescent="0.25">
      <c r="A9" s="38" t="s">
        <v>1687</v>
      </c>
      <c r="B9" s="44" t="s">
        <v>1661</v>
      </c>
      <c r="C9" s="45">
        <v>22.454989038952373</v>
      </c>
      <c r="D9" s="143">
        <v>10.185423809523806</v>
      </c>
      <c r="E9" s="45" t="s">
        <v>1706</v>
      </c>
      <c r="F9" s="45">
        <v>163.45052679999995</v>
      </c>
      <c r="G9" s="143">
        <v>74.139999999999986</v>
      </c>
      <c r="H9" s="38" t="s">
        <v>1723</v>
      </c>
    </row>
    <row r="10" spans="1:17" x14ac:dyDescent="0.25">
      <c r="A10" s="38" t="s">
        <v>1687</v>
      </c>
      <c r="B10" s="44" t="s">
        <v>1662</v>
      </c>
      <c r="C10" s="45">
        <v>21.782086523999997</v>
      </c>
      <c r="D10" s="45">
        <v>9.8802000000000003</v>
      </c>
      <c r="E10" s="45" t="s">
        <v>1706</v>
      </c>
      <c r="F10" s="45">
        <v>161.34878906666665</v>
      </c>
      <c r="G10" s="45">
        <v>73.186666666666667</v>
      </c>
      <c r="H10" s="38" t="s">
        <v>1724</v>
      </c>
    </row>
    <row r="11" spans="1:17" x14ac:dyDescent="0.25">
      <c r="A11" s="38" t="s">
        <v>1687</v>
      </c>
      <c r="B11" s="44" t="s">
        <v>1663</v>
      </c>
      <c r="C11" s="45">
        <v>3826.8839978702658</v>
      </c>
      <c r="D11" s="45">
        <v>1735.8474466666664</v>
      </c>
      <c r="E11" s="45" t="s">
        <v>1707</v>
      </c>
      <c r="F11" s="45">
        <v>211.62882253333331</v>
      </c>
      <c r="G11" s="45">
        <v>95.993333333333325</v>
      </c>
      <c r="H11" s="38" t="s">
        <v>1725</v>
      </c>
    </row>
    <row r="12" spans="1:17" x14ac:dyDescent="0.25">
      <c r="A12" s="38" t="s">
        <v>1687</v>
      </c>
      <c r="B12" s="44" t="s">
        <v>1664</v>
      </c>
      <c r="C12" s="45">
        <v>120.84571619119998</v>
      </c>
      <c r="D12" s="117">
        <v>54.81476</v>
      </c>
      <c r="E12" s="44" t="s">
        <v>1708</v>
      </c>
      <c r="F12" s="45">
        <v>116.64644419999998</v>
      </c>
      <c r="G12" s="143">
        <v>52.91</v>
      </c>
      <c r="H12" s="38" t="s">
        <v>1726</v>
      </c>
      <c r="I12" t="s">
        <v>1727</v>
      </c>
    </row>
    <row r="13" spans="1:17" x14ac:dyDescent="0.25">
      <c r="A13" s="38" t="s">
        <v>1687</v>
      </c>
      <c r="B13" s="44" t="s">
        <v>1665</v>
      </c>
      <c r="C13" s="45">
        <v>18.725911577528571</v>
      </c>
      <c r="D13" s="45">
        <v>8.4939407142857153</v>
      </c>
      <c r="E13" s="45" t="s">
        <v>1706</v>
      </c>
      <c r="F13" s="45">
        <v>155.77110046666664</v>
      </c>
      <c r="G13" s="45">
        <v>70.656666666666666</v>
      </c>
      <c r="H13" s="38" t="s">
        <v>1728</v>
      </c>
      <c r="I13" t="s">
        <v>1731</v>
      </c>
    </row>
    <row r="14" spans="1:17" x14ac:dyDescent="0.25">
      <c r="A14" s="38" t="s">
        <v>1687</v>
      </c>
      <c r="B14" s="44" t="s">
        <v>1709</v>
      </c>
      <c r="C14" s="45">
        <v>20.86247552000998</v>
      </c>
      <c r="D14" s="45">
        <v>9.4630709691511381</v>
      </c>
      <c r="E14" s="45" t="s">
        <v>1706</v>
      </c>
      <c r="F14" s="45">
        <v>167.79470927621966</v>
      </c>
      <c r="G14" s="45">
        <v>76.110490368507811</v>
      </c>
      <c r="H14" s="38" t="s">
        <v>1732</v>
      </c>
      <c r="I14" t="s">
        <v>1735</v>
      </c>
    </row>
    <row r="15" spans="1:17" x14ac:dyDescent="0.25">
      <c r="A15" s="38" t="s">
        <v>1687</v>
      </c>
      <c r="B15" s="44" t="s">
        <v>1666</v>
      </c>
      <c r="C15" s="45">
        <v>24.781597312406348</v>
      </c>
      <c r="D15" s="45">
        <v>11.240756825396826</v>
      </c>
      <c r="E15" s="45" t="s">
        <v>1706</v>
      </c>
      <c r="F15" s="45">
        <v>165.55226453333333</v>
      </c>
      <c r="G15" s="45">
        <v>75.093333333333334</v>
      </c>
      <c r="H15" s="38" t="s">
        <v>1736</v>
      </c>
    </row>
    <row r="16" spans="1:17" x14ac:dyDescent="0.25">
      <c r="A16" s="38" t="s">
        <v>1667</v>
      </c>
      <c r="B16" s="44" t="s">
        <v>1668</v>
      </c>
      <c r="C16" s="45">
        <v>21.498351929999998</v>
      </c>
      <c r="D16" s="45">
        <v>9.7515000000000001</v>
      </c>
      <c r="E16" s="45" t="s">
        <v>1706</v>
      </c>
      <c r="F16" s="45">
        <v>159.24705133333333</v>
      </c>
      <c r="G16" s="45">
        <v>72.233333333333334</v>
      </c>
      <c r="H16" s="38" t="s">
        <v>1729</v>
      </c>
    </row>
    <row r="17" spans="1:9" x14ac:dyDescent="0.25">
      <c r="A17" s="38" t="s">
        <v>1667</v>
      </c>
      <c r="B17" s="44" t="s">
        <v>1710</v>
      </c>
      <c r="C17" s="45">
        <v>18.323858002615868</v>
      </c>
      <c r="D17" s="45">
        <v>8.3115720634920613</v>
      </c>
      <c r="E17" s="45" t="s">
        <v>1706</v>
      </c>
      <c r="F17" s="45">
        <v>152.4568217333333</v>
      </c>
      <c r="G17" s="45">
        <v>69.153333333333322</v>
      </c>
      <c r="H17" s="38" t="s">
        <v>1737</v>
      </c>
    </row>
    <row r="18" spans="1:9" x14ac:dyDescent="0.25">
      <c r="A18" s="38" t="s">
        <v>1669</v>
      </c>
      <c r="B18" s="44" t="s">
        <v>1670</v>
      </c>
      <c r="C18" s="45">
        <v>33.040279502126978</v>
      </c>
      <c r="D18" s="45">
        <v>14.986836507936507</v>
      </c>
      <c r="E18" s="45" t="s">
        <v>1706</v>
      </c>
      <c r="F18" s="45">
        <v>225.12844566666666</v>
      </c>
      <c r="G18" s="45">
        <v>102.11666666666667</v>
      </c>
      <c r="H18" s="38" t="s">
        <v>1738</v>
      </c>
    </row>
    <row r="19" spans="1:9" x14ac:dyDescent="0.25">
      <c r="A19" s="38" t="s">
        <v>1671</v>
      </c>
      <c r="B19" s="44" t="s">
        <v>1672</v>
      </c>
      <c r="C19" s="45">
        <v>26.246662485999998</v>
      </c>
      <c r="D19" s="45">
        <v>11.9053</v>
      </c>
      <c r="E19" s="45" t="s">
        <v>1706</v>
      </c>
      <c r="F19" s="45">
        <v>166.11811699999998</v>
      </c>
      <c r="G19" s="45">
        <v>75.349999999999994</v>
      </c>
      <c r="H19" s="38" t="s">
        <v>1739</v>
      </c>
    </row>
    <row r="20" spans="1:9" x14ac:dyDescent="0.25">
      <c r="A20" s="38" t="s">
        <v>1671</v>
      </c>
      <c r="B20" s="44" t="s">
        <v>1673</v>
      </c>
      <c r="C20" s="45">
        <v>23.57968817984127</v>
      </c>
      <c r="D20" s="45">
        <v>10.695579365079366</v>
      </c>
      <c r="E20" s="45" t="s">
        <v>1706</v>
      </c>
      <c r="F20" s="45">
        <v>163.28885466666665</v>
      </c>
      <c r="G20" s="45">
        <v>74.066666666666663</v>
      </c>
      <c r="H20" s="38" t="s">
        <v>1740</v>
      </c>
    </row>
    <row r="21" spans="1:9" x14ac:dyDescent="0.25">
      <c r="A21" s="38" t="s">
        <v>1671</v>
      </c>
      <c r="B21" s="44" t="s">
        <v>1674</v>
      </c>
      <c r="C21" s="45">
        <v>18.736722439111109</v>
      </c>
      <c r="D21" s="45">
        <v>8.498844444444444</v>
      </c>
      <c r="E21" s="45" t="s">
        <v>1706</v>
      </c>
      <c r="F21" s="45">
        <v>149.95090366666665</v>
      </c>
      <c r="G21" s="45">
        <v>68.016666666666666</v>
      </c>
      <c r="H21" s="38" t="s">
        <v>1741</v>
      </c>
      <c r="I21" t="s">
        <v>1742</v>
      </c>
    </row>
    <row r="22" spans="1:9" x14ac:dyDescent="0.25">
      <c r="A22" s="38" t="s">
        <v>1671</v>
      </c>
      <c r="B22" s="44" t="s">
        <v>1675</v>
      </c>
      <c r="C22" s="45">
        <v>22.612975432579361</v>
      </c>
      <c r="D22" s="45">
        <v>10.257085317460316</v>
      </c>
      <c r="E22" s="45" t="s">
        <v>1706</v>
      </c>
      <c r="F22" s="45">
        <v>163.04634646666665</v>
      </c>
      <c r="G22" s="45">
        <v>73.956666666666663</v>
      </c>
      <c r="H22" s="38" t="s">
        <v>1745</v>
      </c>
      <c r="I22" t="s">
        <v>1743</v>
      </c>
    </row>
    <row r="23" spans="1:9" x14ac:dyDescent="0.25">
      <c r="A23" s="38" t="s">
        <v>1671</v>
      </c>
      <c r="B23" s="44" t="s">
        <v>1676</v>
      </c>
      <c r="C23" s="45">
        <v>19.938700859733334</v>
      </c>
      <c r="D23" s="45">
        <v>9.0440533333333342</v>
      </c>
      <c r="E23" s="45" t="s">
        <v>1706</v>
      </c>
      <c r="F23" s="45">
        <v>159.57039559999998</v>
      </c>
      <c r="G23" s="45">
        <v>72.38</v>
      </c>
      <c r="H23" s="38" t="s">
        <v>1730</v>
      </c>
      <c r="I23" t="s">
        <v>1744</v>
      </c>
    </row>
    <row r="24" spans="1:9" x14ac:dyDescent="0.25">
      <c r="A24" s="38" t="s">
        <v>1671</v>
      </c>
      <c r="B24" s="44" t="s">
        <v>1711</v>
      </c>
      <c r="C24" s="45">
        <v>21.100638481999994</v>
      </c>
      <c r="D24" s="45">
        <v>9.5710999999999977</v>
      </c>
      <c r="E24" s="45" t="s">
        <v>1706</v>
      </c>
      <c r="F24" s="45">
        <v>160.05541199999996</v>
      </c>
      <c r="G24" s="45">
        <v>72.599999999999994</v>
      </c>
      <c r="H24" s="38" t="s">
        <v>1746</v>
      </c>
    </row>
    <row r="25" spans="1:9" x14ac:dyDescent="0.25">
      <c r="A25" s="38" t="s">
        <v>1677</v>
      </c>
      <c r="B25" s="44" t="s">
        <v>1678</v>
      </c>
      <c r="C25" s="45">
        <v>5735.6843090213324</v>
      </c>
      <c r="D25" s="45">
        <v>2601.6657333333333</v>
      </c>
      <c r="E25" s="45" t="s">
        <v>1707</v>
      </c>
      <c r="F25" s="45">
        <v>228.6043965333333</v>
      </c>
      <c r="G25" s="45">
        <v>103.69333333333333</v>
      </c>
      <c r="H25" s="51"/>
    </row>
    <row r="26" spans="1:9" x14ac:dyDescent="0.25">
      <c r="A26" s="38" t="s">
        <v>1677</v>
      </c>
      <c r="B26" s="44" t="s">
        <v>1679</v>
      </c>
      <c r="C26" s="45">
        <v>5124.7633101059992</v>
      </c>
      <c r="D26" s="45">
        <v>2324.5562999999997</v>
      </c>
      <c r="E26" s="45" t="s">
        <v>1707</v>
      </c>
      <c r="F26" s="45">
        <v>205.56611753333328</v>
      </c>
      <c r="G26" s="45">
        <v>93.243333333333325</v>
      </c>
      <c r="H26" s="51"/>
    </row>
    <row r="27" spans="1:9" x14ac:dyDescent="0.25">
      <c r="A27" s="38" t="s">
        <v>1677</v>
      </c>
      <c r="B27" s="44" t="s">
        <v>1680</v>
      </c>
      <c r="C27" s="45">
        <v>3693.8242753499994</v>
      </c>
      <c r="D27" s="45">
        <v>1675.4924999999998</v>
      </c>
      <c r="E27" s="45" t="s">
        <v>1707</v>
      </c>
      <c r="F27" s="45">
        <v>214.13474059999996</v>
      </c>
      <c r="G27" s="45">
        <v>97.13</v>
      </c>
      <c r="H27" s="51"/>
    </row>
    <row r="28" spans="1:9" x14ac:dyDescent="0.25">
      <c r="A28" s="38" t="s">
        <v>1677</v>
      </c>
      <c r="B28" s="44" t="s">
        <v>1681</v>
      </c>
      <c r="C28" s="45">
        <v>3078.463759653333</v>
      </c>
      <c r="D28" s="45">
        <v>1396.3693333333333</v>
      </c>
      <c r="E28" s="45" t="s">
        <v>1707</v>
      </c>
      <c r="F28" s="45">
        <v>216.64065866666664</v>
      </c>
      <c r="G28" s="45">
        <v>98.266666666666666</v>
      </c>
      <c r="H28" s="51"/>
    </row>
    <row r="29" spans="1:9" x14ac:dyDescent="0.25">
      <c r="A29" s="38" t="s">
        <v>1677</v>
      </c>
      <c r="B29" s="44" t="s">
        <v>1682</v>
      </c>
      <c r="C29" s="45">
        <v>7184.2165053266654</v>
      </c>
      <c r="D29" s="45">
        <v>3258.7096666666662</v>
      </c>
      <c r="E29" s="45" t="s">
        <v>1707</v>
      </c>
      <c r="F29" s="45">
        <v>250.59180666666663</v>
      </c>
      <c r="G29" s="45">
        <v>113.66666666666666</v>
      </c>
      <c r="H29" s="38" t="s">
        <v>1734</v>
      </c>
    </row>
    <row r="30" spans="1:9" x14ac:dyDescent="0.25">
      <c r="A30" s="38" t="s">
        <v>1683</v>
      </c>
      <c r="B30" s="44" t="s">
        <v>1684</v>
      </c>
      <c r="C30" s="46" t="s">
        <v>1685</v>
      </c>
      <c r="D30" s="46" t="s">
        <v>1685</v>
      </c>
      <c r="E30" s="45"/>
      <c r="F30" s="45">
        <v>26.029213466666665</v>
      </c>
      <c r="G30" s="45">
        <v>11.806666666666667</v>
      </c>
      <c r="H30" s="38" t="s">
        <v>1747</v>
      </c>
    </row>
    <row r="31" spans="1:9" x14ac:dyDescent="0.25">
      <c r="A31" s="38" t="s">
        <v>1683</v>
      </c>
      <c r="B31" s="44" t="s">
        <v>1686</v>
      </c>
      <c r="C31" s="46" t="s">
        <v>1685</v>
      </c>
      <c r="D31" s="46" t="s">
        <v>1685</v>
      </c>
      <c r="E31" s="45"/>
      <c r="F31" s="45">
        <v>0</v>
      </c>
      <c r="G31" s="45">
        <v>0</v>
      </c>
      <c r="H31" s="38" t="s">
        <v>1747</v>
      </c>
    </row>
    <row r="32" spans="1:9" x14ac:dyDescent="0.25">
      <c r="A32" s="38" t="s">
        <v>1683</v>
      </c>
      <c r="B32" s="44" t="s">
        <v>1712</v>
      </c>
      <c r="C32" s="45">
        <v>1563.6713058236619</v>
      </c>
      <c r="D32" s="45">
        <v>709.27021700958085</v>
      </c>
      <c r="E32" s="45" t="s">
        <v>1707</v>
      </c>
      <c r="F32" s="45">
        <v>109.97761188461234</v>
      </c>
      <c r="G32" s="45">
        <v>49.885064947524903</v>
      </c>
      <c r="H32" s="38" t="s">
        <v>1748</v>
      </c>
    </row>
    <row r="33" spans="1:8" x14ac:dyDescent="0.25">
      <c r="A33" s="38" t="s">
        <v>1683</v>
      </c>
      <c r="B33" s="44" t="s">
        <v>1713</v>
      </c>
      <c r="C33" s="45">
        <v>5306.8730791999997</v>
      </c>
      <c r="D33" s="45">
        <v>2407.16</v>
      </c>
      <c r="E33" s="45" t="s">
        <v>1707</v>
      </c>
      <c r="F33" s="45">
        <v>189.53118139999998</v>
      </c>
      <c r="G33" s="45">
        <v>85.97</v>
      </c>
      <c r="H33" s="51"/>
    </row>
    <row r="34" spans="1:8" ht="15.75" customHeight="1" x14ac:dyDescent="0.25">
      <c r="A34" s="38" t="s">
        <v>1683</v>
      </c>
      <c r="B34" s="47" t="s">
        <v>1714</v>
      </c>
      <c r="C34" s="45">
        <v>22.513579439999997</v>
      </c>
      <c r="D34" s="45">
        <v>10.212</v>
      </c>
      <c r="E34" s="48" t="s">
        <v>1706</v>
      </c>
      <c r="F34" s="45">
        <v>163.14187999999999</v>
      </c>
      <c r="G34" s="45">
        <v>74</v>
      </c>
      <c r="H34" s="51"/>
    </row>
    <row r="35" spans="1:8" ht="31.5" customHeight="1" x14ac:dyDescent="0.25">
      <c r="A35" s="32"/>
      <c r="B35" s="248" t="s">
        <v>1692</v>
      </c>
      <c r="C35" s="248"/>
      <c r="D35" s="248"/>
      <c r="E35" s="248"/>
      <c r="F35" s="248"/>
      <c r="G35" s="248"/>
    </row>
    <row r="36" spans="1:8" x14ac:dyDescent="0.25">
      <c r="A36" s="32"/>
      <c r="B36" s="249" t="s">
        <v>1693</v>
      </c>
      <c r="C36" s="248"/>
      <c r="D36" s="248"/>
      <c r="E36" s="248"/>
      <c r="F36" s="248"/>
      <c r="G36" s="248"/>
    </row>
    <row r="37" spans="1:8" x14ac:dyDescent="0.25">
      <c r="A37" s="32"/>
      <c r="B37" s="249" t="s">
        <v>1694</v>
      </c>
      <c r="C37" s="248"/>
      <c r="D37" s="248"/>
      <c r="E37" s="248"/>
      <c r="F37" s="248"/>
      <c r="G37" s="248"/>
    </row>
    <row r="38" spans="1:8" x14ac:dyDescent="0.25">
      <c r="A38" s="31"/>
      <c r="B38" s="249" t="s">
        <v>1695</v>
      </c>
      <c r="C38" s="248"/>
      <c r="D38" s="248"/>
      <c r="E38" s="248"/>
      <c r="F38" s="248"/>
      <c r="G38" s="248"/>
    </row>
    <row r="39" spans="1:8" x14ac:dyDescent="0.25">
      <c r="A39" s="31"/>
      <c r="B39" s="246" t="s">
        <v>1696</v>
      </c>
      <c r="C39" s="246"/>
      <c r="D39" s="246"/>
      <c r="E39" s="246"/>
      <c r="F39" s="246"/>
      <c r="G39" s="246"/>
    </row>
    <row r="40" spans="1:8" x14ac:dyDescent="0.25">
      <c r="A40" s="30"/>
      <c r="B40" s="246" t="s">
        <v>1697</v>
      </c>
      <c r="C40" s="246"/>
      <c r="D40" s="246"/>
      <c r="E40" s="246"/>
      <c r="F40" s="246"/>
      <c r="G40" s="246"/>
    </row>
    <row r="41" spans="1:8" x14ac:dyDescent="0.25">
      <c r="B41" s="247" t="s">
        <v>1698</v>
      </c>
      <c r="C41" s="247"/>
      <c r="D41" s="247"/>
      <c r="E41" s="247"/>
      <c r="F41" s="247"/>
      <c r="G41" s="247"/>
    </row>
    <row r="42" spans="1:8" x14ac:dyDescent="0.25">
      <c r="B42" s="34"/>
      <c r="C42" s="35"/>
      <c r="D42" s="35"/>
      <c r="E42" s="35"/>
      <c r="F42" s="35"/>
      <c r="G42" s="35"/>
    </row>
    <row r="43" spans="1:8" x14ac:dyDescent="0.25">
      <c r="B43" t="s">
        <v>1721</v>
      </c>
      <c r="E43" s="35"/>
      <c r="F43" s="35"/>
      <c r="G43" s="36"/>
    </row>
    <row r="44" spans="1:8" x14ac:dyDescent="0.25">
      <c r="B44" t="s">
        <v>1720</v>
      </c>
      <c r="E44" s="35"/>
      <c r="F44" s="35"/>
      <c r="G44" s="36"/>
    </row>
    <row r="45" spans="1:8" x14ac:dyDescent="0.25">
      <c r="B45" t="s">
        <v>1719</v>
      </c>
      <c r="E45" s="35"/>
      <c r="F45" s="35"/>
      <c r="G45" s="36"/>
    </row>
    <row r="46" spans="1:8" x14ac:dyDescent="0.25">
      <c r="B46" s="49" t="s">
        <v>1716</v>
      </c>
    </row>
    <row r="47" spans="1:8" x14ac:dyDescent="0.25">
      <c r="B47" t="s">
        <v>1717</v>
      </c>
    </row>
    <row r="48" spans="1:8" x14ac:dyDescent="0.25">
      <c r="B48" t="s">
        <v>1718</v>
      </c>
      <c r="G48">
        <v>65.11</v>
      </c>
    </row>
    <row r="50" spans="1:4" x14ac:dyDescent="0.25">
      <c r="A50" t="s">
        <v>1912</v>
      </c>
    </row>
    <row r="51" spans="1:4" x14ac:dyDescent="0.25">
      <c r="A51" t="s">
        <v>1903</v>
      </c>
    </row>
    <row r="52" spans="1:4" x14ac:dyDescent="0.25">
      <c r="A52" t="s">
        <v>1904</v>
      </c>
      <c r="B52" t="s">
        <v>1906</v>
      </c>
    </row>
    <row r="53" spans="1:4" x14ac:dyDescent="0.25">
      <c r="B53">
        <v>2025</v>
      </c>
      <c r="C53">
        <v>2024</v>
      </c>
      <c r="D53">
        <v>2023</v>
      </c>
    </row>
    <row r="54" spans="1:4" x14ac:dyDescent="0.25">
      <c r="A54" t="s">
        <v>1907</v>
      </c>
      <c r="B54" s="129">
        <v>1.026E-3</v>
      </c>
      <c r="C54" s="129">
        <v>1.026E-3</v>
      </c>
      <c r="D54" s="129">
        <v>1.026E-3</v>
      </c>
    </row>
    <row r="55" spans="1:4" x14ac:dyDescent="0.25">
      <c r="A55" t="s">
        <v>1908</v>
      </c>
      <c r="B55" s="135">
        <v>53.06</v>
      </c>
      <c r="C55" s="135">
        <v>53.06</v>
      </c>
      <c r="D55" s="107">
        <v>53.06</v>
      </c>
    </row>
    <row r="56" spans="1:4" x14ac:dyDescent="0.25">
      <c r="A56" t="s">
        <v>1905</v>
      </c>
      <c r="B56" s="111">
        <v>5.4440000000000002E-2</v>
      </c>
      <c r="C56" s="111">
        <v>5.4440000000000002E-2</v>
      </c>
      <c r="D56" s="111">
        <v>5.4440000000000002E-2</v>
      </c>
    </row>
    <row r="57" spans="1:4" x14ac:dyDescent="0.25">
      <c r="A57" t="s">
        <v>1910</v>
      </c>
      <c r="B57" s="139">
        <v>0.14599999999999999</v>
      </c>
      <c r="C57" s="139">
        <v>0.14599999999999999</v>
      </c>
      <c r="D57" s="139">
        <v>0.14599999999999999</v>
      </c>
    </row>
    <row r="58" spans="1:4" x14ac:dyDescent="0.25">
      <c r="A58" t="s">
        <v>1911</v>
      </c>
      <c r="B58" s="135">
        <v>75.040000000000006</v>
      </c>
      <c r="C58" s="135">
        <v>75.040000000000006</v>
      </c>
      <c r="D58" s="107">
        <v>75.040000000000006</v>
      </c>
    </row>
    <row r="59" spans="1:4" x14ac:dyDescent="0.25">
      <c r="A59" t="s">
        <v>1909</v>
      </c>
      <c r="B59" s="135">
        <v>10.96</v>
      </c>
      <c r="C59" s="135">
        <v>10.96</v>
      </c>
      <c r="D59" s="135">
        <v>10.96</v>
      </c>
    </row>
    <row r="61" spans="1:4" x14ac:dyDescent="0.25">
      <c r="A61" t="s">
        <v>1915</v>
      </c>
    </row>
    <row r="62" spans="1:4" x14ac:dyDescent="0.25">
      <c r="A62" t="s">
        <v>1914</v>
      </c>
    </row>
    <row r="63" spans="1:4" x14ac:dyDescent="0.25">
      <c r="A63" t="s">
        <v>1913</v>
      </c>
    </row>
  </sheetData>
  <mergeCells count="11">
    <mergeCell ref="B41:G41"/>
    <mergeCell ref="B35:G35"/>
    <mergeCell ref="B36:G36"/>
    <mergeCell ref="B37:G37"/>
    <mergeCell ref="B38:G38"/>
    <mergeCell ref="B39:G39"/>
    <mergeCell ref="B4:G4"/>
    <mergeCell ref="F6:G6"/>
    <mergeCell ref="C6:E6"/>
    <mergeCell ref="J1:O7"/>
    <mergeCell ref="B40:G40"/>
  </mergeCells>
  <hyperlinks>
    <hyperlink ref="B46" r:id="rId1" xr:uid="{7EC5010E-48F6-47B0-8636-5DA71B1E635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D0FA9-FFC5-4148-909F-E722F0E14BA3}">
  <dimension ref="A1:R901"/>
  <sheetViews>
    <sheetView topLeftCell="A503" workbookViewId="0">
      <selection activeCell="B530" sqref="B530"/>
    </sheetView>
    <sheetView workbookViewId="1"/>
  </sheetViews>
  <sheetFormatPr defaultColWidth="9.140625" defaultRowHeight="15" x14ac:dyDescent="0.25"/>
  <cols>
    <col min="1" max="1" width="10.42578125" style="3" customWidth="1"/>
    <col min="2" max="2" width="19.5703125" style="4" customWidth="1"/>
    <col min="3" max="3" width="140.7109375" style="4" bestFit="1" customWidth="1"/>
    <col min="4" max="4" width="32.140625" style="4" bestFit="1" customWidth="1"/>
    <col min="5" max="5" width="3.85546875" style="4" customWidth="1"/>
    <col min="6" max="7" width="3.28515625" style="3" customWidth="1"/>
    <col min="8" max="8" width="5.7109375" customWidth="1"/>
    <col min="19" max="16384" width="9.140625" style="3"/>
  </cols>
  <sheetData>
    <row r="1" spans="1:7" ht="15.75" x14ac:dyDescent="0.25">
      <c r="B1" s="26" t="s">
        <v>1649</v>
      </c>
      <c r="C1" s="26"/>
    </row>
    <row r="2" spans="1:7" ht="15.75" x14ac:dyDescent="0.25">
      <c r="B2" s="26" t="s">
        <v>1648</v>
      </c>
      <c r="C2" s="26"/>
    </row>
    <row r="3" spans="1:7" x14ac:dyDescent="0.25">
      <c r="B3" s="4" t="s">
        <v>1651</v>
      </c>
      <c r="C3" s="4" t="s">
        <v>1652</v>
      </c>
    </row>
    <row r="4" spans="1:7" x14ac:dyDescent="0.25">
      <c r="B4" s="4" t="s">
        <v>1653</v>
      </c>
      <c r="C4" s="4" t="s">
        <v>1650</v>
      </c>
    </row>
    <row r="5" spans="1:7" x14ac:dyDescent="0.25">
      <c r="B5" s="4" t="s">
        <v>1655</v>
      </c>
      <c r="C5" s="4" t="s">
        <v>1654</v>
      </c>
    </row>
    <row r="6" spans="1:7" x14ac:dyDescent="0.25">
      <c r="B6" s="4" t="s">
        <v>1656</v>
      </c>
      <c r="C6" s="4" t="s">
        <v>1657</v>
      </c>
    </row>
    <row r="7" spans="1:7" ht="21" x14ac:dyDescent="0.35">
      <c r="B7" s="5" t="s">
        <v>14</v>
      </c>
    </row>
    <row r="8" spans="1:7" x14ac:dyDescent="0.25">
      <c r="B8" s="4" t="s">
        <v>15</v>
      </c>
    </row>
    <row r="9" spans="1:7" x14ac:dyDescent="0.25">
      <c r="B9" s="6" t="s">
        <v>16</v>
      </c>
    </row>
    <row r="10" spans="1:7" ht="12.75" customHeight="1" x14ac:dyDescent="0.25">
      <c r="B10" s="6" t="s">
        <v>17</v>
      </c>
    </row>
    <row r="11" spans="1:7" x14ac:dyDescent="0.25">
      <c r="B11" s="6" t="s">
        <v>18</v>
      </c>
    </row>
    <row r="12" spans="1:7" x14ac:dyDescent="0.25">
      <c r="B12" s="6" t="s">
        <v>1659</v>
      </c>
    </row>
    <row r="13" spans="1:7" ht="15.75" thickBot="1" x14ac:dyDescent="0.3">
      <c r="A13" s="4"/>
      <c r="B13" s="25" t="s">
        <v>1658</v>
      </c>
      <c r="E13" s="4" t="s">
        <v>1647</v>
      </c>
    </row>
    <row r="14" spans="1:7" ht="17.25" thickTop="1" thickBot="1" x14ac:dyDescent="0.3">
      <c r="B14" s="12" t="s">
        <v>19</v>
      </c>
      <c r="C14" s="13" t="s">
        <v>20</v>
      </c>
      <c r="D14" s="14" t="s">
        <v>21</v>
      </c>
      <c r="E14" s="17">
        <v>12</v>
      </c>
      <c r="F14" s="18">
        <v>34</v>
      </c>
      <c r="G14" s="19">
        <v>5</v>
      </c>
    </row>
    <row r="15" spans="1:7" x14ac:dyDescent="0.25">
      <c r="B15" s="7" t="s">
        <v>66</v>
      </c>
      <c r="C15" s="8" t="s">
        <v>67</v>
      </c>
      <c r="D15" s="4" t="s">
        <v>24</v>
      </c>
      <c r="E15" s="20" t="str">
        <f>LEFT(B15,2)</f>
        <v>AB</v>
      </c>
      <c r="F15" s="16" t="str">
        <f>MID(B15,3,2)</f>
        <v>IC</v>
      </c>
      <c r="G15" s="21" t="str">
        <f>RIGHT(B15,1)</f>
        <v>B</v>
      </c>
    </row>
    <row r="16" spans="1:7" x14ac:dyDescent="0.25">
      <c r="B16" s="7" t="s">
        <v>68</v>
      </c>
      <c r="C16" s="8" t="s">
        <v>67</v>
      </c>
      <c r="D16" s="4" t="s">
        <v>69</v>
      </c>
      <c r="E16" s="20" t="str">
        <f t="shared" ref="E16:E79" si="0">LEFT(B16,2)</f>
        <v>AB</v>
      </c>
      <c r="F16" s="16" t="str">
        <f t="shared" ref="F16:F79" si="1">MID(B16,3,2)</f>
        <v>IC</v>
      </c>
      <c r="G16" s="21" t="str">
        <f t="shared" ref="G16:G79" si="2">RIGHT(B16,1)</f>
        <v>P</v>
      </c>
    </row>
    <row r="17" spans="2:7" x14ac:dyDescent="0.25">
      <c r="B17" s="7" t="s">
        <v>70</v>
      </c>
      <c r="C17" s="8" t="s">
        <v>71</v>
      </c>
      <c r="D17" s="4" t="s">
        <v>24</v>
      </c>
      <c r="E17" s="20" t="str">
        <f t="shared" si="0"/>
        <v>AR</v>
      </c>
      <c r="F17" s="16" t="str">
        <f t="shared" si="1"/>
        <v>IC</v>
      </c>
      <c r="G17" s="21" t="str">
        <f t="shared" si="2"/>
        <v>B</v>
      </c>
    </row>
    <row r="18" spans="2:7" x14ac:dyDescent="0.25">
      <c r="B18" s="7" t="s">
        <v>72</v>
      </c>
      <c r="C18" s="8" t="s">
        <v>73</v>
      </c>
      <c r="D18" s="4" t="s">
        <v>74</v>
      </c>
      <c r="E18" s="20" t="str">
        <f t="shared" si="0"/>
        <v>AR</v>
      </c>
      <c r="F18" s="16" t="str">
        <f t="shared" si="1"/>
        <v>IC</v>
      </c>
      <c r="G18" s="21" t="str">
        <f t="shared" si="2"/>
        <v>D</v>
      </c>
    </row>
    <row r="19" spans="2:7" x14ac:dyDescent="0.25">
      <c r="B19" s="7" t="s">
        <v>75</v>
      </c>
      <c r="C19" s="8" t="s">
        <v>71</v>
      </c>
      <c r="D19" s="4" t="s">
        <v>69</v>
      </c>
      <c r="E19" s="20" t="str">
        <f t="shared" si="0"/>
        <v>AR</v>
      </c>
      <c r="F19" s="16" t="str">
        <f t="shared" si="1"/>
        <v>IC</v>
      </c>
      <c r="G19" s="21" t="str">
        <f t="shared" si="2"/>
        <v>P</v>
      </c>
    </row>
    <row r="20" spans="2:7" x14ac:dyDescent="0.25">
      <c r="B20" s="7" t="s">
        <v>76</v>
      </c>
      <c r="C20" s="8" t="s">
        <v>77</v>
      </c>
      <c r="D20" s="4" t="s">
        <v>78</v>
      </c>
      <c r="E20" s="20" t="str">
        <f t="shared" si="0"/>
        <v>AR</v>
      </c>
      <c r="F20" s="16" t="str">
        <f t="shared" si="1"/>
        <v>IC</v>
      </c>
      <c r="G20" s="21" t="str">
        <f t="shared" si="2"/>
        <v>V</v>
      </c>
    </row>
    <row r="21" spans="2:7" x14ac:dyDescent="0.25">
      <c r="B21" s="7" t="s">
        <v>79</v>
      </c>
      <c r="C21" s="8" t="s">
        <v>80</v>
      </c>
      <c r="D21" s="4" t="s">
        <v>24</v>
      </c>
      <c r="E21" s="20" t="str">
        <f t="shared" si="0"/>
        <v>AR</v>
      </c>
      <c r="F21" s="16" t="str">
        <f t="shared" si="1"/>
        <v>TC</v>
      </c>
      <c r="G21" s="21" t="str">
        <f t="shared" si="2"/>
        <v>B</v>
      </c>
    </row>
    <row r="22" spans="2:7" x14ac:dyDescent="0.25">
      <c r="B22" s="7" t="s">
        <v>81</v>
      </c>
      <c r="C22" s="8" t="s">
        <v>82</v>
      </c>
      <c r="D22" s="4" t="s">
        <v>74</v>
      </c>
      <c r="E22" s="20" t="str">
        <f t="shared" si="0"/>
        <v>AR</v>
      </c>
      <c r="F22" s="16" t="str">
        <f t="shared" si="1"/>
        <v>TC</v>
      </c>
      <c r="G22" s="21" t="str">
        <f t="shared" si="2"/>
        <v>D</v>
      </c>
    </row>
    <row r="23" spans="2:7" x14ac:dyDescent="0.25">
      <c r="B23" s="7" t="s">
        <v>83</v>
      </c>
      <c r="C23" s="8" t="s">
        <v>80</v>
      </c>
      <c r="D23" s="4" t="s">
        <v>69</v>
      </c>
      <c r="E23" s="20" t="str">
        <f t="shared" si="0"/>
        <v>AR</v>
      </c>
      <c r="F23" s="16" t="str">
        <f t="shared" si="1"/>
        <v>TC</v>
      </c>
      <c r="G23" s="21" t="str">
        <f t="shared" si="2"/>
        <v>P</v>
      </c>
    </row>
    <row r="24" spans="2:7" x14ac:dyDescent="0.25">
      <c r="B24" s="7" t="s">
        <v>84</v>
      </c>
      <c r="C24" s="8" t="s">
        <v>85</v>
      </c>
      <c r="D24" s="4" t="s">
        <v>78</v>
      </c>
      <c r="E24" s="20" t="str">
        <f t="shared" si="0"/>
        <v>AR</v>
      </c>
      <c r="F24" s="16" t="str">
        <f t="shared" si="1"/>
        <v>TC</v>
      </c>
      <c r="G24" s="21" t="str">
        <f t="shared" si="2"/>
        <v>V</v>
      </c>
    </row>
    <row r="25" spans="2:7" x14ac:dyDescent="0.25">
      <c r="B25" s="9" t="s">
        <v>86</v>
      </c>
      <c r="C25" s="8" t="s">
        <v>87</v>
      </c>
      <c r="D25" s="4" t="s">
        <v>24</v>
      </c>
      <c r="E25" s="20" t="str">
        <f t="shared" si="0"/>
        <v>AR</v>
      </c>
      <c r="F25" s="16" t="str">
        <f t="shared" si="1"/>
        <v>TX</v>
      </c>
      <c r="G25" s="21" t="str">
        <f t="shared" si="2"/>
        <v>B</v>
      </c>
    </row>
    <row r="26" spans="2:7" x14ac:dyDescent="0.25">
      <c r="B26" s="7" t="s">
        <v>88</v>
      </c>
      <c r="C26" s="8" t="s">
        <v>89</v>
      </c>
      <c r="D26" s="4" t="s">
        <v>74</v>
      </c>
      <c r="E26" s="20" t="str">
        <f t="shared" si="0"/>
        <v>AR</v>
      </c>
      <c r="F26" s="16" t="str">
        <f t="shared" si="1"/>
        <v>TX</v>
      </c>
      <c r="G26" s="21" t="str">
        <f t="shared" si="2"/>
        <v>D</v>
      </c>
    </row>
    <row r="27" spans="2:7" x14ac:dyDescent="0.25">
      <c r="B27" s="7" t="s">
        <v>90</v>
      </c>
      <c r="C27" s="8" t="s">
        <v>87</v>
      </c>
      <c r="D27" s="4" t="s">
        <v>69</v>
      </c>
      <c r="E27" s="20" t="str">
        <f t="shared" si="0"/>
        <v>AR</v>
      </c>
      <c r="F27" s="16" t="str">
        <f t="shared" si="1"/>
        <v>TX</v>
      </c>
      <c r="G27" s="21" t="str">
        <f t="shared" si="2"/>
        <v>P</v>
      </c>
    </row>
    <row r="28" spans="2:7" x14ac:dyDescent="0.25">
      <c r="B28" s="9" t="s">
        <v>91</v>
      </c>
      <c r="C28" s="8" t="s">
        <v>92</v>
      </c>
      <c r="D28" s="4" t="s">
        <v>78</v>
      </c>
      <c r="E28" s="20" t="str">
        <f t="shared" si="0"/>
        <v>AR</v>
      </c>
      <c r="F28" s="16" t="str">
        <f t="shared" si="1"/>
        <v>TX</v>
      </c>
      <c r="G28" s="21" t="str">
        <f t="shared" si="2"/>
        <v>V</v>
      </c>
    </row>
    <row r="29" spans="2:7" x14ac:dyDescent="0.25">
      <c r="B29" s="7" t="s">
        <v>93</v>
      </c>
      <c r="C29" s="8" t="s">
        <v>94</v>
      </c>
      <c r="D29" s="4" t="s">
        <v>24</v>
      </c>
      <c r="E29" s="20" t="str">
        <f t="shared" si="0"/>
        <v>AV</v>
      </c>
      <c r="F29" s="16" t="str">
        <f t="shared" si="1"/>
        <v>AC</v>
      </c>
      <c r="G29" s="21" t="str">
        <f t="shared" si="2"/>
        <v>B</v>
      </c>
    </row>
    <row r="30" spans="2:7" x14ac:dyDescent="0.25">
      <c r="B30" s="7" t="s">
        <v>95</v>
      </c>
      <c r="C30" s="8" t="s">
        <v>96</v>
      </c>
      <c r="D30" s="4" t="s">
        <v>74</v>
      </c>
      <c r="E30" s="20" t="str">
        <f t="shared" si="0"/>
        <v>AV</v>
      </c>
      <c r="F30" s="16" t="str">
        <f t="shared" si="1"/>
        <v>AC</v>
      </c>
      <c r="G30" s="21" t="str">
        <f t="shared" si="2"/>
        <v>D</v>
      </c>
    </row>
    <row r="31" spans="2:7" x14ac:dyDescent="0.25">
      <c r="B31" s="7" t="s">
        <v>97</v>
      </c>
      <c r="C31" s="8" t="s">
        <v>94</v>
      </c>
      <c r="D31" s="4" t="s">
        <v>69</v>
      </c>
      <c r="E31" s="20" t="str">
        <f t="shared" si="0"/>
        <v>AV</v>
      </c>
      <c r="F31" s="16" t="str">
        <f t="shared" si="1"/>
        <v>AC</v>
      </c>
      <c r="G31" s="21" t="str">
        <f t="shared" si="2"/>
        <v>P</v>
      </c>
    </row>
    <row r="32" spans="2:7" x14ac:dyDescent="0.25">
      <c r="B32" s="7" t="s">
        <v>98</v>
      </c>
      <c r="C32" s="8" t="s">
        <v>99</v>
      </c>
      <c r="D32" s="4" t="s">
        <v>78</v>
      </c>
      <c r="E32" s="20" t="str">
        <f t="shared" si="0"/>
        <v>AV</v>
      </c>
      <c r="F32" s="16" t="str">
        <f t="shared" si="1"/>
        <v>AC</v>
      </c>
      <c r="G32" s="21" t="str">
        <f t="shared" si="2"/>
        <v>V</v>
      </c>
    </row>
    <row r="33" spans="2:7" x14ac:dyDescent="0.25">
      <c r="B33" s="7" t="s">
        <v>100</v>
      </c>
      <c r="C33" s="8" t="s">
        <v>101</v>
      </c>
      <c r="D33" s="4" t="s">
        <v>24</v>
      </c>
      <c r="E33" s="20" t="str">
        <f t="shared" si="0"/>
        <v>AV</v>
      </c>
      <c r="F33" s="16" t="str">
        <f t="shared" si="1"/>
        <v>TC</v>
      </c>
      <c r="G33" s="21" t="str">
        <f t="shared" si="2"/>
        <v>B</v>
      </c>
    </row>
    <row r="34" spans="2:7" x14ac:dyDescent="0.25">
      <c r="B34" s="7" t="s">
        <v>102</v>
      </c>
      <c r="C34" s="8" t="s">
        <v>103</v>
      </c>
      <c r="D34" s="4" t="s">
        <v>74</v>
      </c>
      <c r="E34" s="20" t="str">
        <f t="shared" si="0"/>
        <v>AV</v>
      </c>
      <c r="F34" s="16" t="str">
        <f t="shared" si="1"/>
        <v>TC</v>
      </c>
      <c r="G34" s="21" t="str">
        <f t="shared" si="2"/>
        <v>D</v>
      </c>
    </row>
    <row r="35" spans="2:7" x14ac:dyDescent="0.25">
      <c r="B35" s="7" t="s">
        <v>104</v>
      </c>
      <c r="C35" s="8" t="s">
        <v>101</v>
      </c>
      <c r="D35" s="4" t="s">
        <v>69</v>
      </c>
      <c r="E35" s="20" t="str">
        <f t="shared" si="0"/>
        <v>AV</v>
      </c>
      <c r="F35" s="16" t="str">
        <f t="shared" si="1"/>
        <v>TC</v>
      </c>
      <c r="G35" s="21" t="str">
        <f t="shared" si="2"/>
        <v>P</v>
      </c>
    </row>
    <row r="36" spans="2:7" x14ac:dyDescent="0.25">
      <c r="B36" s="7" t="s">
        <v>105</v>
      </c>
      <c r="C36" s="8" t="s">
        <v>106</v>
      </c>
      <c r="D36" s="4" t="s">
        <v>78</v>
      </c>
      <c r="E36" s="20" t="str">
        <f t="shared" si="0"/>
        <v>AV</v>
      </c>
      <c r="F36" s="16" t="str">
        <f t="shared" si="1"/>
        <v>TC</v>
      </c>
      <c r="G36" s="21" t="str">
        <f t="shared" si="2"/>
        <v>V</v>
      </c>
    </row>
    <row r="37" spans="2:7" x14ac:dyDescent="0.25">
      <c r="B37" s="7" t="s">
        <v>107</v>
      </c>
      <c r="C37" s="8" t="s">
        <v>108</v>
      </c>
      <c r="D37" s="4" t="s">
        <v>24</v>
      </c>
      <c r="E37" s="20" t="str">
        <f t="shared" si="0"/>
        <v>AV</v>
      </c>
      <c r="F37" s="16" t="str">
        <f t="shared" si="1"/>
        <v>TX</v>
      </c>
      <c r="G37" s="21" t="str">
        <f t="shared" si="2"/>
        <v>B</v>
      </c>
    </row>
    <row r="38" spans="2:7" x14ac:dyDescent="0.25">
      <c r="B38" s="7" t="s">
        <v>109</v>
      </c>
      <c r="C38" s="8" t="s">
        <v>110</v>
      </c>
      <c r="D38" s="4" t="s">
        <v>74</v>
      </c>
      <c r="E38" s="20" t="str">
        <f t="shared" si="0"/>
        <v>AV</v>
      </c>
      <c r="F38" s="16" t="str">
        <f t="shared" si="1"/>
        <v>TX</v>
      </c>
      <c r="G38" s="21" t="str">
        <f t="shared" si="2"/>
        <v>D</v>
      </c>
    </row>
    <row r="39" spans="2:7" x14ac:dyDescent="0.25">
      <c r="B39" s="7" t="s">
        <v>111</v>
      </c>
      <c r="C39" s="8" t="s">
        <v>108</v>
      </c>
      <c r="D39" s="4" t="s">
        <v>69</v>
      </c>
      <c r="E39" s="20" t="str">
        <f t="shared" si="0"/>
        <v>AV</v>
      </c>
      <c r="F39" s="16" t="str">
        <f t="shared" si="1"/>
        <v>TX</v>
      </c>
      <c r="G39" s="21" t="str">
        <f t="shared" si="2"/>
        <v>P</v>
      </c>
    </row>
    <row r="40" spans="2:7" x14ac:dyDescent="0.25">
      <c r="B40" s="7" t="s">
        <v>112</v>
      </c>
      <c r="C40" s="8" t="s">
        <v>113</v>
      </c>
      <c r="D40" s="4" t="s">
        <v>78</v>
      </c>
      <c r="E40" s="20" t="str">
        <f t="shared" si="0"/>
        <v>AV</v>
      </c>
      <c r="F40" s="16" t="str">
        <f t="shared" si="1"/>
        <v>TX</v>
      </c>
      <c r="G40" s="21" t="str">
        <f t="shared" si="2"/>
        <v>V</v>
      </c>
    </row>
    <row r="41" spans="2:7" x14ac:dyDescent="0.25">
      <c r="B41" s="7" t="s">
        <v>114</v>
      </c>
      <c r="C41" s="8" t="s">
        <v>115</v>
      </c>
      <c r="D41" s="4" t="s">
        <v>24</v>
      </c>
      <c r="E41" s="20" t="str">
        <f t="shared" si="0"/>
        <v>B1</v>
      </c>
      <c r="F41" s="16" t="str">
        <f t="shared" si="1"/>
        <v>AB</v>
      </c>
      <c r="G41" s="21" t="str">
        <f t="shared" si="2"/>
        <v>B</v>
      </c>
    </row>
    <row r="42" spans="2:7" x14ac:dyDescent="0.25">
      <c r="B42" s="7" t="s">
        <v>116</v>
      </c>
      <c r="C42" s="8" t="s">
        <v>115</v>
      </c>
      <c r="D42" s="4" t="s">
        <v>69</v>
      </c>
      <c r="E42" s="20" t="str">
        <f t="shared" si="0"/>
        <v>B1</v>
      </c>
      <c r="F42" s="16" t="str">
        <f t="shared" si="1"/>
        <v>AB</v>
      </c>
      <c r="G42" s="21" t="str">
        <f t="shared" si="2"/>
        <v>P</v>
      </c>
    </row>
    <row r="43" spans="2:7" x14ac:dyDescent="0.25">
      <c r="B43" s="7" t="s">
        <v>117</v>
      </c>
      <c r="C43" s="8" t="s">
        <v>118</v>
      </c>
      <c r="D43" s="4" t="s">
        <v>24</v>
      </c>
      <c r="E43" s="20" t="str">
        <f t="shared" si="0"/>
        <v>B1</v>
      </c>
      <c r="F43" s="16" t="str">
        <f t="shared" si="1"/>
        <v>AC</v>
      </c>
      <c r="G43" s="21" t="str">
        <f t="shared" si="2"/>
        <v>B</v>
      </c>
    </row>
    <row r="44" spans="2:7" x14ac:dyDescent="0.25">
      <c r="B44" s="7" t="s">
        <v>119</v>
      </c>
      <c r="C44" s="8" t="s">
        <v>118</v>
      </c>
      <c r="D44" s="4" t="s">
        <v>69</v>
      </c>
      <c r="E44" s="20" t="str">
        <f t="shared" si="0"/>
        <v>B1</v>
      </c>
      <c r="F44" s="16" t="str">
        <f t="shared" si="1"/>
        <v>AC</v>
      </c>
      <c r="G44" s="21" t="str">
        <f t="shared" si="2"/>
        <v>P</v>
      </c>
    </row>
    <row r="45" spans="2:7" x14ac:dyDescent="0.25">
      <c r="B45" s="7" t="s">
        <v>120</v>
      </c>
      <c r="C45" s="8" t="s">
        <v>121</v>
      </c>
      <c r="D45" s="4" t="s">
        <v>24</v>
      </c>
      <c r="E45" s="20" t="str">
        <f t="shared" si="0"/>
        <v>B1</v>
      </c>
      <c r="F45" s="16" t="str">
        <f t="shared" si="1"/>
        <v>AU</v>
      </c>
      <c r="G45" s="21" t="str">
        <f t="shared" si="2"/>
        <v>B</v>
      </c>
    </row>
    <row r="46" spans="2:7" x14ac:dyDescent="0.25">
      <c r="B46" s="7" t="s">
        <v>122</v>
      </c>
      <c r="C46" s="8" t="s">
        <v>121</v>
      </c>
      <c r="D46" s="4" t="s">
        <v>69</v>
      </c>
      <c r="E46" s="20" t="str">
        <f t="shared" si="0"/>
        <v>B1</v>
      </c>
      <c r="F46" s="16" t="str">
        <f t="shared" si="1"/>
        <v>AU</v>
      </c>
      <c r="G46" s="21" t="str">
        <f t="shared" si="2"/>
        <v>P</v>
      </c>
    </row>
    <row r="47" spans="2:7" x14ac:dyDescent="0.25">
      <c r="B47" s="7" t="s">
        <v>123</v>
      </c>
      <c r="C47" s="8" t="s">
        <v>124</v>
      </c>
      <c r="D47" s="4" t="s">
        <v>24</v>
      </c>
      <c r="E47" s="20" t="str">
        <f t="shared" si="0"/>
        <v>B1</v>
      </c>
      <c r="F47" s="16" t="str">
        <f t="shared" si="1"/>
        <v>PR</v>
      </c>
      <c r="G47" s="21" t="str">
        <f t="shared" si="2"/>
        <v>B</v>
      </c>
    </row>
    <row r="48" spans="2:7" x14ac:dyDescent="0.25">
      <c r="B48" s="7" t="s">
        <v>125</v>
      </c>
      <c r="C48" s="8" t="s">
        <v>124</v>
      </c>
      <c r="D48" s="4" t="s">
        <v>69</v>
      </c>
      <c r="E48" s="20" t="str">
        <f t="shared" si="0"/>
        <v>B1</v>
      </c>
      <c r="F48" s="16" t="str">
        <f t="shared" si="1"/>
        <v>PR</v>
      </c>
      <c r="G48" s="21" t="str">
        <f t="shared" si="2"/>
        <v>P</v>
      </c>
    </row>
    <row r="49" spans="1:7" x14ac:dyDescent="0.25">
      <c r="B49" s="7" t="s">
        <v>126</v>
      </c>
      <c r="C49" s="8" t="s">
        <v>127</v>
      </c>
      <c r="D49" s="4" t="s">
        <v>24</v>
      </c>
      <c r="E49" s="20" t="str">
        <f t="shared" si="0"/>
        <v>B1</v>
      </c>
      <c r="F49" s="16" t="str">
        <f t="shared" si="1"/>
        <v>RI</v>
      </c>
      <c r="G49" s="21" t="str">
        <f t="shared" si="2"/>
        <v>B</v>
      </c>
    </row>
    <row r="50" spans="1:7" x14ac:dyDescent="0.25">
      <c r="B50" s="7" t="s">
        <v>128</v>
      </c>
      <c r="C50" s="8" t="s">
        <v>127</v>
      </c>
      <c r="D50" s="4" t="s">
        <v>69</v>
      </c>
      <c r="E50" s="20" t="str">
        <f t="shared" si="0"/>
        <v>B1</v>
      </c>
      <c r="F50" s="16" t="str">
        <f t="shared" si="1"/>
        <v>RI</v>
      </c>
      <c r="G50" s="21" t="str">
        <f t="shared" si="2"/>
        <v>P</v>
      </c>
    </row>
    <row r="51" spans="1:7" x14ac:dyDescent="0.25">
      <c r="B51" s="7" t="s">
        <v>129</v>
      </c>
      <c r="C51" s="8" t="s">
        <v>130</v>
      </c>
      <c r="D51" s="4" t="s">
        <v>24</v>
      </c>
      <c r="E51" s="20" t="str">
        <f t="shared" si="0"/>
        <v>B1</v>
      </c>
      <c r="F51" s="16" t="str">
        <f t="shared" si="1"/>
        <v>TC</v>
      </c>
      <c r="G51" s="21" t="str">
        <f t="shared" si="2"/>
        <v>B</v>
      </c>
    </row>
    <row r="52" spans="1:7" x14ac:dyDescent="0.25">
      <c r="B52" s="7" t="s">
        <v>131</v>
      </c>
      <c r="C52" s="8" t="s">
        <v>130</v>
      </c>
      <c r="D52" s="4" t="s">
        <v>69</v>
      </c>
      <c r="E52" s="20" t="str">
        <f t="shared" si="0"/>
        <v>B1</v>
      </c>
      <c r="F52" s="16" t="str">
        <f t="shared" si="1"/>
        <v>TC</v>
      </c>
      <c r="G52" s="21" t="str">
        <f t="shared" si="2"/>
        <v>P</v>
      </c>
    </row>
    <row r="53" spans="1:7" x14ac:dyDescent="0.25">
      <c r="B53" s="7" t="s">
        <v>132</v>
      </c>
      <c r="C53" s="8" t="s">
        <v>133</v>
      </c>
      <c r="D53" s="4" t="s">
        <v>24</v>
      </c>
      <c r="E53" s="20" t="str">
        <f t="shared" si="0"/>
        <v>BD</v>
      </c>
      <c r="F53" s="16" t="str">
        <f t="shared" si="1"/>
        <v>AB</v>
      </c>
      <c r="G53" s="21" t="str">
        <f t="shared" si="2"/>
        <v>B</v>
      </c>
    </row>
    <row r="54" spans="1:7" x14ac:dyDescent="0.25">
      <c r="A54" s="4"/>
      <c r="B54" s="7" t="s">
        <v>134</v>
      </c>
      <c r="C54" s="8" t="s">
        <v>133</v>
      </c>
      <c r="D54" s="4" t="s">
        <v>69</v>
      </c>
      <c r="E54" s="20" t="str">
        <f t="shared" si="0"/>
        <v>BD</v>
      </c>
      <c r="F54" s="16" t="str">
        <f t="shared" si="1"/>
        <v>AB</v>
      </c>
      <c r="G54" s="21" t="str">
        <f t="shared" si="2"/>
        <v>P</v>
      </c>
    </row>
    <row r="55" spans="1:7" x14ac:dyDescent="0.25">
      <c r="A55" s="4"/>
      <c r="B55" s="7" t="s">
        <v>135</v>
      </c>
      <c r="C55" s="8" t="s">
        <v>136</v>
      </c>
      <c r="D55" s="4" t="s">
        <v>24</v>
      </c>
      <c r="E55" s="20" t="str">
        <f t="shared" si="0"/>
        <v>BD</v>
      </c>
      <c r="F55" s="16" t="str">
        <f t="shared" si="1"/>
        <v>AC</v>
      </c>
      <c r="G55" s="21" t="str">
        <f t="shared" si="2"/>
        <v>B</v>
      </c>
    </row>
    <row r="56" spans="1:7" x14ac:dyDescent="0.25">
      <c r="A56" s="4"/>
      <c r="B56" s="7" t="s">
        <v>137</v>
      </c>
      <c r="C56" s="8" t="s">
        <v>136</v>
      </c>
      <c r="D56" s="4" t="s">
        <v>69</v>
      </c>
      <c r="E56" s="20" t="str">
        <f t="shared" si="0"/>
        <v>BD</v>
      </c>
      <c r="F56" s="16" t="str">
        <f t="shared" si="1"/>
        <v>AC</v>
      </c>
      <c r="G56" s="21" t="str">
        <f t="shared" si="2"/>
        <v>P</v>
      </c>
    </row>
    <row r="57" spans="1:7" x14ac:dyDescent="0.25">
      <c r="A57" s="4"/>
      <c r="B57" s="7" t="s">
        <v>138</v>
      </c>
      <c r="C57" s="8" t="s">
        <v>139</v>
      </c>
      <c r="D57" s="4" t="s">
        <v>24</v>
      </c>
      <c r="E57" s="20" t="str">
        <f t="shared" si="0"/>
        <v>BD</v>
      </c>
      <c r="F57" s="16" t="str">
        <f t="shared" si="1"/>
        <v>AU</v>
      </c>
      <c r="G57" s="21" t="str">
        <f t="shared" si="2"/>
        <v>B</v>
      </c>
    </row>
    <row r="58" spans="1:7" x14ac:dyDescent="0.25">
      <c r="A58" s="4"/>
      <c r="B58" s="7" t="s">
        <v>140</v>
      </c>
      <c r="C58" s="8" t="s">
        <v>139</v>
      </c>
      <c r="D58" s="4" t="s">
        <v>69</v>
      </c>
      <c r="E58" s="20" t="str">
        <f t="shared" si="0"/>
        <v>BD</v>
      </c>
      <c r="F58" s="16" t="str">
        <f t="shared" si="1"/>
        <v>AU</v>
      </c>
      <c r="G58" s="21" t="str">
        <f t="shared" si="2"/>
        <v>P</v>
      </c>
    </row>
    <row r="59" spans="1:7" x14ac:dyDescent="0.25">
      <c r="B59" s="7" t="s">
        <v>141</v>
      </c>
      <c r="C59" s="8" t="s">
        <v>142</v>
      </c>
      <c r="D59" s="4" t="s">
        <v>24</v>
      </c>
      <c r="E59" s="20" t="str">
        <f t="shared" si="0"/>
        <v>BD</v>
      </c>
      <c r="F59" s="16" t="str">
        <f t="shared" si="1"/>
        <v>CB</v>
      </c>
      <c r="G59" s="21" t="str">
        <f t="shared" si="2"/>
        <v>B</v>
      </c>
    </row>
    <row r="60" spans="1:7" x14ac:dyDescent="0.25">
      <c r="B60" s="7" t="s">
        <v>143</v>
      </c>
      <c r="C60" s="8" t="s">
        <v>142</v>
      </c>
      <c r="D60" s="4" t="s">
        <v>69</v>
      </c>
      <c r="E60" s="20" t="str">
        <f t="shared" si="0"/>
        <v>BD</v>
      </c>
      <c r="F60" s="16" t="str">
        <f t="shared" si="1"/>
        <v>CB</v>
      </c>
      <c r="G60" s="21" t="str">
        <f t="shared" si="2"/>
        <v>P</v>
      </c>
    </row>
    <row r="61" spans="1:7" x14ac:dyDescent="0.25">
      <c r="B61" s="7" t="s">
        <v>144</v>
      </c>
      <c r="C61" s="8" t="s">
        <v>145</v>
      </c>
      <c r="D61" s="4" t="s">
        <v>24</v>
      </c>
      <c r="E61" s="20" t="str">
        <f t="shared" si="0"/>
        <v>BD</v>
      </c>
      <c r="F61" s="16" t="str">
        <f t="shared" si="1"/>
        <v>CC</v>
      </c>
      <c r="G61" s="21" t="str">
        <f t="shared" si="2"/>
        <v>B</v>
      </c>
    </row>
    <row r="62" spans="1:7" x14ac:dyDescent="0.25">
      <c r="B62" s="7" t="s">
        <v>146</v>
      </c>
      <c r="C62" s="8" t="s">
        <v>145</v>
      </c>
      <c r="D62" s="4" t="s">
        <v>69</v>
      </c>
      <c r="E62" s="20" t="str">
        <f t="shared" si="0"/>
        <v>BD</v>
      </c>
      <c r="F62" s="16" t="str">
        <f t="shared" si="1"/>
        <v>CC</v>
      </c>
      <c r="G62" s="21" t="str">
        <f t="shared" si="2"/>
        <v>P</v>
      </c>
    </row>
    <row r="63" spans="1:7" x14ac:dyDescent="0.25">
      <c r="B63" s="7" t="s">
        <v>147</v>
      </c>
      <c r="C63" s="8" t="s">
        <v>148</v>
      </c>
      <c r="D63" s="4" t="s">
        <v>24</v>
      </c>
      <c r="E63" s="20" t="str">
        <f t="shared" si="0"/>
        <v>BD</v>
      </c>
      <c r="F63" s="16" t="str">
        <f t="shared" si="1"/>
        <v>CU</v>
      </c>
      <c r="G63" s="21" t="str">
        <f t="shared" si="2"/>
        <v>B</v>
      </c>
    </row>
    <row r="64" spans="1:7" x14ac:dyDescent="0.25">
      <c r="B64" s="7" t="s">
        <v>149</v>
      </c>
      <c r="C64" s="8" t="s">
        <v>148</v>
      </c>
      <c r="D64" s="4" t="s">
        <v>69</v>
      </c>
      <c r="E64" s="20" t="str">
        <f t="shared" si="0"/>
        <v>BD</v>
      </c>
      <c r="F64" s="16" t="str">
        <f t="shared" si="1"/>
        <v>CU</v>
      </c>
      <c r="G64" s="21" t="str">
        <f t="shared" si="2"/>
        <v>P</v>
      </c>
    </row>
    <row r="65" spans="2:7" x14ac:dyDescent="0.25">
      <c r="B65" s="7" t="s">
        <v>150</v>
      </c>
      <c r="C65" s="8" t="s">
        <v>151</v>
      </c>
      <c r="D65" s="4" t="s">
        <v>24</v>
      </c>
      <c r="E65" s="20" t="str">
        <f t="shared" si="0"/>
        <v>BD</v>
      </c>
      <c r="F65" s="16" t="str">
        <f t="shared" si="1"/>
        <v>EI</v>
      </c>
      <c r="G65" s="21" t="str">
        <f t="shared" si="2"/>
        <v>B</v>
      </c>
    </row>
    <row r="66" spans="2:7" x14ac:dyDescent="0.25">
      <c r="B66" s="7" t="s">
        <v>152</v>
      </c>
      <c r="C66" s="8" t="s">
        <v>153</v>
      </c>
      <c r="D66" s="4" t="s">
        <v>154</v>
      </c>
      <c r="E66" s="20" t="str">
        <f t="shared" si="0"/>
        <v>BD</v>
      </c>
      <c r="F66" s="16" t="str">
        <f t="shared" si="1"/>
        <v>EI</v>
      </c>
      <c r="G66" s="21" t="str">
        <f t="shared" si="2"/>
        <v>K</v>
      </c>
    </row>
    <row r="67" spans="2:7" x14ac:dyDescent="0.25">
      <c r="B67" s="7" t="s">
        <v>155</v>
      </c>
      <c r="C67" s="8" t="s">
        <v>151</v>
      </c>
      <c r="D67" s="4" t="s">
        <v>69</v>
      </c>
      <c r="E67" s="20" t="str">
        <f t="shared" si="0"/>
        <v>BD</v>
      </c>
      <c r="F67" s="16" t="str">
        <f t="shared" si="1"/>
        <v>EI</v>
      </c>
      <c r="G67" s="21" t="str">
        <f t="shared" si="2"/>
        <v>P</v>
      </c>
    </row>
    <row r="68" spans="2:7" x14ac:dyDescent="0.25">
      <c r="B68" s="7" t="s">
        <v>156</v>
      </c>
      <c r="C68" s="8" t="s">
        <v>157</v>
      </c>
      <c r="D68" s="4" t="s">
        <v>24</v>
      </c>
      <c r="E68" s="20" t="str">
        <f t="shared" si="0"/>
        <v>BD</v>
      </c>
      <c r="F68" s="16" t="str">
        <f t="shared" si="1"/>
        <v>EU</v>
      </c>
      <c r="G68" s="21" t="str">
        <f t="shared" si="2"/>
        <v>B</v>
      </c>
    </row>
    <row r="69" spans="2:7" x14ac:dyDescent="0.25">
      <c r="B69" s="7" t="s">
        <v>158</v>
      </c>
      <c r="C69" s="8" t="s">
        <v>157</v>
      </c>
      <c r="D69" s="4" t="s">
        <v>69</v>
      </c>
      <c r="E69" s="20" t="str">
        <f t="shared" si="0"/>
        <v>BD</v>
      </c>
      <c r="F69" s="16" t="str">
        <f t="shared" si="1"/>
        <v>EU</v>
      </c>
      <c r="G69" s="21" t="str">
        <f t="shared" si="2"/>
        <v>P</v>
      </c>
    </row>
    <row r="70" spans="2:7" x14ac:dyDescent="0.25">
      <c r="B70" s="7" t="s">
        <v>159</v>
      </c>
      <c r="C70" s="8" t="s">
        <v>160</v>
      </c>
      <c r="D70" s="4" t="s">
        <v>24</v>
      </c>
      <c r="E70" s="20" t="str">
        <f t="shared" si="0"/>
        <v>BD</v>
      </c>
      <c r="F70" s="16" t="str">
        <f t="shared" si="1"/>
        <v>FD</v>
      </c>
      <c r="G70" s="21" t="str">
        <f t="shared" si="2"/>
        <v>B</v>
      </c>
    </row>
    <row r="71" spans="2:7" x14ac:dyDescent="0.25">
      <c r="B71" s="7" t="s">
        <v>161</v>
      </c>
      <c r="C71" s="8" t="s">
        <v>162</v>
      </c>
      <c r="D71" s="4" t="s">
        <v>24</v>
      </c>
      <c r="E71" s="20" t="str">
        <f t="shared" si="0"/>
        <v>BD</v>
      </c>
      <c r="F71" s="16" t="str">
        <f t="shared" si="1"/>
        <v>LC</v>
      </c>
      <c r="G71" s="21" t="str">
        <f t="shared" si="2"/>
        <v>B</v>
      </c>
    </row>
    <row r="72" spans="2:7" x14ac:dyDescent="0.25">
      <c r="B72" s="7" t="s">
        <v>163</v>
      </c>
      <c r="C72" s="8" t="s">
        <v>164</v>
      </c>
      <c r="D72" s="4" t="s">
        <v>69</v>
      </c>
      <c r="E72" s="20" t="str">
        <f t="shared" si="0"/>
        <v>BD</v>
      </c>
      <c r="F72" s="16" t="str">
        <f t="shared" si="1"/>
        <v>PR</v>
      </c>
      <c r="G72" s="21" t="str">
        <f t="shared" si="2"/>
        <v>P</v>
      </c>
    </row>
    <row r="73" spans="2:7" x14ac:dyDescent="0.25">
      <c r="B73" s="7" t="s">
        <v>165</v>
      </c>
      <c r="C73" s="8" t="s">
        <v>166</v>
      </c>
      <c r="D73" s="4" t="s">
        <v>24</v>
      </c>
      <c r="E73" s="20" t="str">
        <f t="shared" si="0"/>
        <v>BD</v>
      </c>
      <c r="F73" s="16" t="str">
        <f t="shared" si="1"/>
        <v>RB</v>
      </c>
      <c r="G73" s="21" t="str">
        <f t="shared" si="2"/>
        <v>B</v>
      </c>
    </row>
    <row r="74" spans="2:7" x14ac:dyDescent="0.25">
      <c r="B74" s="7" t="s">
        <v>167</v>
      </c>
      <c r="C74" s="8" t="s">
        <v>166</v>
      </c>
      <c r="D74" s="4" t="s">
        <v>69</v>
      </c>
      <c r="E74" s="20" t="str">
        <f t="shared" si="0"/>
        <v>BD</v>
      </c>
      <c r="F74" s="16" t="str">
        <f t="shared" si="1"/>
        <v>RB</v>
      </c>
      <c r="G74" s="21" t="str">
        <f t="shared" si="2"/>
        <v>P</v>
      </c>
    </row>
    <row r="75" spans="2:7" x14ac:dyDescent="0.25">
      <c r="B75" s="7" t="s">
        <v>22</v>
      </c>
      <c r="C75" s="8" t="s">
        <v>23</v>
      </c>
      <c r="D75" s="4" t="s">
        <v>24</v>
      </c>
      <c r="E75" s="20" t="str">
        <f t="shared" si="0"/>
        <v>BD</v>
      </c>
      <c r="F75" s="16" t="str">
        <f t="shared" si="1"/>
        <v>RC</v>
      </c>
      <c r="G75" s="21" t="str">
        <f t="shared" si="2"/>
        <v>B</v>
      </c>
    </row>
    <row r="76" spans="2:7" x14ac:dyDescent="0.25">
      <c r="B76" s="7" t="s">
        <v>168</v>
      </c>
      <c r="C76" s="8" t="s">
        <v>23</v>
      </c>
      <c r="D76" s="4" t="s">
        <v>69</v>
      </c>
      <c r="E76" s="20" t="str">
        <f t="shared" si="0"/>
        <v>BD</v>
      </c>
      <c r="F76" s="16" t="str">
        <f t="shared" si="1"/>
        <v>RC</v>
      </c>
      <c r="G76" s="21" t="str">
        <f t="shared" si="2"/>
        <v>P</v>
      </c>
    </row>
    <row r="77" spans="2:7" x14ac:dyDescent="0.25">
      <c r="B77" s="7" t="s">
        <v>169</v>
      </c>
      <c r="C77" s="8" t="s">
        <v>170</v>
      </c>
      <c r="D77" s="4" t="s">
        <v>24</v>
      </c>
      <c r="E77" s="20" t="str">
        <f t="shared" si="0"/>
        <v>BD</v>
      </c>
      <c r="F77" s="16" t="str">
        <f t="shared" si="1"/>
        <v>RI</v>
      </c>
      <c r="G77" s="21" t="str">
        <f t="shared" si="2"/>
        <v>B</v>
      </c>
    </row>
    <row r="78" spans="2:7" x14ac:dyDescent="0.25">
      <c r="B78" s="7" t="s">
        <v>171</v>
      </c>
      <c r="C78" s="8" t="s">
        <v>170</v>
      </c>
      <c r="D78" s="4" t="s">
        <v>69</v>
      </c>
      <c r="E78" s="20" t="str">
        <f t="shared" si="0"/>
        <v>BD</v>
      </c>
      <c r="F78" s="16" t="str">
        <f t="shared" si="1"/>
        <v>RI</v>
      </c>
      <c r="G78" s="21" t="str">
        <f t="shared" si="2"/>
        <v>P</v>
      </c>
    </row>
    <row r="79" spans="2:7" x14ac:dyDescent="0.25">
      <c r="B79" s="7" t="s">
        <v>172</v>
      </c>
      <c r="C79" s="8" t="s">
        <v>173</v>
      </c>
      <c r="D79" s="4" t="s">
        <v>24</v>
      </c>
      <c r="E79" s="20" t="str">
        <f t="shared" si="0"/>
        <v>BD</v>
      </c>
      <c r="F79" s="16" t="str">
        <f t="shared" si="1"/>
        <v>RU</v>
      </c>
      <c r="G79" s="21" t="str">
        <f t="shared" si="2"/>
        <v>B</v>
      </c>
    </row>
    <row r="80" spans="2:7" x14ac:dyDescent="0.25">
      <c r="B80" s="7" t="s">
        <v>174</v>
      </c>
      <c r="C80" s="8" t="s">
        <v>173</v>
      </c>
      <c r="D80" s="4" t="s">
        <v>69</v>
      </c>
      <c r="E80" s="20" t="str">
        <f t="shared" ref="E80:E143" si="3">LEFT(B80,2)</f>
        <v>BD</v>
      </c>
      <c r="F80" s="16" t="str">
        <f t="shared" ref="F80:F143" si="4">MID(B80,3,2)</f>
        <v>RU</v>
      </c>
      <c r="G80" s="21" t="str">
        <f t="shared" ref="G80:G143" si="5">RIGHT(B80,1)</f>
        <v>P</v>
      </c>
    </row>
    <row r="81" spans="2:7" x14ac:dyDescent="0.25">
      <c r="B81" s="7" t="s">
        <v>175</v>
      </c>
      <c r="C81" s="8" t="s">
        <v>176</v>
      </c>
      <c r="D81" s="4" t="s">
        <v>24</v>
      </c>
      <c r="E81" s="20" t="str">
        <f t="shared" si="3"/>
        <v>BD</v>
      </c>
      <c r="F81" s="16" t="str">
        <f t="shared" si="4"/>
        <v>SA</v>
      </c>
      <c r="G81" s="21" t="str">
        <f t="shared" si="5"/>
        <v>B</v>
      </c>
    </row>
    <row r="82" spans="2:7" x14ac:dyDescent="0.25">
      <c r="B82" s="7" t="s">
        <v>177</v>
      </c>
      <c r="C82" s="8" t="s">
        <v>176</v>
      </c>
      <c r="D82" s="4" t="s">
        <v>69</v>
      </c>
      <c r="E82" s="20" t="str">
        <f t="shared" si="3"/>
        <v>BD</v>
      </c>
      <c r="F82" s="16" t="str">
        <f t="shared" si="4"/>
        <v>SA</v>
      </c>
      <c r="G82" s="21" t="str">
        <f t="shared" si="5"/>
        <v>P</v>
      </c>
    </row>
    <row r="83" spans="2:7" x14ac:dyDescent="0.25">
      <c r="B83" s="7" t="s">
        <v>178</v>
      </c>
      <c r="C83" s="8" t="s">
        <v>179</v>
      </c>
      <c r="D83" s="4" t="s">
        <v>24</v>
      </c>
      <c r="E83" s="20" t="str">
        <f t="shared" si="3"/>
        <v>BD</v>
      </c>
      <c r="F83" s="16" t="str">
        <f t="shared" si="4"/>
        <v>SU</v>
      </c>
      <c r="G83" s="21" t="str">
        <f t="shared" si="5"/>
        <v>B</v>
      </c>
    </row>
    <row r="84" spans="2:7" x14ac:dyDescent="0.25">
      <c r="B84" s="7" t="s">
        <v>180</v>
      </c>
      <c r="C84" s="8" t="s">
        <v>179</v>
      </c>
      <c r="D84" s="4" t="s">
        <v>69</v>
      </c>
      <c r="E84" s="20" t="str">
        <f t="shared" si="3"/>
        <v>BD</v>
      </c>
      <c r="F84" s="16" t="str">
        <f t="shared" si="4"/>
        <v>SU</v>
      </c>
      <c r="G84" s="21" t="str">
        <f t="shared" si="5"/>
        <v>P</v>
      </c>
    </row>
    <row r="85" spans="2:7" x14ac:dyDescent="0.25">
      <c r="B85" s="7" t="s">
        <v>181</v>
      </c>
      <c r="C85" s="8" t="s">
        <v>182</v>
      </c>
      <c r="D85" s="4" t="s">
        <v>24</v>
      </c>
      <c r="E85" s="20" t="str">
        <f t="shared" si="3"/>
        <v>BD</v>
      </c>
      <c r="F85" s="16" t="str">
        <f t="shared" si="4"/>
        <v>TC</v>
      </c>
      <c r="G85" s="21" t="str">
        <f t="shared" si="5"/>
        <v>B</v>
      </c>
    </row>
    <row r="86" spans="2:7" x14ac:dyDescent="0.25">
      <c r="B86" s="7" t="s">
        <v>183</v>
      </c>
      <c r="C86" s="8" t="s">
        <v>184</v>
      </c>
      <c r="D86" s="4" t="s">
        <v>154</v>
      </c>
      <c r="E86" s="20" t="str">
        <f t="shared" si="3"/>
        <v>BD</v>
      </c>
      <c r="F86" s="16" t="str">
        <f t="shared" si="4"/>
        <v>TC</v>
      </c>
      <c r="G86" s="21" t="str">
        <f t="shared" si="5"/>
        <v>K</v>
      </c>
    </row>
    <row r="87" spans="2:7" x14ac:dyDescent="0.25">
      <c r="B87" s="7" t="s">
        <v>185</v>
      </c>
      <c r="C87" s="8" t="s">
        <v>182</v>
      </c>
      <c r="D87" s="4" t="s">
        <v>69</v>
      </c>
      <c r="E87" s="20" t="str">
        <f t="shared" si="3"/>
        <v>BD</v>
      </c>
      <c r="F87" s="16" t="str">
        <f t="shared" si="4"/>
        <v>TC</v>
      </c>
      <c r="G87" s="21" t="str">
        <f t="shared" si="5"/>
        <v>P</v>
      </c>
    </row>
    <row r="88" spans="2:7" x14ac:dyDescent="0.25">
      <c r="B88" s="7" t="s">
        <v>186</v>
      </c>
      <c r="C88" s="8" t="s">
        <v>187</v>
      </c>
      <c r="D88" s="4" t="s">
        <v>24</v>
      </c>
      <c r="E88" s="20" t="str">
        <f t="shared" si="3"/>
        <v>BD</v>
      </c>
      <c r="F88" s="16" t="str">
        <f t="shared" si="4"/>
        <v>TX</v>
      </c>
      <c r="G88" s="21" t="str">
        <f t="shared" si="5"/>
        <v>B</v>
      </c>
    </row>
    <row r="89" spans="2:7" x14ac:dyDescent="0.25">
      <c r="B89" s="7" t="s">
        <v>188</v>
      </c>
      <c r="C89" s="8" t="s">
        <v>189</v>
      </c>
      <c r="D89" s="4" t="s">
        <v>154</v>
      </c>
      <c r="E89" s="20" t="str">
        <f t="shared" si="3"/>
        <v>BD</v>
      </c>
      <c r="F89" s="16" t="str">
        <f t="shared" si="4"/>
        <v>TX</v>
      </c>
      <c r="G89" s="21" t="str">
        <f t="shared" si="5"/>
        <v>K</v>
      </c>
    </row>
    <row r="90" spans="2:7" x14ac:dyDescent="0.25">
      <c r="B90" s="7" t="s">
        <v>190</v>
      </c>
      <c r="C90" s="8" t="s">
        <v>187</v>
      </c>
      <c r="D90" s="4" t="s">
        <v>69</v>
      </c>
      <c r="E90" s="20" t="str">
        <f t="shared" si="3"/>
        <v>BD</v>
      </c>
      <c r="F90" s="16" t="str">
        <f t="shared" si="4"/>
        <v>TX</v>
      </c>
      <c r="G90" s="21" t="str">
        <f t="shared" si="5"/>
        <v>P</v>
      </c>
    </row>
    <row r="91" spans="2:7" x14ac:dyDescent="0.25">
      <c r="B91" s="7" t="s">
        <v>191</v>
      </c>
      <c r="C91" s="8" t="s">
        <v>192</v>
      </c>
      <c r="D91" s="4" t="s">
        <v>24</v>
      </c>
      <c r="E91" s="20" t="str">
        <f t="shared" si="3"/>
        <v>BD</v>
      </c>
      <c r="F91" s="16" t="str">
        <f t="shared" si="4"/>
        <v>XU</v>
      </c>
      <c r="G91" s="21" t="str">
        <f t="shared" si="5"/>
        <v>B</v>
      </c>
    </row>
    <row r="92" spans="2:7" x14ac:dyDescent="0.25">
      <c r="B92" s="7" t="s">
        <v>193</v>
      </c>
      <c r="C92" s="8" t="s">
        <v>192</v>
      </c>
      <c r="D92" s="4" t="s">
        <v>69</v>
      </c>
      <c r="E92" s="20" t="str">
        <f t="shared" si="3"/>
        <v>BD</v>
      </c>
      <c r="F92" s="16" t="str">
        <f t="shared" si="4"/>
        <v>XU</v>
      </c>
      <c r="G92" s="21" t="str">
        <f t="shared" si="5"/>
        <v>P</v>
      </c>
    </row>
    <row r="93" spans="2:7" x14ac:dyDescent="0.25">
      <c r="B93" s="7" t="s">
        <v>194</v>
      </c>
      <c r="C93" s="8" t="s">
        <v>195</v>
      </c>
      <c r="D93" s="4" t="s">
        <v>24</v>
      </c>
      <c r="E93" s="20" t="str">
        <f t="shared" si="3"/>
        <v>BF</v>
      </c>
      <c r="F93" s="16" t="str">
        <f t="shared" si="4"/>
        <v>LC</v>
      </c>
      <c r="G93" s="21" t="str">
        <f t="shared" si="5"/>
        <v>B</v>
      </c>
    </row>
    <row r="94" spans="2:7" x14ac:dyDescent="0.25">
      <c r="B94" s="7" t="s">
        <v>196</v>
      </c>
      <c r="C94" s="8" t="s">
        <v>197</v>
      </c>
      <c r="D94" s="4" t="s">
        <v>24</v>
      </c>
      <c r="E94" s="20" t="str">
        <f t="shared" si="3"/>
        <v>BF</v>
      </c>
      <c r="F94" s="16" t="str">
        <f t="shared" si="4"/>
        <v>PR</v>
      </c>
      <c r="G94" s="21" t="str">
        <f t="shared" si="5"/>
        <v>B</v>
      </c>
    </row>
    <row r="95" spans="2:7" x14ac:dyDescent="0.25">
      <c r="B95" s="7" t="s">
        <v>198</v>
      </c>
      <c r="C95" s="8" t="s">
        <v>199</v>
      </c>
      <c r="D95" s="4" t="s">
        <v>69</v>
      </c>
      <c r="E95" s="20" t="str">
        <f t="shared" si="3"/>
        <v>BF</v>
      </c>
      <c r="F95" s="16" t="str">
        <f t="shared" si="4"/>
        <v>PR</v>
      </c>
      <c r="G95" s="21" t="str">
        <f t="shared" si="5"/>
        <v>P</v>
      </c>
    </row>
    <row r="96" spans="2:7" x14ac:dyDescent="0.25">
      <c r="B96" s="7" t="s">
        <v>200</v>
      </c>
      <c r="C96" s="8" t="s">
        <v>201</v>
      </c>
      <c r="D96" s="4" t="s">
        <v>24</v>
      </c>
      <c r="E96" s="20" t="str">
        <f t="shared" si="3"/>
        <v>BF</v>
      </c>
      <c r="F96" s="16" t="str">
        <f t="shared" si="4"/>
        <v>TC</v>
      </c>
      <c r="G96" s="21" t="str">
        <f t="shared" si="5"/>
        <v>B</v>
      </c>
    </row>
    <row r="97" spans="2:7" x14ac:dyDescent="0.25">
      <c r="B97" s="7" t="s">
        <v>202</v>
      </c>
      <c r="C97" s="8" t="s">
        <v>203</v>
      </c>
      <c r="D97" s="4" t="s">
        <v>204</v>
      </c>
      <c r="E97" s="20" t="str">
        <f t="shared" si="3"/>
        <v>BM</v>
      </c>
      <c r="F97" s="16" t="str">
        <f t="shared" si="4"/>
        <v>CA</v>
      </c>
      <c r="G97" s="21" t="str">
        <f t="shared" si="5"/>
        <v>S</v>
      </c>
    </row>
    <row r="98" spans="2:7" x14ac:dyDescent="0.25">
      <c r="B98" s="7" t="s">
        <v>205</v>
      </c>
      <c r="C98" s="8" t="s">
        <v>206</v>
      </c>
      <c r="D98" s="4" t="s">
        <v>24</v>
      </c>
      <c r="E98" s="20" t="str">
        <f t="shared" si="3"/>
        <v>BM</v>
      </c>
      <c r="F98" s="16" t="str">
        <f t="shared" si="4"/>
        <v>TC</v>
      </c>
      <c r="G98" s="21" t="str">
        <f t="shared" si="5"/>
        <v>B</v>
      </c>
    </row>
    <row r="99" spans="2:7" x14ac:dyDescent="0.25">
      <c r="B99" s="7" t="s">
        <v>207</v>
      </c>
      <c r="C99" s="8" t="s">
        <v>208</v>
      </c>
      <c r="D99" s="4" t="s">
        <v>24</v>
      </c>
      <c r="E99" s="20" t="str">
        <f t="shared" si="3"/>
        <v>BO</v>
      </c>
      <c r="F99" s="16" t="str">
        <f t="shared" si="4"/>
        <v>AB</v>
      </c>
      <c r="G99" s="21" t="str">
        <f t="shared" si="5"/>
        <v>B</v>
      </c>
    </row>
    <row r="100" spans="2:7" x14ac:dyDescent="0.25">
      <c r="B100" s="7" t="s">
        <v>209</v>
      </c>
      <c r="C100" s="8" t="s">
        <v>208</v>
      </c>
      <c r="D100" s="4" t="s">
        <v>69</v>
      </c>
      <c r="E100" s="20" t="str">
        <f t="shared" si="3"/>
        <v>BO</v>
      </c>
      <c r="F100" s="16" t="str">
        <f t="shared" si="4"/>
        <v>AB</v>
      </c>
      <c r="G100" s="21" t="str">
        <f t="shared" si="5"/>
        <v>P</v>
      </c>
    </row>
    <row r="101" spans="2:7" x14ac:dyDescent="0.25">
      <c r="B101" s="7" t="s">
        <v>210</v>
      </c>
      <c r="C101" s="8" t="s">
        <v>211</v>
      </c>
      <c r="D101" s="4" t="s">
        <v>24</v>
      </c>
      <c r="E101" s="20" t="str">
        <f t="shared" si="3"/>
        <v>BO</v>
      </c>
      <c r="F101" s="16" t="str">
        <f t="shared" si="4"/>
        <v>AC</v>
      </c>
      <c r="G101" s="21" t="str">
        <f t="shared" si="5"/>
        <v>B</v>
      </c>
    </row>
    <row r="102" spans="2:7" x14ac:dyDescent="0.25">
      <c r="B102" s="7" t="s">
        <v>212</v>
      </c>
      <c r="C102" s="8" t="s">
        <v>211</v>
      </c>
      <c r="D102" s="4" t="s">
        <v>69</v>
      </c>
      <c r="E102" s="20" t="str">
        <f t="shared" si="3"/>
        <v>BO</v>
      </c>
      <c r="F102" s="16" t="str">
        <f t="shared" si="4"/>
        <v>AC</v>
      </c>
      <c r="G102" s="21" t="str">
        <f t="shared" si="5"/>
        <v>P</v>
      </c>
    </row>
    <row r="103" spans="2:7" x14ac:dyDescent="0.25">
      <c r="B103" s="7" t="s">
        <v>213</v>
      </c>
      <c r="C103" s="8" t="s">
        <v>214</v>
      </c>
      <c r="D103" s="4" t="s">
        <v>24</v>
      </c>
      <c r="E103" s="20" t="str">
        <f t="shared" si="3"/>
        <v>BO</v>
      </c>
      <c r="F103" s="16" t="str">
        <f t="shared" si="4"/>
        <v>AU</v>
      </c>
      <c r="G103" s="21" t="str">
        <f t="shared" si="5"/>
        <v>B</v>
      </c>
    </row>
    <row r="104" spans="2:7" x14ac:dyDescent="0.25">
      <c r="B104" s="7" t="s">
        <v>215</v>
      </c>
      <c r="C104" s="8" t="s">
        <v>214</v>
      </c>
      <c r="D104" s="4" t="s">
        <v>69</v>
      </c>
      <c r="E104" s="20" t="str">
        <f t="shared" si="3"/>
        <v>BO</v>
      </c>
      <c r="F104" s="16" t="str">
        <f t="shared" si="4"/>
        <v>AU</v>
      </c>
      <c r="G104" s="21" t="str">
        <f t="shared" si="5"/>
        <v>P</v>
      </c>
    </row>
    <row r="105" spans="2:7" x14ac:dyDescent="0.25">
      <c r="B105" s="7" t="s">
        <v>216</v>
      </c>
      <c r="C105" s="8" t="s">
        <v>217</v>
      </c>
      <c r="D105" s="4" t="s">
        <v>24</v>
      </c>
      <c r="E105" s="20" t="str">
        <f t="shared" si="3"/>
        <v>BO</v>
      </c>
      <c r="F105" s="16" t="str">
        <f t="shared" si="4"/>
        <v>PR</v>
      </c>
      <c r="G105" s="21" t="str">
        <f t="shared" si="5"/>
        <v>B</v>
      </c>
    </row>
    <row r="106" spans="2:7" x14ac:dyDescent="0.25">
      <c r="B106" s="7" t="s">
        <v>218</v>
      </c>
      <c r="C106" s="8" t="s">
        <v>217</v>
      </c>
      <c r="D106" s="4" t="s">
        <v>69</v>
      </c>
      <c r="E106" s="20" t="str">
        <f t="shared" si="3"/>
        <v>BO</v>
      </c>
      <c r="F106" s="16" t="str">
        <f t="shared" si="4"/>
        <v>PR</v>
      </c>
      <c r="G106" s="21" t="str">
        <f t="shared" si="5"/>
        <v>P</v>
      </c>
    </row>
    <row r="107" spans="2:7" x14ac:dyDescent="0.25">
      <c r="B107" s="7" t="s">
        <v>219</v>
      </c>
      <c r="C107" s="8" t="s">
        <v>220</v>
      </c>
      <c r="D107" s="4" t="s">
        <v>24</v>
      </c>
      <c r="E107" s="20" t="str">
        <f t="shared" si="3"/>
        <v>BO</v>
      </c>
      <c r="F107" s="16" t="str">
        <f t="shared" si="4"/>
        <v>RI</v>
      </c>
      <c r="G107" s="21" t="str">
        <f t="shared" si="5"/>
        <v>B</v>
      </c>
    </row>
    <row r="108" spans="2:7" x14ac:dyDescent="0.25">
      <c r="B108" s="7" t="s">
        <v>221</v>
      </c>
      <c r="C108" s="8" t="s">
        <v>220</v>
      </c>
      <c r="D108" s="4" t="s">
        <v>69</v>
      </c>
      <c r="E108" s="20" t="str">
        <f t="shared" si="3"/>
        <v>BO</v>
      </c>
      <c r="F108" s="16" t="str">
        <f t="shared" si="4"/>
        <v>RI</v>
      </c>
      <c r="G108" s="21" t="str">
        <f t="shared" si="5"/>
        <v>P</v>
      </c>
    </row>
    <row r="109" spans="2:7" x14ac:dyDescent="0.25">
      <c r="B109" s="7" t="s">
        <v>222</v>
      </c>
      <c r="C109" s="8" t="s">
        <v>223</v>
      </c>
      <c r="D109" s="4" t="s">
        <v>24</v>
      </c>
      <c r="E109" s="20" t="str">
        <f t="shared" si="3"/>
        <v>BO</v>
      </c>
      <c r="F109" s="16" t="str">
        <f t="shared" si="4"/>
        <v>TC</v>
      </c>
      <c r="G109" s="21" t="str">
        <f t="shared" si="5"/>
        <v>B</v>
      </c>
    </row>
    <row r="110" spans="2:7" x14ac:dyDescent="0.25">
      <c r="B110" s="7" t="s">
        <v>224</v>
      </c>
      <c r="C110" s="8" t="s">
        <v>223</v>
      </c>
      <c r="D110" s="4" t="s">
        <v>69</v>
      </c>
      <c r="E110" s="20" t="str">
        <f t="shared" si="3"/>
        <v>BO</v>
      </c>
      <c r="F110" s="16" t="str">
        <f t="shared" si="4"/>
        <v>TC</v>
      </c>
      <c r="G110" s="21" t="str">
        <f t="shared" si="5"/>
        <v>P</v>
      </c>
    </row>
    <row r="111" spans="2:7" x14ac:dyDescent="0.25">
      <c r="B111" s="7" t="s">
        <v>225</v>
      </c>
      <c r="C111" s="8" t="s">
        <v>226</v>
      </c>
      <c r="D111" s="4" t="s">
        <v>24</v>
      </c>
      <c r="E111" s="20" t="str">
        <f t="shared" si="3"/>
        <v>BQ</v>
      </c>
      <c r="F111" s="16" t="str">
        <f t="shared" si="4"/>
        <v>IC</v>
      </c>
      <c r="G111" s="21" t="str">
        <f t="shared" si="5"/>
        <v>B</v>
      </c>
    </row>
    <row r="112" spans="2:7" x14ac:dyDescent="0.25">
      <c r="B112" s="7" t="s">
        <v>227</v>
      </c>
      <c r="C112" s="8" t="s">
        <v>226</v>
      </c>
      <c r="D112" s="4" t="s">
        <v>69</v>
      </c>
      <c r="E112" s="20" t="str">
        <f t="shared" si="3"/>
        <v>BQ</v>
      </c>
      <c r="F112" s="16" t="str">
        <f t="shared" si="4"/>
        <v>IC</v>
      </c>
      <c r="G112" s="21" t="str">
        <f t="shared" si="5"/>
        <v>P</v>
      </c>
    </row>
    <row r="113" spans="2:7" x14ac:dyDescent="0.25">
      <c r="B113" s="7" t="s">
        <v>228</v>
      </c>
      <c r="C113" s="8" t="s">
        <v>229</v>
      </c>
      <c r="D113" s="4" t="s">
        <v>24</v>
      </c>
      <c r="E113" s="20" t="str">
        <f t="shared" si="3"/>
        <v>BQ</v>
      </c>
      <c r="F113" s="16" t="str">
        <f t="shared" si="4"/>
        <v>TC</v>
      </c>
      <c r="G113" s="21" t="str">
        <f t="shared" si="5"/>
        <v>B</v>
      </c>
    </row>
    <row r="114" spans="2:7" x14ac:dyDescent="0.25">
      <c r="B114" s="7" t="s">
        <v>230</v>
      </c>
      <c r="C114" s="8" t="s">
        <v>229</v>
      </c>
      <c r="D114" s="4" t="s">
        <v>69</v>
      </c>
      <c r="E114" s="20" t="str">
        <f t="shared" si="3"/>
        <v>BQ</v>
      </c>
      <c r="F114" s="16" t="str">
        <f t="shared" si="4"/>
        <v>TC</v>
      </c>
      <c r="G114" s="21" t="str">
        <f t="shared" si="5"/>
        <v>P</v>
      </c>
    </row>
    <row r="115" spans="2:7" x14ac:dyDescent="0.25">
      <c r="B115" s="7" t="s">
        <v>231</v>
      </c>
      <c r="C115" s="8" t="s">
        <v>232</v>
      </c>
      <c r="D115" s="4" t="s">
        <v>204</v>
      </c>
      <c r="E115" s="20" t="str">
        <f t="shared" si="3"/>
        <v>BT</v>
      </c>
      <c r="F115" s="16" t="str">
        <f t="shared" si="4"/>
        <v>CA</v>
      </c>
      <c r="G115" s="21" t="str">
        <f t="shared" si="5"/>
        <v>S</v>
      </c>
    </row>
    <row r="116" spans="2:7" x14ac:dyDescent="0.25">
      <c r="B116" s="7" t="s">
        <v>233</v>
      </c>
      <c r="C116" s="8" t="s">
        <v>234</v>
      </c>
      <c r="D116" s="4" t="s">
        <v>235</v>
      </c>
      <c r="E116" s="20" t="str">
        <f t="shared" si="3"/>
        <v>BT</v>
      </c>
      <c r="F116" s="16" t="str">
        <f t="shared" si="4"/>
        <v>GB</v>
      </c>
      <c r="G116" s="21" t="str">
        <f t="shared" si="5"/>
        <v>P</v>
      </c>
    </row>
    <row r="117" spans="2:7" x14ac:dyDescent="0.25">
      <c r="B117" s="7" t="s">
        <v>236</v>
      </c>
      <c r="C117" s="8" t="s">
        <v>237</v>
      </c>
      <c r="D117" s="4" t="s">
        <v>238</v>
      </c>
      <c r="E117" s="20" t="str">
        <f t="shared" si="3"/>
        <v>BT</v>
      </c>
      <c r="F117" s="16" t="str">
        <f t="shared" si="4"/>
        <v>VH</v>
      </c>
      <c r="G117" s="21" t="str">
        <f t="shared" si="5"/>
        <v>N</v>
      </c>
    </row>
    <row r="118" spans="2:7" x14ac:dyDescent="0.25">
      <c r="B118" s="7" t="s">
        <v>239</v>
      </c>
      <c r="C118" s="8" t="s">
        <v>240</v>
      </c>
      <c r="D118" s="4" t="s">
        <v>241</v>
      </c>
      <c r="E118" s="20" t="str">
        <f t="shared" si="3"/>
        <v>BT</v>
      </c>
      <c r="F118" s="16" t="str">
        <f t="shared" si="4"/>
        <v>VH</v>
      </c>
      <c r="G118" s="21" t="str">
        <f t="shared" si="5"/>
        <v>P</v>
      </c>
    </row>
    <row r="119" spans="2:7" x14ac:dyDescent="0.25">
      <c r="B119" s="7" t="s">
        <v>242</v>
      </c>
      <c r="C119" s="8" t="s">
        <v>243</v>
      </c>
      <c r="D119" s="4" t="s">
        <v>24</v>
      </c>
      <c r="E119" s="20" t="str">
        <f t="shared" si="3"/>
        <v>BX</v>
      </c>
      <c r="F119" s="16" t="str">
        <f t="shared" si="4"/>
        <v>SU</v>
      </c>
      <c r="G119" s="21" t="str">
        <f t="shared" si="5"/>
        <v>B</v>
      </c>
    </row>
    <row r="120" spans="2:7" x14ac:dyDescent="0.25">
      <c r="B120" s="7" t="s">
        <v>244</v>
      </c>
      <c r="C120" s="8" t="s">
        <v>243</v>
      </c>
      <c r="D120" s="4" t="s">
        <v>69</v>
      </c>
      <c r="E120" s="20" t="str">
        <f t="shared" si="3"/>
        <v>BX</v>
      </c>
      <c r="F120" s="16" t="str">
        <f t="shared" si="4"/>
        <v>SU</v>
      </c>
      <c r="G120" s="21" t="str">
        <f t="shared" si="5"/>
        <v>P</v>
      </c>
    </row>
    <row r="121" spans="2:7" x14ac:dyDescent="0.25">
      <c r="B121" s="7" t="s">
        <v>245</v>
      </c>
      <c r="C121" s="8" t="s">
        <v>246</v>
      </c>
      <c r="D121" s="4" t="s">
        <v>24</v>
      </c>
      <c r="E121" s="20" t="str">
        <f t="shared" si="3"/>
        <v>BY</v>
      </c>
      <c r="F121" s="16" t="str">
        <f t="shared" si="4"/>
        <v>IC</v>
      </c>
      <c r="G121" s="21" t="str">
        <f t="shared" si="5"/>
        <v>B</v>
      </c>
    </row>
    <row r="122" spans="2:7" x14ac:dyDescent="0.25">
      <c r="B122" s="7" t="s">
        <v>247</v>
      </c>
      <c r="C122" s="8" t="s">
        <v>246</v>
      </c>
      <c r="D122" s="4" t="s">
        <v>69</v>
      </c>
      <c r="E122" s="20" t="str">
        <f t="shared" si="3"/>
        <v>BY</v>
      </c>
      <c r="F122" s="16" t="str">
        <f t="shared" si="4"/>
        <v>IC</v>
      </c>
      <c r="G122" s="21" t="str">
        <f t="shared" si="5"/>
        <v>P</v>
      </c>
    </row>
    <row r="123" spans="2:7" x14ac:dyDescent="0.25">
      <c r="B123" s="7" t="s">
        <v>248</v>
      </c>
      <c r="C123" s="8" t="s">
        <v>249</v>
      </c>
      <c r="D123" s="4" t="s">
        <v>24</v>
      </c>
      <c r="E123" s="20" t="str">
        <f t="shared" si="3"/>
        <v>BY</v>
      </c>
      <c r="F123" s="16" t="str">
        <f t="shared" si="4"/>
        <v>TC</v>
      </c>
      <c r="G123" s="21" t="str">
        <f t="shared" si="5"/>
        <v>B</v>
      </c>
    </row>
    <row r="124" spans="2:7" x14ac:dyDescent="0.25">
      <c r="B124" s="7" t="s">
        <v>250</v>
      </c>
      <c r="C124" s="8" t="s">
        <v>249</v>
      </c>
      <c r="D124" s="4" t="s">
        <v>69</v>
      </c>
      <c r="E124" s="20" t="str">
        <f t="shared" si="3"/>
        <v>BY</v>
      </c>
      <c r="F124" s="16" t="str">
        <f t="shared" si="4"/>
        <v>TC</v>
      </c>
      <c r="G124" s="21" t="str">
        <f t="shared" si="5"/>
        <v>P</v>
      </c>
    </row>
    <row r="125" spans="2:7" x14ac:dyDescent="0.25">
      <c r="B125" s="7" t="s">
        <v>251</v>
      </c>
      <c r="C125" s="8" t="s">
        <v>252</v>
      </c>
      <c r="D125" s="4" t="s">
        <v>24</v>
      </c>
      <c r="E125" s="20" t="str">
        <f t="shared" si="3"/>
        <v>CC</v>
      </c>
      <c r="F125" s="16" t="str">
        <f t="shared" si="4"/>
        <v>EX</v>
      </c>
      <c r="G125" s="21" t="str">
        <f t="shared" si="5"/>
        <v>B</v>
      </c>
    </row>
    <row r="126" spans="2:7" x14ac:dyDescent="0.25">
      <c r="B126" s="7" t="s">
        <v>253</v>
      </c>
      <c r="C126" s="8" t="s">
        <v>254</v>
      </c>
      <c r="D126" s="4" t="s">
        <v>74</v>
      </c>
      <c r="E126" s="20" t="str">
        <f t="shared" si="3"/>
        <v>CC</v>
      </c>
      <c r="F126" s="16" t="str">
        <f t="shared" si="4"/>
        <v>EX</v>
      </c>
      <c r="G126" s="21" t="str">
        <f t="shared" si="5"/>
        <v>D</v>
      </c>
    </row>
    <row r="127" spans="2:7" x14ac:dyDescent="0.25">
      <c r="B127" s="7" t="s">
        <v>255</v>
      </c>
      <c r="C127" s="8" t="s">
        <v>252</v>
      </c>
      <c r="D127" s="4" t="s">
        <v>256</v>
      </c>
      <c r="E127" s="20" t="str">
        <f t="shared" si="3"/>
        <v>CC</v>
      </c>
      <c r="F127" s="16" t="str">
        <f t="shared" si="4"/>
        <v>EX</v>
      </c>
      <c r="G127" s="21" t="str">
        <f t="shared" si="5"/>
        <v>P</v>
      </c>
    </row>
    <row r="128" spans="2:7" x14ac:dyDescent="0.25">
      <c r="B128" s="7" t="s">
        <v>257</v>
      </c>
      <c r="C128" s="8" t="s">
        <v>258</v>
      </c>
      <c r="D128" s="4" t="s">
        <v>78</v>
      </c>
      <c r="E128" s="20" t="str">
        <f t="shared" si="3"/>
        <v>CC</v>
      </c>
      <c r="F128" s="16" t="str">
        <f t="shared" si="4"/>
        <v>EX</v>
      </c>
      <c r="G128" s="21" t="str">
        <f t="shared" si="5"/>
        <v>V</v>
      </c>
    </row>
    <row r="129" spans="2:7" x14ac:dyDescent="0.25">
      <c r="B129" s="7" t="s">
        <v>259</v>
      </c>
      <c r="C129" s="8" t="s">
        <v>260</v>
      </c>
      <c r="D129" s="4" t="s">
        <v>24</v>
      </c>
      <c r="E129" s="20" t="str">
        <f t="shared" si="3"/>
        <v>CC</v>
      </c>
      <c r="F129" s="16" t="str">
        <f t="shared" si="4"/>
        <v>IM</v>
      </c>
      <c r="G129" s="21" t="str">
        <f t="shared" si="5"/>
        <v>B</v>
      </c>
    </row>
    <row r="130" spans="2:7" x14ac:dyDescent="0.25">
      <c r="B130" s="7" t="s">
        <v>261</v>
      </c>
      <c r="C130" s="8" t="s">
        <v>262</v>
      </c>
      <c r="D130" s="4" t="s">
        <v>74</v>
      </c>
      <c r="E130" s="20" t="str">
        <f t="shared" si="3"/>
        <v>CC</v>
      </c>
      <c r="F130" s="16" t="str">
        <f t="shared" si="4"/>
        <v>IM</v>
      </c>
      <c r="G130" s="21" t="str">
        <f t="shared" si="5"/>
        <v>D</v>
      </c>
    </row>
    <row r="131" spans="2:7" x14ac:dyDescent="0.25">
      <c r="B131" s="7" t="s">
        <v>263</v>
      </c>
      <c r="C131" s="8" t="s">
        <v>260</v>
      </c>
      <c r="D131" s="4" t="s">
        <v>256</v>
      </c>
      <c r="E131" s="20" t="str">
        <f t="shared" si="3"/>
        <v>CC</v>
      </c>
      <c r="F131" s="16" t="str">
        <f t="shared" si="4"/>
        <v>IM</v>
      </c>
      <c r="G131" s="21" t="str">
        <f t="shared" si="5"/>
        <v>P</v>
      </c>
    </row>
    <row r="132" spans="2:7" x14ac:dyDescent="0.25">
      <c r="B132" s="7" t="s">
        <v>264</v>
      </c>
      <c r="C132" s="8" t="s">
        <v>265</v>
      </c>
      <c r="D132" s="4" t="s">
        <v>78</v>
      </c>
      <c r="E132" s="20" t="str">
        <f t="shared" si="3"/>
        <v>CC</v>
      </c>
      <c r="F132" s="16" t="str">
        <f t="shared" si="4"/>
        <v>IM</v>
      </c>
      <c r="G132" s="21" t="str">
        <f t="shared" si="5"/>
        <v>V</v>
      </c>
    </row>
    <row r="133" spans="2:7" x14ac:dyDescent="0.25">
      <c r="B133" s="7" t="s">
        <v>266</v>
      </c>
      <c r="C133" s="8" t="s">
        <v>267</v>
      </c>
      <c r="D133" s="4" t="s">
        <v>24</v>
      </c>
      <c r="E133" s="20" t="str">
        <f t="shared" si="3"/>
        <v>CC</v>
      </c>
      <c r="F133" s="16" t="str">
        <f t="shared" si="4"/>
        <v>NI</v>
      </c>
      <c r="G133" s="21" t="str">
        <f t="shared" si="5"/>
        <v>B</v>
      </c>
    </row>
    <row r="134" spans="2:7" x14ac:dyDescent="0.25">
      <c r="B134" s="7" t="s">
        <v>268</v>
      </c>
      <c r="C134" s="8" t="s">
        <v>267</v>
      </c>
      <c r="D134" s="4" t="s">
        <v>256</v>
      </c>
      <c r="E134" s="20" t="str">
        <f t="shared" si="3"/>
        <v>CC</v>
      </c>
      <c r="F134" s="16" t="str">
        <f t="shared" si="4"/>
        <v>NI</v>
      </c>
      <c r="G134" s="21" t="str">
        <f t="shared" si="5"/>
        <v>P</v>
      </c>
    </row>
    <row r="135" spans="2:7" x14ac:dyDescent="0.25">
      <c r="B135" s="7" t="s">
        <v>269</v>
      </c>
      <c r="C135" s="8" t="s">
        <v>270</v>
      </c>
      <c r="D135" s="4" t="s">
        <v>78</v>
      </c>
      <c r="E135" s="20" t="str">
        <f t="shared" si="3"/>
        <v>CC</v>
      </c>
      <c r="F135" s="16" t="str">
        <f t="shared" si="4"/>
        <v>NI</v>
      </c>
      <c r="G135" s="21" t="str">
        <f t="shared" si="5"/>
        <v>V</v>
      </c>
    </row>
    <row r="136" spans="2:7" x14ac:dyDescent="0.25">
      <c r="B136" s="7" t="s">
        <v>271</v>
      </c>
      <c r="C136" s="8" t="s">
        <v>272</v>
      </c>
      <c r="D136" s="4" t="s">
        <v>24</v>
      </c>
      <c r="E136" s="20" t="str">
        <f t="shared" si="3"/>
        <v>CL</v>
      </c>
      <c r="F136" s="16" t="str">
        <f t="shared" si="4"/>
        <v>AC</v>
      </c>
      <c r="G136" s="21" t="str">
        <f t="shared" si="5"/>
        <v>B</v>
      </c>
    </row>
    <row r="137" spans="2:7" x14ac:dyDescent="0.25">
      <c r="B137" s="7" t="s">
        <v>273</v>
      </c>
      <c r="C137" s="8" t="s">
        <v>274</v>
      </c>
      <c r="D137" s="4" t="s">
        <v>74</v>
      </c>
      <c r="E137" s="20" t="str">
        <f t="shared" si="3"/>
        <v>CL</v>
      </c>
      <c r="F137" s="16" t="str">
        <f t="shared" si="4"/>
        <v>AC</v>
      </c>
      <c r="G137" s="21" t="str">
        <f t="shared" si="5"/>
        <v>D</v>
      </c>
    </row>
    <row r="138" spans="2:7" x14ac:dyDescent="0.25">
      <c r="B138" s="7" t="s">
        <v>275</v>
      </c>
      <c r="C138" s="8" t="s">
        <v>276</v>
      </c>
      <c r="D138" s="4" t="s">
        <v>277</v>
      </c>
      <c r="E138" s="20" t="str">
        <f t="shared" si="3"/>
        <v>CL</v>
      </c>
      <c r="F138" s="16" t="str">
        <f t="shared" si="4"/>
        <v>AC</v>
      </c>
      <c r="G138" s="21" t="str">
        <f t="shared" si="5"/>
        <v>K</v>
      </c>
    </row>
    <row r="139" spans="2:7" x14ac:dyDescent="0.25">
      <c r="B139" s="7" t="s">
        <v>278</v>
      </c>
      <c r="C139" s="8" t="s">
        <v>272</v>
      </c>
      <c r="D139" s="4" t="s">
        <v>256</v>
      </c>
      <c r="E139" s="20" t="str">
        <f t="shared" si="3"/>
        <v>CL</v>
      </c>
      <c r="F139" s="16" t="str">
        <f t="shared" si="4"/>
        <v>AC</v>
      </c>
      <c r="G139" s="21" t="str">
        <f t="shared" si="5"/>
        <v>P</v>
      </c>
    </row>
    <row r="140" spans="2:7" x14ac:dyDescent="0.25">
      <c r="B140" s="7" t="s">
        <v>279</v>
      </c>
      <c r="C140" s="8" t="s">
        <v>280</v>
      </c>
      <c r="D140" s="4" t="s">
        <v>78</v>
      </c>
      <c r="E140" s="20" t="str">
        <f t="shared" si="3"/>
        <v>CL</v>
      </c>
      <c r="F140" s="16" t="str">
        <f t="shared" si="4"/>
        <v>AC</v>
      </c>
      <c r="G140" s="21" t="str">
        <f t="shared" si="5"/>
        <v>V</v>
      </c>
    </row>
    <row r="141" spans="2:7" x14ac:dyDescent="0.25">
      <c r="B141" s="7" t="s">
        <v>281</v>
      </c>
      <c r="C141" s="8" t="s">
        <v>282</v>
      </c>
      <c r="D141" s="4" t="s">
        <v>204</v>
      </c>
      <c r="E141" s="20" t="str">
        <f t="shared" si="3"/>
        <v>CL</v>
      </c>
      <c r="F141" s="16" t="str">
        <f t="shared" si="4"/>
        <v>CA</v>
      </c>
      <c r="G141" s="21" t="str">
        <f t="shared" si="5"/>
        <v>S</v>
      </c>
    </row>
    <row r="142" spans="2:7" x14ac:dyDescent="0.25">
      <c r="B142" s="7" t="s">
        <v>283</v>
      </c>
      <c r="C142" s="8" t="s">
        <v>284</v>
      </c>
      <c r="D142" s="4" t="s">
        <v>24</v>
      </c>
      <c r="E142" s="20" t="str">
        <f t="shared" si="3"/>
        <v>CL</v>
      </c>
      <c r="F142" s="16" t="str">
        <f t="shared" si="4"/>
        <v>CC</v>
      </c>
      <c r="G142" s="21" t="str">
        <f t="shared" si="5"/>
        <v>B</v>
      </c>
    </row>
    <row r="143" spans="2:7" x14ac:dyDescent="0.25">
      <c r="B143" s="7" t="s">
        <v>285</v>
      </c>
      <c r="C143" s="8" t="s">
        <v>286</v>
      </c>
      <c r="D143" s="4" t="s">
        <v>74</v>
      </c>
      <c r="E143" s="20" t="str">
        <f t="shared" si="3"/>
        <v>CL</v>
      </c>
      <c r="F143" s="16" t="str">
        <f t="shared" si="4"/>
        <v>CC</v>
      </c>
      <c r="G143" s="21" t="str">
        <f t="shared" si="5"/>
        <v>D</v>
      </c>
    </row>
    <row r="144" spans="2:7" x14ac:dyDescent="0.25">
      <c r="B144" s="7" t="s">
        <v>287</v>
      </c>
      <c r="C144" s="8" t="s">
        <v>284</v>
      </c>
      <c r="D144" s="4" t="s">
        <v>256</v>
      </c>
      <c r="E144" s="20" t="str">
        <f t="shared" ref="E144:E207" si="6">LEFT(B144,2)</f>
        <v>CL</v>
      </c>
      <c r="F144" s="16" t="str">
        <f t="shared" ref="F144:F207" si="7">MID(B144,3,2)</f>
        <v>CC</v>
      </c>
      <c r="G144" s="21" t="str">
        <f t="shared" ref="G144:G207" si="8">RIGHT(B144,1)</f>
        <v>P</v>
      </c>
    </row>
    <row r="145" spans="2:7" x14ac:dyDescent="0.25">
      <c r="B145" s="7" t="s">
        <v>288</v>
      </c>
      <c r="C145" s="8" t="s">
        <v>289</v>
      </c>
      <c r="D145" s="4" t="s">
        <v>78</v>
      </c>
      <c r="E145" s="20" t="str">
        <f t="shared" si="6"/>
        <v>CL</v>
      </c>
      <c r="F145" s="16" t="str">
        <f t="shared" si="7"/>
        <v>CC</v>
      </c>
      <c r="G145" s="21" t="str">
        <f t="shared" si="8"/>
        <v>V</v>
      </c>
    </row>
    <row r="146" spans="2:7" x14ac:dyDescent="0.25">
      <c r="B146" s="7" t="s">
        <v>290</v>
      </c>
      <c r="C146" s="8" t="s">
        <v>291</v>
      </c>
      <c r="D146" s="4" t="s">
        <v>24</v>
      </c>
      <c r="E146" s="20" t="str">
        <f t="shared" si="6"/>
        <v>CL</v>
      </c>
      <c r="F146" s="16" t="str">
        <f t="shared" si="7"/>
        <v>EI</v>
      </c>
      <c r="G146" s="21" t="str">
        <f t="shared" si="8"/>
        <v>B</v>
      </c>
    </row>
    <row r="147" spans="2:7" x14ac:dyDescent="0.25">
      <c r="B147" s="7" t="s">
        <v>292</v>
      </c>
      <c r="C147" s="8" t="s">
        <v>293</v>
      </c>
      <c r="D147" s="4" t="s">
        <v>74</v>
      </c>
      <c r="E147" s="20" t="str">
        <f t="shared" si="6"/>
        <v>CL</v>
      </c>
      <c r="F147" s="16" t="str">
        <f t="shared" si="7"/>
        <v>EI</v>
      </c>
      <c r="G147" s="21" t="str">
        <f t="shared" si="8"/>
        <v>D</v>
      </c>
    </row>
    <row r="148" spans="2:7" x14ac:dyDescent="0.25">
      <c r="B148" s="7" t="s">
        <v>294</v>
      </c>
      <c r="C148" s="8" t="s">
        <v>295</v>
      </c>
      <c r="D148" s="4" t="s">
        <v>277</v>
      </c>
      <c r="E148" s="20" t="str">
        <f t="shared" si="6"/>
        <v>CL</v>
      </c>
      <c r="F148" s="16" t="str">
        <f t="shared" si="7"/>
        <v>EI</v>
      </c>
      <c r="G148" s="21" t="str">
        <f t="shared" si="8"/>
        <v>K</v>
      </c>
    </row>
    <row r="149" spans="2:7" x14ac:dyDescent="0.25">
      <c r="B149" s="7" t="s">
        <v>296</v>
      </c>
      <c r="C149" s="8" t="s">
        <v>291</v>
      </c>
      <c r="D149" s="4" t="s">
        <v>256</v>
      </c>
      <c r="E149" s="20" t="str">
        <f t="shared" si="6"/>
        <v>CL</v>
      </c>
      <c r="F149" s="16" t="str">
        <f t="shared" si="7"/>
        <v>EI</v>
      </c>
      <c r="G149" s="21" t="str">
        <f t="shared" si="8"/>
        <v>P</v>
      </c>
    </row>
    <row r="150" spans="2:7" x14ac:dyDescent="0.25">
      <c r="B150" s="7" t="s">
        <v>297</v>
      </c>
      <c r="C150" s="8" t="s">
        <v>298</v>
      </c>
      <c r="D150" s="4" t="s">
        <v>78</v>
      </c>
      <c r="E150" s="20" t="str">
        <f t="shared" si="6"/>
        <v>CL</v>
      </c>
      <c r="F150" s="16" t="str">
        <f t="shared" si="7"/>
        <v>EI</v>
      </c>
      <c r="G150" s="21" t="str">
        <f t="shared" si="8"/>
        <v>V</v>
      </c>
    </row>
    <row r="151" spans="2:7" x14ac:dyDescent="0.25">
      <c r="B151" s="7" t="s">
        <v>299</v>
      </c>
      <c r="C151" s="8" t="s">
        <v>300</v>
      </c>
      <c r="D151" s="4" t="s">
        <v>235</v>
      </c>
      <c r="E151" s="20" t="str">
        <f t="shared" si="6"/>
        <v>CL</v>
      </c>
      <c r="F151" s="16" t="str">
        <f t="shared" si="7"/>
        <v>GB</v>
      </c>
      <c r="G151" s="21" t="str">
        <f t="shared" si="8"/>
        <v>P</v>
      </c>
    </row>
    <row r="152" spans="2:7" x14ac:dyDescent="0.25">
      <c r="B152" s="7" t="s">
        <v>301</v>
      </c>
      <c r="C152" s="8" t="s">
        <v>302</v>
      </c>
      <c r="D152" s="4" t="s">
        <v>277</v>
      </c>
      <c r="E152" s="20" t="str">
        <f t="shared" si="6"/>
        <v>CL</v>
      </c>
      <c r="F152" s="16" t="str">
        <f t="shared" si="7"/>
        <v>HC</v>
      </c>
      <c r="G152" s="21" t="str">
        <f t="shared" si="8"/>
        <v>K</v>
      </c>
    </row>
    <row r="153" spans="2:7" x14ac:dyDescent="0.25">
      <c r="B153" s="7" t="s">
        <v>303</v>
      </c>
      <c r="C153" s="8" t="s">
        <v>304</v>
      </c>
      <c r="D153" s="4" t="s">
        <v>24</v>
      </c>
      <c r="E153" s="20" t="str">
        <f t="shared" si="6"/>
        <v>CL</v>
      </c>
      <c r="F153" s="16" t="str">
        <f t="shared" si="7"/>
        <v>IC</v>
      </c>
      <c r="G153" s="21" t="str">
        <f t="shared" si="8"/>
        <v>B</v>
      </c>
    </row>
    <row r="154" spans="2:7" x14ac:dyDescent="0.25">
      <c r="B154" s="7" t="s">
        <v>305</v>
      </c>
      <c r="C154" s="8" t="s">
        <v>306</v>
      </c>
      <c r="D154" s="4" t="s">
        <v>74</v>
      </c>
      <c r="E154" s="20" t="str">
        <f t="shared" si="6"/>
        <v>CL</v>
      </c>
      <c r="F154" s="16" t="str">
        <f t="shared" si="7"/>
        <v>IC</v>
      </c>
      <c r="G154" s="21" t="str">
        <f t="shared" si="8"/>
        <v>D</v>
      </c>
    </row>
    <row r="155" spans="2:7" x14ac:dyDescent="0.25">
      <c r="B155" s="7" t="s">
        <v>307</v>
      </c>
      <c r="C155" s="8" t="s">
        <v>304</v>
      </c>
      <c r="D155" s="4" t="s">
        <v>256</v>
      </c>
      <c r="E155" s="20" t="str">
        <f t="shared" si="6"/>
        <v>CL</v>
      </c>
      <c r="F155" s="16" t="str">
        <f t="shared" si="7"/>
        <v>IC</v>
      </c>
      <c r="G155" s="21" t="str">
        <f t="shared" si="8"/>
        <v>P</v>
      </c>
    </row>
    <row r="156" spans="2:7" x14ac:dyDescent="0.25">
      <c r="B156" s="7" t="s">
        <v>308</v>
      </c>
      <c r="C156" s="8" t="s">
        <v>309</v>
      </c>
      <c r="D156" s="4" t="s">
        <v>78</v>
      </c>
      <c r="E156" s="20" t="str">
        <f t="shared" si="6"/>
        <v>CL</v>
      </c>
      <c r="F156" s="16" t="str">
        <f t="shared" si="7"/>
        <v>IC</v>
      </c>
      <c r="G156" s="21" t="str">
        <f t="shared" si="8"/>
        <v>V</v>
      </c>
    </row>
    <row r="157" spans="2:7" x14ac:dyDescent="0.25">
      <c r="B157" s="7" t="s">
        <v>310</v>
      </c>
      <c r="C157" s="8" t="s">
        <v>311</v>
      </c>
      <c r="D157" s="4" t="s">
        <v>24</v>
      </c>
      <c r="E157" s="20" t="str">
        <f t="shared" si="6"/>
        <v>CL</v>
      </c>
      <c r="F157" s="16" t="str">
        <f t="shared" si="7"/>
        <v>IS</v>
      </c>
      <c r="G157" s="21" t="str">
        <f t="shared" si="8"/>
        <v>B</v>
      </c>
    </row>
    <row r="158" spans="2:7" x14ac:dyDescent="0.25">
      <c r="B158" s="7" t="s">
        <v>312</v>
      </c>
      <c r="C158" s="8" t="s">
        <v>313</v>
      </c>
      <c r="D158" s="4" t="s">
        <v>24</v>
      </c>
      <c r="E158" s="20" t="str">
        <f t="shared" si="6"/>
        <v>CL</v>
      </c>
      <c r="F158" s="16" t="str">
        <f t="shared" si="7"/>
        <v>KC</v>
      </c>
      <c r="G158" s="21" t="str">
        <f t="shared" si="8"/>
        <v>B</v>
      </c>
    </row>
    <row r="159" spans="2:7" x14ac:dyDescent="0.25">
      <c r="B159" s="7" t="s">
        <v>314</v>
      </c>
      <c r="C159" s="8" t="s">
        <v>315</v>
      </c>
      <c r="D159" s="4" t="s">
        <v>74</v>
      </c>
      <c r="E159" s="20" t="str">
        <f t="shared" si="6"/>
        <v>CL</v>
      </c>
      <c r="F159" s="16" t="str">
        <f t="shared" si="7"/>
        <v>KC</v>
      </c>
      <c r="G159" s="21" t="str">
        <f t="shared" si="8"/>
        <v>D</v>
      </c>
    </row>
    <row r="160" spans="2:7" x14ac:dyDescent="0.25">
      <c r="B160" s="7" t="s">
        <v>316</v>
      </c>
      <c r="C160" s="8" t="s">
        <v>317</v>
      </c>
      <c r="D160" s="4" t="s">
        <v>277</v>
      </c>
      <c r="E160" s="20" t="str">
        <f t="shared" si="6"/>
        <v>CL</v>
      </c>
      <c r="F160" s="16" t="str">
        <f t="shared" si="7"/>
        <v>KC</v>
      </c>
      <c r="G160" s="21" t="str">
        <f t="shared" si="8"/>
        <v>K</v>
      </c>
    </row>
    <row r="161" spans="2:7" x14ac:dyDescent="0.25">
      <c r="B161" s="7" t="s">
        <v>318</v>
      </c>
      <c r="C161" s="8" t="s">
        <v>319</v>
      </c>
      <c r="D161" s="4" t="s">
        <v>256</v>
      </c>
      <c r="E161" s="20" t="str">
        <f t="shared" si="6"/>
        <v>CL</v>
      </c>
      <c r="F161" s="16" t="str">
        <f t="shared" si="7"/>
        <v>KC</v>
      </c>
      <c r="G161" s="21" t="str">
        <f t="shared" si="8"/>
        <v>P</v>
      </c>
    </row>
    <row r="162" spans="2:7" x14ac:dyDescent="0.25">
      <c r="B162" s="7" t="s">
        <v>320</v>
      </c>
      <c r="C162" s="8" t="s">
        <v>321</v>
      </c>
      <c r="D162" s="4" t="s">
        <v>78</v>
      </c>
      <c r="E162" s="20" t="str">
        <f t="shared" si="6"/>
        <v>CL</v>
      </c>
      <c r="F162" s="16" t="str">
        <f t="shared" si="7"/>
        <v>KC</v>
      </c>
      <c r="G162" s="21" t="str">
        <f t="shared" si="8"/>
        <v>V</v>
      </c>
    </row>
    <row r="163" spans="2:7" x14ac:dyDescent="0.25">
      <c r="B163" s="7" t="s">
        <v>322</v>
      </c>
      <c r="C163" s="8" t="s">
        <v>323</v>
      </c>
      <c r="D163" s="4" t="s">
        <v>24</v>
      </c>
      <c r="E163" s="20" t="str">
        <f t="shared" si="6"/>
        <v>CL</v>
      </c>
      <c r="F163" s="16" t="str">
        <f t="shared" si="7"/>
        <v>OC</v>
      </c>
      <c r="G163" s="21" t="str">
        <f t="shared" si="8"/>
        <v>B</v>
      </c>
    </row>
    <row r="164" spans="2:7" x14ac:dyDescent="0.25">
      <c r="B164" s="7" t="s">
        <v>324</v>
      </c>
      <c r="C164" s="8" t="s">
        <v>325</v>
      </c>
      <c r="D164" s="4" t="s">
        <v>74</v>
      </c>
      <c r="E164" s="20" t="str">
        <f t="shared" si="6"/>
        <v>CL</v>
      </c>
      <c r="F164" s="16" t="str">
        <f t="shared" si="7"/>
        <v>OC</v>
      </c>
      <c r="G164" s="21" t="str">
        <f t="shared" si="8"/>
        <v>D</v>
      </c>
    </row>
    <row r="165" spans="2:7" x14ac:dyDescent="0.25">
      <c r="B165" s="7" t="s">
        <v>326</v>
      </c>
      <c r="C165" s="8" t="s">
        <v>327</v>
      </c>
      <c r="D165" s="4" t="s">
        <v>277</v>
      </c>
      <c r="E165" s="20" t="str">
        <f t="shared" si="6"/>
        <v>CL</v>
      </c>
      <c r="F165" s="16" t="str">
        <f t="shared" si="7"/>
        <v>OC</v>
      </c>
      <c r="G165" s="21" t="str">
        <f t="shared" si="8"/>
        <v>K</v>
      </c>
    </row>
    <row r="166" spans="2:7" x14ac:dyDescent="0.25">
      <c r="B166" s="7" t="s">
        <v>328</v>
      </c>
      <c r="C166" s="8" t="s">
        <v>323</v>
      </c>
      <c r="D166" s="4" t="s">
        <v>256</v>
      </c>
      <c r="E166" s="20" t="str">
        <f t="shared" si="6"/>
        <v>CL</v>
      </c>
      <c r="F166" s="16" t="str">
        <f t="shared" si="7"/>
        <v>OC</v>
      </c>
      <c r="G166" s="21" t="str">
        <f t="shared" si="8"/>
        <v>P</v>
      </c>
    </row>
    <row r="167" spans="2:7" x14ac:dyDescent="0.25">
      <c r="B167" s="7" t="s">
        <v>329</v>
      </c>
      <c r="C167" s="8" t="s">
        <v>330</v>
      </c>
      <c r="D167" s="4" t="s">
        <v>78</v>
      </c>
      <c r="E167" s="20" t="str">
        <f t="shared" si="6"/>
        <v>CL</v>
      </c>
      <c r="F167" s="16" t="str">
        <f t="shared" si="7"/>
        <v>OC</v>
      </c>
      <c r="G167" s="21" t="str">
        <f t="shared" si="8"/>
        <v>V</v>
      </c>
    </row>
    <row r="168" spans="2:7" x14ac:dyDescent="0.25">
      <c r="B168" s="7" t="s">
        <v>331</v>
      </c>
      <c r="C168" s="8" t="s">
        <v>332</v>
      </c>
      <c r="D168" s="4" t="s">
        <v>24</v>
      </c>
      <c r="E168" s="20" t="str">
        <f t="shared" si="6"/>
        <v>CL</v>
      </c>
      <c r="F168" s="16" t="str">
        <f t="shared" si="7"/>
        <v>OS</v>
      </c>
      <c r="G168" s="21" t="str">
        <f t="shared" si="8"/>
        <v>B</v>
      </c>
    </row>
    <row r="169" spans="2:7" x14ac:dyDescent="0.25">
      <c r="B169" s="7" t="s">
        <v>333</v>
      </c>
      <c r="C169" s="8" t="s">
        <v>334</v>
      </c>
      <c r="D169" s="4" t="s">
        <v>24</v>
      </c>
      <c r="E169" s="20" t="str">
        <f t="shared" si="6"/>
        <v>CL</v>
      </c>
      <c r="F169" s="16" t="str">
        <f t="shared" si="7"/>
        <v>PR</v>
      </c>
      <c r="G169" s="21" t="str">
        <f t="shared" si="8"/>
        <v>B</v>
      </c>
    </row>
    <row r="170" spans="2:7" x14ac:dyDescent="0.25">
      <c r="B170" s="7" t="s">
        <v>335</v>
      </c>
      <c r="C170" s="8" t="s">
        <v>336</v>
      </c>
      <c r="D170" s="4" t="s">
        <v>277</v>
      </c>
      <c r="E170" s="20" t="str">
        <f t="shared" si="6"/>
        <v>CL</v>
      </c>
      <c r="F170" s="16" t="str">
        <f t="shared" si="7"/>
        <v>PR</v>
      </c>
      <c r="G170" s="21" t="str">
        <f t="shared" si="8"/>
        <v>K</v>
      </c>
    </row>
    <row r="171" spans="2:7" x14ac:dyDescent="0.25">
      <c r="B171" s="7" t="s">
        <v>337</v>
      </c>
      <c r="C171" s="8" t="s">
        <v>334</v>
      </c>
      <c r="D171" s="4" t="s">
        <v>256</v>
      </c>
      <c r="E171" s="20" t="str">
        <f t="shared" si="6"/>
        <v>CL</v>
      </c>
      <c r="F171" s="16" t="str">
        <f t="shared" si="7"/>
        <v>PR</v>
      </c>
      <c r="G171" s="21" t="str">
        <f t="shared" si="8"/>
        <v>P</v>
      </c>
    </row>
    <row r="172" spans="2:7" x14ac:dyDescent="0.25">
      <c r="B172" s="7" t="s">
        <v>26</v>
      </c>
      <c r="C172" s="8" t="s">
        <v>27</v>
      </c>
      <c r="D172" s="4" t="s">
        <v>24</v>
      </c>
      <c r="E172" s="20" t="str">
        <f t="shared" si="6"/>
        <v>CL</v>
      </c>
      <c r="F172" s="16" t="str">
        <f t="shared" si="7"/>
        <v>RC</v>
      </c>
      <c r="G172" s="21" t="str">
        <f t="shared" si="8"/>
        <v>B</v>
      </c>
    </row>
    <row r="173" spans="2:7" x14ac:dyDescent="0.25">
      <c r="B173" s="7" t="s">
        <v>338</v>
      </c>
      <c r="C173" s="8" t="s">
        <v>339</v>
      </c>
      <c r="D173" s="4" t="s">
        <v>74</v>
      </c>
      <c r="E173" s="20" t="str">
        <f t="shared" si="6"/>
        <v>CL</v>
      </c>
      <c r="F173" s="16" t="str">
        <f t="shared" si="7"/>
        <v>RC</v>
      </c>
      <c r="G173" s="21" t="str">
        <f t="shared" si="8"/>
        <v>D</v>
      </c>
    </row>
    <row r="174" spans="2:7" x14ac:dyDescent="0.25">
      <c r="B174" s="7" t="s">
        <v>340</v>
      </c>
      <c r="C174" s="8" t="s">
        <v>27</v>
      </c>
      <c r="D174" s="4" t="s">
        <v>256</v>
      </c>
      <c r="E174" s="20" t="str">
        <f t="shared" si="6"/>
        <v>CL</v>
      </c>
      <c r="F174" s="16" t="str">
        <f t="shared" si="7"/>
        <v>RC</v>
      </c>
      <c r="G174" s="21" t="str">
        <f t="shared" si="8"/>
        <v>P</v>
      </c>
    </row>
    <row r="175" spans="2:7" x14ac:dyDescent="0.25">
      <c r="B175" s="7" t="s">
        <v>341</v>
      </c>
      <c r="C175" s="8" t="s">
        <v>342</v>
      </c>
      <c r="D175" s="4" t="s">
        <v>78</v>
      </c>
      <c r="E175" s="20" t="str">
        <f t="shared" si="6"/>
        <v>CL</v>
      </c>
      <c r="F175" s="16" t="str">
        <f t="shared" si="7"/>
        <v>RC</v>
      </c>
      <c r="G175" s="21" t="str">
        <f t="shared" si="8"/>
        <v>V</v>
      </c>
    </row>
    <row r="176" spans="2:7" x14ac:dyDescent="0.25">
      <c r="B176" s="7" t="s">
        <v>343</v>
      </c>
      <c r="C176" s="8" t="s">
        <v>344</v>
      </c>
      <c r="D176" s="4" t="s">
        <v>24</v>
      </c>
      <c r="E176" s="20" t="str">
        <f t="shared" si="6"/>
        <v>CL</v>
      </c>
      <c r="F176" s="16" t="str">
        <f t="shared" si="7"/>
        <v>RF</v>
      </c>
      <c r="G176" s="21" t="str">
        <f t="shared" si="8"/>
        <v>B</v>
      </c>
    </row>
    <row r="177" spans="2:7" x14ac:dyDescent="0.25">
      <c r="B177" s="7" t="s">
        <v>345</v>
      </c>
      <c r="C177" s="8" t="s">
        <v>346</v>
      </c>
      <c r="D177" s="4" t="s">
        <v>24</v>
      </c>
      <c r="E177" s="20" t="str">
        <f t="shared" si="6"/>
        <v>CL</v>
      </c>
      <c r="F177" s="16" t="str">
        <f t="shared" si="7"/>
        <v>SC</v>
      </c>
      <c r="G177" s="21" t="str">
        <f t="shared" si="8"/>
        <v>B</v>
      </c>
    </row>
    <row r="178" spans="2:7" x14ac:dyDescent="0.25">
      <c r="B178" s="7" t="s">
        <v>347</v>
      </c>
      <c r="C178" s="8" t="s">
        <v>348</v>
      </c>
      <c r="D178" s="4" t="s">
        <v>24</v>
      </c>
      <c r="E178" s="20" t="str">
        <f t="shared" si="6"/>
        <v>CL</v>
      </c>
      <c r="F178" s="16" t="str">
        <f t="shared" si="7"/>
        <v>TC</v>
      </c>
      <c r="G178" s="21" t="str">
        <f t="shared" si="8"/>
        <v>B</v>
      </c>
    </row>
    <row r="179" spans="2:7" x14ac:dyDescent="0.25">
      <c r="B179" s="7" t="s">
        <v>349</v>
      </c>
      <c r="C179" s="8" t="s">
        <v>350</v>
      </c>
      <c r="D179" s="4" t="s">
        <v>74</v>
      </c>
      <c r="E179" s="20" t="str">
        <f t="shared" si="6"/>
        <v>CL</v>
      </c>
      <c r="F179" s="16" t="str">
        <f t="shared" si="7"/>
        <v>TC</v>
      </c>
      <c r="G179" s="21" t="str">
        <f t="shared" si="8"/>
        <v>D</v>
      </c>
    </row>
    <row r="180" spans="2:7" x14ac:dyDescent="0.25">
      <c r="B180" s="7" t="s">
        <v>351</v>
      </c>
      <c r="C180" s="8" t="s">
        <v>348</v>
      </c>
      <c r="D180" s="4" t="s">
        <v>256</v>
      </c>
      <c r="E180" s="20" t="str">
        <f t="shared" si="6"/>
        <v>CL</v>
      </c>
      <c r="F180" s="16" t="str">
        <f t="shared" si="7"/>
        <v>TC</v>
      </c>
      <c r="G180" s="21" t="str">
        <f t="shared" si="8"/>
        <v>P</v>
      </c>
    </row>
    <row r="181" spans="2:7" x14ac:dyDescent="0.25">
      <c r="B181" s="7" t="s">
        <v>352</v>
      </c>
      <c r="C181" s="8" t="s">
        <v>353</v>
      </c>
      <c r="D181" s="4" t="s">
        <v>78</v>
      </c>
      <c r="E181" s="20" t="str">
        <f t="shared" si="6"/>
        <v>CL</v>
      </c>
      <c r="F181" s="16" t="str">
        <f t="shared" si="7"/>
        <v>TC</v>
      </c>
      <c r="G181" s="21" t="str">
        <f t="shared" si="8"/>
        <v>V</v>
      </c>
    </row>
    <row r="182" spans="2:7" x14ac:dyDescent="0.25">
      <c r="B182" s="7" t="s">
        <v>354</v>
      </c>
      <c r="C182" s="8" t="s">
        <v>355</v>
      </c>
      <c r="D182" s="4" t="s">
        <v>24</v>
      </c>
      <c r="E182" s="20" t="str">
        <f t="shared" si="6"/>
        <v>CL</v>
      </c>
      <c r="F182" s="16" t="str">
        <f t="shared" si="7"/>
        <v>TX</v>
      </c>
      <c r="G182" s="21" t="str">
        <f t="shared" si="8"/>
        <v>B</v>
      </c>
    </row>
    <row r="183" spans="2:7" x14ac:dyDescent="0.25">
      <c r="B183" s="7" t="s">
        <v>356</v>
      </c>
      <c r="C183" s="8" t="s">
        <v>357</v>
      </c>
      <c r="D183" s="4" t="s">
        <v>74</v>
      </c>
      <c r="E183" s="20" t="str">
        <f t="shared" si="6"/>
        <v>CL</v>
      </c>
      <c r="F183" s="16" t="str">
        <f t="shared" si="7"/>
        <v>TX</v>
      </c>
      <c r="G183" s="21" t="str">
        <f t="shared" si="8"/>
        <v>D</v>
      </c>
    </row>
    <row r="184" spans="2:7" x14ac:dyDescent="0.25">
      <c r="B184" s="7" t="s">
        <v>358</v>
      </c>
      <c r="C184" s="8" t="s">
        <v>355</v>
      </c>
      <c r="D184" s="4" t="s">
        <v>69</v>
      </c>
      <c r="E184" s="20" t="str">
        <f t="shared" si="6"/>
        <v>CL</v>
      </c>
      <c r="F184" s="16" t="str">
        <f t="shared" si="7"/>
        <v>TX</v>
      </c>
      <c r="G184" s="21" t="str">
        <f t="shared" si="8"/>
        <v>P</v>
      </c>
    </row>
    <row r="185" spans="2:7" x14ac:dyDescent="0.25">
      <c r="B185" s="7" t="s">
        <v>359</v>
      </c>
      <c r="C185" s="8" t="s">
        <v>360</v>
      </c>
      <c r="D185" s="4" t="s">
        <v>78</v>
      </c>
      <c r="E185" s="20" t="str">
        <f t="shared" si="6"/>
        <v>CL</v>
      </c>
      <c r="F185" s="16" t="str">
        <f t="shared" si="7"/>
        <v>TX</v>
      </c>
      <c r="G185" s="21" t="str">
        <f t="shared" si="8"/>
        <v>V</v>
      </c>
    </row>
    <row r="186" spans="2:7" x14ac:dyDescent="0.25">
      <c r="B186" s="7" t="s">
        <v>361</v>
      </c>
      <c r="C186" s="8" t="s">
        <v>362</v>
      </c>
      <c r="D186" s="4" t="s">
        <v>24</v>
      </c>
      <c r="E186" s="20" t="str">
        <f t="shared" si="6"/>
        <v>CO</v>
      </c>
      <c r="F186" s="16" t="str">
        <f t="shared" si="7"/>
        <v>IC</v>
      </c>
      <c r="G186" s="21" t="str">
        <f t="shared" si="8"/>
        <v>B</v>
      </c>
    </row>
    <row r="187" spans="2:7" x14ac:dyDescent="0.25">
      <c r="B187" s="7" t="s">
        <v>363</v>
      </c>
      <c r="C187" s="8" t="s">
        <v>362</v>
      </c>
      <c r="D187" s="4" t="s">
        <v>69</v>
      </c>
      <c r="E187" s="20" t="str">
        <f t="shared" si="6"/>
        <v>CO</v>
      </c>
      <c r="F187" s="16" t="str">
        <f t="shared" si="7"/>
        <v>IC</v>
      </c>
      <c r="G187" s="21" t="str">
        <f t="shared" si="8"/>
        <v>P</v>
      </c>
    </row>
    <row r="188" spans="2:7" x14ac:dyDescent="0.25">
      <c r="B188" s="7" t="s">
        <v>364</v>
      </c>
      <c r="C188" s="8" t="s">
        <v>365</v>
      </c>
      <c r="D188" s="4" t="s">
        <v>154</v>
      </c>
      <c r="E188" s="20" t="str">
        <f t="shared" si="6"/>
        <v>CO</v>
      </c>
      <c r="F188" s="16" t="str">
        <f t="shared" si="7"/>
        <v>PR</v>
      </c>
      <c r="G188" s="21" t="str">
        <f t="shared" si="8"/>
        <v>K</v>
      </c>
    </row>
    <row r="189" spans="2:7" x14ac:dyDescent="0.25">
      <c r="B189" s="7" t="s">
        <v>366</v>
      </c>
      <c r="C189" s="8" t="s">
        <v>367</v>
      </c>
      <c r="D189" s="4" t="s">
        <v>204</v>
      </c>
      <c r="E189" s="20" t="str">
        <f t="shared" si="6"/>
        <v>CY</v>
      </c>
      <c r="F189" s="16" t="str">
        <f t="shared" si="7"/>
        <v>CA</v>
      </c>
      <c r="G189" s="21" t="str">
        <f t="shared" si="8"/>
        <v>S</v>
      </c>
    </row>
    <row r="190" spans="2:7" x14ac:dyDescent="0.25">
      <c r="B190" s="7" t="s">
        <v>368</v>
      </c>
      <c r="C190" s="8" t="s">
        <v>369</v>
      </c>
      <c r="D190" s="4" t="s">
        <v>24</v>
      </c>
      <c r="E190" s="20" t="str">
        <f t="shared" si="6"/>
        <v>DA</v>
      </c>
      <c r="F190" s="16" t="str">
        <f t="shared" si="7"/>
        <v>AC</v>
      </c>
      <c r="G190" s="21" t="str">
        <f t="shared" si="8"/>
        <v>B</v>
      </c>
    </row>
    <row r="191" spans="2:7" x14ac:dyDescent="0.25">
      <c r="B191" s="7" t="s">
        <v>370</v>
      </c>
      <c r="C191" s="8" t="s">
        <v>369</v>
      </c>
      <c r="D191" s="4" t="s">
        <v>69</v>
      </c>
      <c r="E191" s="20" t="str">
        <f t="shared" si="6"/>
        <v>DA</v>
      </c>
      <c r="F191" s="16" t="str">
        <f t="shared" si="7"/>
        <v>AC</v>
      </c>
      <c r="G191" s="21" t="str">
        <f t="shared" si="8"/>
        <v>P</v>
      </c>
    </row>
    <row r="192" spans="2:7" x14ac:dyDescent="0.25">
      <c r="B192" s="7" t="s">
        <v>371</v>
      </c>
      <c r="C192" s="8" t="s">
        <v>372</v>
      </c>
      <c r="D192" s="4" t="s">
        <v>24</v>
      </c>
      <c r="E192" s="20" t="str">
        <f t="shared" si="6"/>
        <v>DA</v>
      </c>
      <c r="F192" s="16" t="str">
        <f t="shared" si="7"/>
        <v>CC</v>
      </c>
      <c r="G192" s="21" t="str">
        <f t="shared" si="8"/>
        <v>B</v>
      </c>
    </row>
    <row r="193" spans="2:7" x14ac:dyDescent="0.25">
      <c r="B193" s="7" t="s">
        <v>373</v>
      </c>
      <c r="C193" s="8" t="s">
        <v>372</v>
      </c>
      <c r="D193" s="4" t="s">
        <v>69</v>
      </c>
      <c r="E193" s="20" t="str">
        <f t="shared" si="6"/>
        <v>DA</v>
      </c>
      <c r="F193" s="16" t="str">
        <f t="shared" si="7"/>
        <v>CC</v>
      </c>
      <c r="G193" s="21" t="str">
        <f t="shared" si="8"/>
        <v>P</v>
      </c>
    </row>
    <row r="194" spans="2:7" x14ac:dyDescent="0.25">
      <c r="B194" s="7" t="s">
        <v>374</v>
      </c>
      <c r="C194" s="8" t="s">
        <v>375</v>
      </c>
      <c r="D194" s="4" t="s">
        <v>24</v>
      </c>
      <c r="E194" s="20" t="str">
        <f t="shared" si="6"/>
        <v>DA</v>
      </c>
      <c r="F194" s="16" t="str">
        <f t="shared" si="7"/>
        <v>EI</v>
      </c>
      <c r="G194" s="21" t="str">
        <f t="shared" si="8"/>
        <v>B</v>
      </c>
    </row>
    <row r="195" spans="2:7" x14ac:dyDescent="0.25">
      <c r="B195" s="7" t="s">
        <v>376</v>
      </c>
      <c r="C195" s="8" t="s">
        <v>375</v>
      </c>
      <c r="D195" s="4" t="s">
        <v>69</v>
      </c>
      <c r="E195" s="20" t="str">
        <f t="shared" si="6"/>
        <v>DA</v>
      </c>
      <c r="F195" s="16" t="str">
        <f t="shared" si="7"/>
        <v>EI</v>
      </c>
      <c r="G195" s="21" t="str">
        <f t="shared" si="8"/>
        <v>P</v>
      </c>
    </row>
    <row r="196" spans="2:7" x14ac:dyDescent="0.25">
      <c r="B196" s="7" t="s">
        <v>377</v>
      </c>
      <c r="C196" s="8" t="s">
        <v>378</v>
      </c>
      <c r="D196" s="4" t="s">
        <v>24</v>
      </c>
      <c r="E196" s="20" t="str">
        <f t="shared" si="6"/>
        <v>DA</v>
      </c>
      <c r="F196" s="16" t="str">
        <f t="shared" si="7"/>
        <v>IC</v>
      </c>
      <c r="G196" s="21" t="str">
        <f t="shared" si="8"/>
        <v>B</v>
      </c>
    </row>
    <row r="197" spans="2:7" x14ac:dyDescent="0.25">
      <c r="B197" s="7" t="s">
        <v>379</v>
      </c>
      <c r="C197" s="8" t="s">
        <v>378</v>
      </c>
      <c r="D197" s="4" t="s">
        <v>69</v>
      </c>
      <c r="E197" s="20" t="str">
        <f t="shared" si="6"/>
        <v>DA</v>
      </c>
      <c r="F197" s="16" t="str">
        <f t="shared" si="7"/>
        <v>IC</v>
      </c>
      <c r="G197" s="21" t="str">
        <f t="shared" si="8"/>
        <v>P</v>
      </c>
    </row>
    <row r="198" spans="2:7" x14ac:dyDescent="0.25">
      <c r="B198" s="7" t="s">
        <v>28</v>
      </c>
      <c r="C198" s="8" t="s">
        <v>29</v>
      </c>
      <c r="D198" s="4" t="s">
        <v>24</v>
      </c>
      <c r="E198" s="20" t="str">
        <f t="shared" si="6"/>
        <v>DA</v>
      </c>
      <c r="F198" s="16" t="str">
        <f t="shared" si="7"/>
        <v>RC</v>
      </c>
      <c r="G198" s="21" t="str">
        <f t="shared" si="8"/>
        <v>B</v>
      </c>
    </row>
    <row r="199" spans="2:7" x14ac:dyDescent="0.25">
      <c r="B199" s="7" t="s">
        <v>380</v>
      </c>
      <c r="C199" s="8" t="s">
        <v>29</v>
      </c>
      <c r="D199" s="4" t="s">
        <v>69</v>
      </c>
      <c r="E199" s="20" t="str">
        <f t="shared" si="6"/>
        <v>DA</v>
      </c>
      <c r="F199" s="16" t="str">
        <f t="shared" si="7"/>
        <v>RC</v>
      </c>
      <c r="G199" s="21" t="str">
        <f t="shared" si="8"/>
        <v>P</v>
      </c>
    </row>
    <row r="200" spans="2:7" x14ac:dyDescent="0.25">
      <c r="B200" s="7" t="s">
        <v>381</v>
      </c>
      <c r="C200" s="8" t="s">
        <v>382</v>
      </c>
      <c r="D200" s="4" t="s">
        <v>24</v>
      </c>
      <c r="E200" s="20" t="str">
        <f t="shared" si="6"/>
        <v>DA</v>
      </c>
      <c r="F200" s="16" t="str">
        <f t="shared" si="7"/>
        <v>TC</v>
      </c>
      <c r="G200" s="21" t="str">
        <f t="shared" si="8"/>
        <v>B</v>
      </c>
    </row>
    <row r="201" spans="2:7" x14ac:dyDescent="0.25">
      <c r="B201" s="7" t="s">
        <v>383</v>
      </c>
      <c r="C201" s="8" t="s">
        <v>382</v>
      </c>
      <c r="D201" s="4" t="s">
        <v>69</v>
      </c>
      <c r="E201" s="20" t="str">
        <f t="shared" si="6"/>
        <v>DA</v>
      </c>
      <c r="F201" s="16" t="str">
        <f t="shared" si="7"/>
        <v>TC</v>
      </c>
      <c r="G201" s="21" t="str">
        <f t="shared" si="8"/>
        <v>P</v>
      </c>
    </row>
    <row r="202" spans="2:7" x14ac:dyDescent="0.25">
      <c r="B202" s="7" t="s">
        <v>384</v>
      </c>
      <c r="C202" s="8" t="s">
        <v>385</v>
      </c>
      <c r="D202" s="4" t="s">
        <v>24</v>
      </c>
      <c r="E202" s="20" t="str">
        <f t="shared" si="6"/>
        <v>DF</v>
      </c>
      <c r="F202" s="16" t="str">
        <f t="shared" si="7"/>
        <v>AC</v>
      </c>
      <c r="G202" s="21" t="str">
        <f t="shared" si="8"/>
        <v>B</v>
      </c>
    </row>
    <row r="203" spans="2:7" x14ac:dyDescent="0.25">
      <c r="B203" s="7" t="s">
        <v>386</v>
      </c>
      <c r="C203" s="8" t="s">
        <v>387</v>
      </c>
      <c r="D203" s="4" t="s">
        <v>74</v>
      </c>
      <c r="E203" s="20" t="str">
        <f t="shared" si="6"/>
        <v>DF</v>
      </c>
      <c r="F203" s="16" t="str">
        <f t="shared" si="7"/>
        <v>AC</v>
      </c>
      <c r="G203" s="21" t="str">
        <f t="shared" si="8"/>
        <v>D</v>
      </c>
    </row>
    <row r="204" spans="2:7" x14ac:dyDescent="0.25">
      <c r="B204" s="7" t="s">
        <v>388</v>
      </c>
      <c r="C204" s="8" t="s">
        <v>385</v>
      </c>
      <c r="D204" s="4" t="s">
        <v>69</v>
      </c>
      <c r="E204" s="20" t="str">
        <f t="shared" si="6"/>
        <v>DF</v>
      </c>
      <c r="F204" s="16" t="str">
        <f t="shared" si="7"/>
        <v>AC</v>
      </c>
      <c r="G204" s="21" t="str">
        <f t="shared" si="8"/>
        <v>P</v>
      </c>
    </row>
    <row r="205" spans="2:7" x14ac:dyDescent="0.25">
      <c r="B205" s="7" t="s">
        <v>389</v>
      </c>
      <c r="C205" s="8" t="s">
        <v>390</v>
      </c>
      <c r="D205" s="4" t="s">
        <v>78</v>
      </c>
      <c r="E205" s="20" t="str">
        <f t="shared" si="6"/>
        <v>DF</v>
      </c>
      <c r="F205" s="16" t="str">
        <f t="shared" si="7"/>
        <v>AC</v>
      </c>
      <c r="G205" s="21" t="str">
        <f t="shared" si="8"/>
        <v>V</v>
      </c>
    </row>
    <row r="206" spans="2:7" x14ac:dyDescent="0.25">
      <c r="B206" s="7" t="s">
        <v>391</v>
      </c>
      <c r="C206" s="8" t="s">
        <v>392</v>
      </c>
      <c r="D206" s="4" t="s">
        <v>24</v>
      </c>
      <c r="E206" s="20" t="str">
        <f t="shared" si="6"/>
        <v>DF</v>
      </c>
      <c r="F206" s="16" t="str">
        <f t="shared" si="7"/>
        <v>AS</v>
      </c>
      <c r="G206" s="21" t="str">
        <f t="shared" si="8"/>
        <v>B</v>
      </c>
    </row>
    <row r="207" spans="2:7" x14ac:dyDescent="0.25">
      <c r="B207" s="7" t="s">
        <v>393</v>
      </c>
      <c r="C207" s="8" t="s">
        <v>394</v>
      </c>
      <c r="D207" s="4" t="s">
        <v>24</v>
      </c>
      <c r="E207" s="20" t="str">
        <f t="shared" si="6"/>
        <v>DF</v>
      </c>
      <c r="F207" s="16" t="str">
        <f t="shared" si="7"/>
        <v>CC</v>
      </c>
      <c r="G207" s="21" t="str">
        <f t="shared" si="8"/>
        <v>B</v>
      </c>
    </row>
    <row r="208" spans="2:7" x14ac:dyDescent="0.25">
      <c r="B208" s="7" t="s">
        <v>395</v>
      </c>
      <c r="C208" s="8" t="s">
        <v>396</v>
      </c>
      <c r="D208" s="4" t="s">
        <v>74</v>
      </c>
      <c r="E208" s="20" t="str">
        <f t="shared" ref="E208:E271" si="9">LEFT(B208,2)</f>
        <v>DF</v>
      </c>
      <c r="F208" s="16" t="str">
        <f t="shared" ref="F208:F271" si="10">MID(B208,3,2)</f>
        <v>CC</v>
      </c>
      <c r="G208" s="21" t="str">
        <f t="shared" ref="G208:G271" si="11">RIGHT(B208,1)</f>
        <v>D</v>
      </c>
    </row>
    <row r="209" spans="2:7" x14ac:dyDescent="0.25">
      <c r="B209" s="7" t="s">
        <v>397</v>
      </c>
      <c r="C209" s="8" t="s">
        <v>394</v>
      </c>
      <c r="D209" s="4" t="s">
        <v>69</v>
      </c>
      <c r="E209" s="20" t="str">
        <f t="shared" si="9"/>
        <v>DF</v>
      </c>
      <c r="F209" s="16" t="str">
        <f t="shared" si="10"/>
        <v>CC</v>
      </c>
      <c r="G209" s="21" t="str">
        <f t="shared" si="11"/>
        <v>P</v>
      </c>
    </row>
    <row r="210" spans="2:7" x14ac:dyDescent="0.25">
      <c r="B210" s="7" t="s">
        <v>398</v>
      </c>
      <c r="C210" s="8" t="s">
        <v>399</v>
      </c>
      <c r="D210" s="4" t="s">
        <v>78</v>
      </c>
      <c r="E210" s="20" t="str">
        <f t="shared" si="9"/>
        <v>DF</v>
      </c>
      <c r="F210" s="16" t="str">
        <f t="shared" si="10"/>
        <v>CC</v>
      </c>
      <c r="G210" s="21" t="str">
        <f t="shared" si="11"/>
        <v>V</v>
      </c>
    </row>
    <row r="211" spans="2:7" x14ac:dyDescent="0.25">
      <c r="B211" s="7" t="s">
        <v>400</v>
      </c>
      <c r="C211" s="8" t="s">
        <v>401</v>
      </c>
      <c r="D211" s="4" t="s">
        <v>24</v>
      </c>
      <c r="E211" s="20" t="str">
        <f t="shared" si="9"/>
        <v>DF</v>
      </c>
      <c r="F211" s="16" t="str">
        <f t="shared" si="10"/>
        <v>CS</v>
      </c>
      <c r="G211" s="21" t="str">
        <f t="shared" si="11"/>
        <v>B</v>
      </c>
    </row>
    <row r="212" spans="2:7" x14ac:dyDescent="0.25">
      <c r="B212" s="7" t="s">
        <v>402</v>
      </c>
      <c r="C212" s="8" t="s">
        <v>403</v>
      </c>
      <c r="D212" s="4" t="s">
        <v>24</v>
      </c>
      <c r="E212" s="20" t="str">
        <f t="shared" si="9"/>
        <v>DF</v>
      </c>
      <c r="F212" s="16" t="str">
        <f t="shared" si="10"/>
        <v>EI</v>
      </c>
      <c r="G212" s="21" t="str">
        <f t="shared" si="11"/>
        <v>B</v>
      </c>
    </row>
    <row r="213" spans="2:7" x14ac:dyDescent="0.25">
      <c r="B213" s="7" t="s">
        <v>404</v>
      </c>
      <c r="C213" s="8" t="s">
        <v>405</v>
      </c>
      <c r="D213" s="4" t="s">
        <v>74</v>
      </c>
      <c r="E213" s="20" t="str">
        <f t="shared" si="9"/>
        <v>DF</v>
      </c>
      <c r="F213" s="16" t="str">
        <f t="shared" si="10"/>
        <v>EI</v>
      </c>
      <c r="G213" s="21" t="str">
        <f t="shared" si="11"/>
        <v>D</v>
      </c>
    </row>
    <row r="214" spans="2:7" x14ac:dyDescent="0.25">
      <c r="B214" s="7" t="s">
        <v>406</v>
      </c>
      <c r="C214" s="8" t="s">
        <v>403</v>
      </c>
      <c r="D214" s="4" t="s">
        <v>69</v>
      </c>
      <c r="E214" s="20" t="str">
        <f t="shared" si="9"/>
        <v>DF</v>
      </c>
      <c r="F214" s="16" t="str">
        <f t="shared" si="10"/>
        <v>EI</v>
      </c>
      <c r="G214" s="21" t="str">
        <f t="shared" si="11"/>
        <v>P</v>
      </c>
    </row>
    <row r="215" spans="2:7" x14ac:dyDescent="0.25">
      <c r="B215" s="7" t="s">
        <v>407</v>
      </c>
      <c r="C215" s="8" t="s">
        <v>408</v>
      </c>
      <c r="D215" s="4" t="s">
        <v>78</v>
      </c>
      <c r="E215" s="20" t="str">
        <f t="shared" si="9"/>
        <v>DF</v>
      </c>
      <c r="F215" s="16" t="str">
        <f t="shared" si="10"/>
        <v>EI</v>
      </c>
      <c r="G215" s="21" t="str">
        <f t="shared" si="11"/>
        <v>V</v>
      </c>
    </row>
    <row r="216" spans="2:7" x14ac:dyDescent="0.25">
      <c r="B216" s="7" t="s">
        <v>409</v>
      </c>
      <c r="C216" s="8" t="s">
        <v>410</v>
      </c>
      <c r="D216" s="4" t="s">
        <v>24</v>
      </c>
      <c r="E216" s="20" t="str">
        <f t="shared" si="9"/>
        <v>DF</v>
      </c>
      <c r="F216" s="16" t="str">
        <f t="shared" si="10"/>
        <v>IC</v>
      </c>
      <c r="G216" s="21" t="str">
        <f t="shared" si="11"/>
        <v>B</v>
      </c>
    </row>
    <row r="217" spans="2:7" x14ac:dyDescent="0.25">
      <c r="B217" s="7" t="s">
        <v>411</v>
      </c>
      <c r="C217" s="8" t="s">
        <v>412</v>
      </c>
      <c r="D217" s="4" t="s">
        <v>74</v>
      </c>
      <c r="E217" s="20" t="str">
        <f t="shared" si="9"/>
        <v>DF</v>
      </c>
      <c r="F217" s="16" t="str">
        <f t="shared" si="10"/>
        <v>IC</v>
      </c>
      <c r="G217" s="21" t="str">
        <f t="shared" si="11"/>
        <v>D</v>
      </c>
    </row>
    <row r="218" spans="2:7" x14ac:dyDescent="0.25">
      <c r="B218" s="7" t="s">
        <v>413</v>
      </c>
      <c r="C218" s="8" t="s">
        <v>410</v>
      </c>
      <c r="D218" s="4" t="s">
        <v>69</v>
      </c>
      <c r="E218" s="20" t="str">
        <f t="shared" si="9"/>
        <v>DF</v>
      </c>
      <c r="F218" s="16" t="str">
        <f t="shared" si="10"/>
        <v>IC</v>
      </c>
      <c r="G218" s="21" t="str">
        <f t="shared" si="11"/>
        <v>P</v>
      </c>
    </row>
    <row r="219" spans="2:7" x14ac:dyDescent="0.25">
      <c r="B219" s="7" t="s">
        <v>414</v>
      </c>
      <c r="C219" s="8" t="s">
        <v>415</v>
      </c>
      <c r="D219" s="4" t="s">
        <v>78</v>
      </c>
      <c r="E219" s="20" t="str">
        <f t="shared" si="9"/>
        <v>DF</v>
      </c>
      <c r="F219" s="16" t="str">
        <f t="shared" si="10"/>
        <v>IC</v>
      </c>
      <c r="G219" s="21" t="str">
        <f t="shared" si="11"/>
        <v>V</v>
      </c>
    </row>
    <row r="220" spans="2:7" x14ac:dyDescent="0.25">
      <c r="B220" s="7" t="s">
        <v>416</v>
      </c>
      <c r="C220" s="8" t="s">
        <v>417</v>
      </c>
      <c r="D220" s="4" t="s">
        <v>24</v>
      </c>
      <c r="E220" s="20" t="str">
        <f t="shared" si="9"/>
        <v>DF</v>
      </c>
      <c r="F220" s="16" t="str">
        <f t="shared" si="10"/>
        <v>IS</v>
      </c>
      <c r="G220" s="21" t="str">
        <f t="shared" si="11"/>
        <v>B</v>
      </c>
    </row>
    <row r="221" spans="2:7" x14ac:dyDescent="0.25">
      <c r="B221" s="7" t="s">
        <v>30</v>
      </c>
      <c r="C221" s="8" t="s">
        <v>31</v>
      </c>
      <c r="D221" s="4" t="s">
        <v>24</v>
      </c>
      <c r="E221" s="20" t="str">
        <f t="shared" si="9"/>
        <v>DF</v>
      </c>
      <c r="F221" s="16" t="str">
        <f t="shared" si="10"/>
        <v>RC</v>
      </c>
      <c r="G221" s="21" t="str">
        <f t="shared" si="11"/>
        <v>B</v>
      </c>
    </row>
    <row r="222" spans="2:7" x14ac:dyDescent="0.25">
      <c r="B222" s="7" t="s">
        <v>418</v>
      </c>
      <c r="C222" s="8" t="s">
        <v>419</v>
      </c>
      <c r="D222" s="4" t="s">
        <v>74</v>
      </c>
      <c r="E222" s="20" t="str">
        <f t="shared" si="9"/>
        <v>DF</v>
      </c>
      <c r="F222" s="16" t="str">
        <f t="shared" si="10"/>
        <v>RC</v>
      </c>
      <c r="G222" s="21" t="str">
        <f t="shared" si="11"/>
        <v>D</v>
      </c>
    </row>
    <row r="223" spans="2:7" x14ac:dyDescent="0.25">
      <c r="B223" s="7" t="s">
        <v>420</v>
      </c>
      <c r="C223" s="8" t="s">
        <v>31</v>
      </c>
      <c r="D223" s="4" t="s">
        <v>69</v>
      </c>
      <c r="E223" s="20" t="str">
        <f t="shared" si="9"/>
        <v>DF</v>
      </c>
      <c r="F223" s="16" t="str">
        <f t="shared" si="10"/>
        <v>RC</v>
      </c>
      <c r="G223" s="21" t="str">
        <f t="shared" si="11"/>
        <v>P</v>
      </c>
    </row>
    <row r="224" spans="2:7" x14ac:dyDescent="0.25">
      <c r="B224" s="7" t="s">
        <v>421</v>
      </c>
      <c r="C224" s="8" t="s">
        <v>422</v>
      </c>
      <c r="D224" s="4" t="s">
        <v>78</v>
      </c>
      <c r="E224" s="20" t="str">
        <f t="shared" si="9"/>
        <v>DF</v>
      </c>
      <c r="F224" s="16" t="str">
        <f t="shared" si="10"/>
        <v>RC</v>
      </c>
      <c r="G224" s="21" t="str">
        <f t="shared" si="11"/>
        <v>V</v>
      </c>
    </row>
    <row r="225" spans="2:7" x14ac:dyDescent="0.25">
      <c r="B225" s="7" t="s">
        <v>423</v>
      </c>
      <c r="C225" s="8" t="s">
        <v>424</v>
      </c>
      <c r="D225" s="4" t="s">
        <v>24</v>
      </c>
      <c r="E225" s="20" t="str">
        <f t="shared" si="9"/>
        <v>DF</v>
      </c>
      <c r="F225" s="16" t="str">
        <f t="shared" si="10"/>
        <v>RF</v>
      </c>
      <c r="G225" s="21" t="str">
        <f t="shared" si="11"/>
        <v>B</v>
      </c>
    </row>
    <row r="226" spans="2:7" x14ac:dyDescent="0.25">
      <c r="B226" s="7" t="s">
        <v>425</v>
      </c>
      <c r="C226" s="8" t="s">
        <v>426</v>
      </c>
      <c r="D226" s="4" t="s">
        <v>24</v>
      </c>
      <c r="E226" s="20" t="str">
        <f t="shared" si="9"/>
        <v>DF</v>
      </c>
      <c r="F226" s="16" t="str">
        <f t="shared" si="10"/>
        <v>RS</v>
      </c>
      <c r="G226" s="21" t="str">
        <f t="shared" si="11"/>
        <v>B</v>
      </c>
    </row>
    <row r="227" spans="2:7" x14ac:dyDescent="0.25">
      <c r="B227" s="7" t="s">
        <v>427</v>
      </c>
      <c r="C227" s="8" t="s">
        <v>428</v>
      </c>
      <c r="D227" s="4" t="s">
        <v>24</v>
      </c>
      <c r="E227" s="20" t="str">
        <f t="shared" si="9"/>
        <v>DF</v>
      </c>
      <c r="F227" s="16" t="str">
        <f t="shared" si="10"/>
        <v>SC</v>
      </c>
      <c r="G227" s="21" t="str">
        <f t="shared" si="11"/>
        <v>B</v>
      </c>
    </row>
    <row r="228" spans="2:7" x14ac:dyDescent="0.25">
      <c r="B228" s="7" t="s">
        <v>429</v>
      </c>
      <c r="C228" s="8" t="s">
        <v>430</v>
      </c>
      <c r="D228" s="4" t="s">
        <v>24</v>
      </c>
      <c r="E228" s="20" t="str">
        <f t="shared" si="9"/>
        <v>DF</v>
      </c>
      <c r="F228" s="16" t="str">
        <f t="shared" si="10"/>
        <v>TC</v>
      </c>
      <c r="G228" s="21" t="str">
        <f t="shared" si="11"/>
        <v>B</v>
      </c>
    </row>
    <row r="229" spans="2:7" x14ac:dyDescent="0.25">
      <c r="B229" s="7" t="s">
        <v>431</v>
      </c>
      <c r="C229" s="8" t="s">
        <v>432</v>
      </c>
      <c r="D229" s="4" t="s">
        <v>74</v>
      </c>
      <c r="E229" s="20" t="str">
        <f t="shared" si="9"/>
        <v>DF</v>
      </c>
      <c r="F229" s="16" t="str">
        <f t="shared" si="10"/>
        <v>TC</v>
      </c>
      <c r="G229" s="21" t="str">
        <f t="shared" si="11"/>
        <v>D</v>
      </c>
    </row>
    <row r="230" spans="2:7" x14ac:dyDescent="0.25">
      <c r="B230" s="7" t="s">
        <v>433</v>
      </c>
      <c r="C230" s="8" t="s">
        <v>434</v>
      </c>
      <c r="D230" s="4" t="s">
        <v>154</v>
      </c>
      <c r="E230" s="20" t="str">
        <f t="shared" si="9"/>
        <v>DF</v>
      </c>
      <c r="F230" s="16" t="str">
        <f t="shared" si="10"/>
        <v>TC</v>
      </c>
      <c r="G230" s="21" t="str">
        <f t="shared" si="11"/>
        <v>K</v>
      </c>
    </row>
    <row r="231" spans="2:7" x14ac:dyDescent="0.25">
      <c r="B231" s="7" t="s">
        <v>435</v>
      </c>
      <c r="C231" s="8" t="s">
        <v>430</v>
      </c>
      <c r="D231" s="4" t="s">
        <v>69</v>
      </c>
      <c r="E231" s="20" t="str">
        <f t="shared" si="9"/>
        <v>DF</v>
      </c>
      <c r="F231" s="16" t="str">
        <f t="shared" si="10"/>
        <v>TC</v>
      </c>
      <c r="G231" s="21" t="str">
        <f t="shared" si="11"/>
        <v>P</v>
      </c>
    </row>
    <row r="232" spans="2:7" x14ac:dyDescent="0.25">
      <c r="B232" s="7" t="s">
        <v>436</v>
      </c>
      <c r="C232" s="8" t="s">
        <v>437</v>
      </c>
      <c r="D232" s="4" t="s">
        <v>78</v>
      </c>
      <c r="E232" s="20" t="str">
        <f t="shared" si="9"/>
        <v>DF</v>
      </c>
      <c r="F232" s="16" t="str">
        <f t="shared" si="10"/>
        <v>TC</v>
      </c>
      <c r="G232" s="21" t="str">
        <f t="shared" si="11"/>
        <v>V</v>
      </c>
    </row>
    <row r="233" spans="2:7" x14ac:dyDescent="0.25">
      <c r="B233" s="7" t="s">
        <v>438</v>
      </c>
      <c r="C233" s="8" t="s">
        <v>439</v>
      </c>
      <c r="D233" s="4" t="s">
        <v>24</v>
      </c>
      <c r="E233" s="20" t="str">
        <f t="shared" si="9"/>
        <v>DF</v>
      </c>
      <c r="F233" s="16" t="str">
        <f t="shared" si="10"/>
        <v>TX</v>
      </c>
      <c r="G233" s="21" t="str">
        <f t="shared" si="11"/>
        <v>B</v>
      </c>
    </row>
    <row r="234" spans="2:7" x14ac:dyDescent="0.25">
      <c r="B234" s="7" t="s">
        <v>440</v>
      </c>
      <c r="C234" s="8" t="s">
        <v>441</v>
      </c>
      <c r="D234" s="4" t="s">
        <v>74</v>
      </c>
      <c r="E234" s="20" t="str">
        <f t="shared" si="9"/>
        <v>DF</v>
      </c>
      <c r="F234" s="16" t="str">
        <f t="shared" si="10"/>
        <v>TX</v>
      </c>
      <c r="G234" s="21" t="str">
        <f t="shared" si="11"/>
        <v>D</v>
      </c>
    </row>
    <row r="235" spans="2:7" x14ac:dyDescent="0.25">
      <c r="B235" s="7" t="s">
        <v>442</v>
      </c>
      <c r="C235" s="8" t="s">
        <v>439</v>
      </c>
      <c r="D235" s="4" t="s">
        <v>69</v>
      </c>
      <c r="E235" s="20" t="str">
        <f t="shared" si="9"/>
        <v>DF</v>
      </c>
      <c r="F235" s="16" t="str">
        <f t="shared" si="10"/>
        <v>TX</v>
      </c>
      <c r="G235" s="21" t="str">
        <f t="shared" si="11"/>
        <v>P</v>
      </c>
    </row>
    <row r="236" spans="2:7" x14ac:dyDescent="0.25">
      <c r="B236" s="7" t="s">
        <v>443</v>
      </c>
      <c r="C236" s="8" t="s">
        <v>444</v>
      </c>
      <c r="D236" s="4" t="s">
        <v>78</v>
      </c>
      <c r="E236" s="20" t="str">
        <f t="shared" si="9"/>
        <v>DF</v>
      </c>
      <c r="F236" s="16" t="str">
        <f t="shared" si="10"/>
        <v>TX</v>
      </c>
      <c r="G236" s="21" t="str">
        <f t="shared" si="11"/>
        <v>V</v>
      </c>
    </row>
    <row r="237" spans="2:7" x14ac:dyDescent="0.25">
      <c r="B237" s="7" t="s">
        <v>445</v>
      </c>
      <c r="C237" s="8" t="s">
        <v>446</v>
      </c>
      <c r="D237" s="4" t="s">
        <v>24</v>
      </c>
      <c r="E237" s="20" t="str">
        <f t="shared" si="9"/>
        <v>DK</v>
      </c>
      <c r="F237" s="16" t="str">
        <f t="shared" si="10"/>
        <v>EI</v>
      </c>
      <c r="G237" s="21" t="str">
        <f t="shared" si="11"/>
        <v>B</v>
      </c>
    </row>
    <row r="238" spans="2:7" x14ac:dyDescent="0.25">
      <c r="B238" s="7" t="s">
        <v>447</v>
      </c>
      <c r="C238" s="8" t="s">
        <v>448</v>
      </c>
      <c r="D238" s="4" t="s">
        <v>74</v>
      </c>
      <c r="E238" s="20" t="str">
        <f t="shared" si="9"/>
        <v>DK</v>
      </c>
      <c r="F238" s="16" t="str">
        <f t="shared" si="10"/>
        <v>EI</v>
      </c>
      <c r="G238" s="21" t="str">
        <f t="shared" si="11"/>
        <v>D</v>
      </c>
    </row>
    <row r="239" spans="2:7" x14ac:dyDescent="0.25">
      <c r="B239" s="7" t="s">
        <v>449</v>
      </c>
      <c r="C239" s="8" t="s">
        <v>446</v>
      </c>
      <c r="D239" s="4" t="s">
        <v>69</v>
      </c>
      <c r="E239" s="20" t="str">
        <f t="shared" si="9"/>
        <v>DK</v>
      </c>
      <c r="F239" s="16" t="str">
        <f t="shared" si="10"/>
        <v>EI</v>
      </c>
      <c r="G239" s="21" t="str">
        <f t="shared" si="11"/>
        <v>P</v>
      </c>
    </row>
    <row r="240" spans="2:7" x14ac:dyDescent="0.25">
      <c r="B240" s="7" t="s">
        <v>450</v>
      </c>
      <c r="C240" s="8" t="s">
        <v>451</v>
      </c>
      <c r="D240" s="4" t="s">
        <v>78</v>
      </c>
      <c r="E240" s="20" t="str">
        <f t="shared" si="9"/>
        <v>DK</v>
      </c>
      <c r="F240" s="16" t="str">
        <f t="shared" si="10"/>
        <v>EI</v>
      </c>
      <c r="G240" s="21" t="str">
        <f t="shared" si="11"/>
        <v>V</v>
      </c>
    </row>
    <row r="241" spans="2:7" x14ac:dyDescent="0.25">
      <c r="B241" s="7" t="s">
        <v>452</v>
      </c>
      <c r="C241" s="8" t="s">
        <v>453</v>
      </c>
      <c r="D241" s="4" t="s">
        <v>24</v>
      </c>
      <c r="E241" s="20" t="str">
        <f t="shared" si="9"/>
        <v>DM</v>
      </c>
      <c r="F241" s="16" t="str">
        <f t="shared" si="10"/>
        <v>AC</v>
      </c>
      <c r="G241" s="21" t="str">
        <f t="shared" si="11"/>
        <v>B</v>
      </c>
    </row>
    <row r="242" spans="2:7" x14ac:dyDescent="0.25">
      <c r="B242" s="7" t="s">
        <v>454</v>
      </c>
      <c r="C242" s="8" t="s">
        <v>453</v>
      </c>
      <c r="D242" s="4" t="s">
        <v>69</v>
      </c>
      <c r="E242" s="20" t="str">
        <f t="shared" si="9"/>
        <v>DM</v>
      </c>
      <c r="F242" s="16" t="str">
        <f t="shared" si="10"/>
        <v>AC</v>
      </c>
      <c r="G242" s="21" t="str">
        <f t="shared" si="11"/>
        <v>P</v>
      </c>
    </row>
    <row r="243" spans="2:7" x14ac:dyDescent="0.25">
      <c r="B243" s="7" t="s">
        <v>455</v>
      </c>
      <c r="C243" s="8" t="s">
        <v>456</v>
      </c>
      <c r="D243" s="4" t="s">
        <v>24</v>
      </c>
      <c r="E243" s="20" t="str">
        <f t="shared" si="9"/>
        <v>DM</v>
      </c>
      <c r="F243" s="16" t="str">
        <f t="shared" si="10"/>
        <v>CC</v>
      </c>
      <c r="G243" s="21" t="str">
        <f t="shared" si="11"/>
        <v>B</v>
      </c>
    </row>
    <row r="244" spans="2:7" x14ac:dyDescent="0.25">
      <c r="B244" s="7" t="s">
        <v>457</v>
      </c>
      <c r="C244" s="8" t="s">
        <v>456</v>
      </c>
      <c r="D244" s="4" t="s">
        <v>69</v>
      </c>
      <c r="E244" s="20" t="str">
        <f t="shared" si="9"/>
        <v>DM</v>
      </c>
      <c r="F244" s="16" t="str">
        <f t="shared" si="10"/>
        <v>CC</v>
      </c>
      <c r="G244" s="21" t="str">
        <f t="shared" si="11"/>
        <v>P</v>
      </c>
    </row>
    <row r="245" spans="2:7" x14ac:dyDescent="0.25">
      <c r="B245" s="7" t="s">
        <v>458</v>
      </c>
      <c r="C245" s="8" t="s">
        <v>459</v>
      </c>
      <c r="D245" s="4" t="s">
        <v>24</v>
      </c>
      <c r="E245" s="20" t="str">
        <f t="shared" si="9"/>
        <v>DM</v>
      </c>
      <c r="F245" s="16" t="str">
        <f t="shared" si="10"/>
        <v>EI</v>
      </c>
      <c r="G245" s="21" t="str">
        <f t="shared" si="11"/>
        <v>B</v>
      </c>
    </row>
    <row r="246" spans="2:7" x14ac:dyDescent="0.25">
      <c r="B246" s="7" t="s">
        <v>460</v>
      </c>
      <c r="C246" s="8" t="s">
        <v>459</v>
      </c>
      <c r="D246" s="4" t="s">
        <v>69</v>
      </c>
      <c r="E246" s="20" t="str">
        <f t="shared" si="9"/>
        <v>DM</v>
      </c>
      <c r="F246" s="16" t="str">
        <f t="shared" si="10"/>
        <v>EI</v>
      </c>
      <c r="G246" s="21" t="str">
        <f t="shared" si="11"/>
        <v>P</v>
      </c>
    </row>
    <row r="247" spans="2:7" x14ac:dyDescent="0.25">
      <c r="B247" s="7" t="s">
        <v>461</v>
      </c>
      <c r="C247" s="8" t="s">
        <v>462</v>
      </c>
      <c r="D247" s="4" t="s">
        <v>24</v>
      </c>
      <c r="E247" s="20" t="str">
        <f t="shared" si="9"/>
        <v>DM</v>
      </c>
      <c r="F247" s="16" t="str">
        <f t="shared" si="10"/>
        <v>IC</v>
      </c>
      <c r="G247" s="21" t="str">
        <f t="shared" si="11"/>
        <v>B</v>
      </c>
    </row>
    <row r="248" spans="2:7" x14ac:dyDescent="0.25">
      <c r="B248" s="7" t="s">
        <v>463</v>
      </c>
      <c r="C248" s="8" t="s">
        <v>462</v>
      </c>
      <c r="D248" s="4" t="s">
        <v>69</v>
      </c>
      <c r="E248" s="20" t="str">
        <f t="shared" si="9"/>
        <v>DM</v>
      </c>
      <c r="F248" s="16" t="str">
        <f t="shared" si="10"/>
        <v>IC</v>
      </c>
      <c r="G248" s="21" t="str">
        <f t="shared" si="11"/>
        <v>P</v>
      </c>
    </row>
    <row r="249" spans="2:7" x14ac:dyDescent="0.25">
      <c r="B249" s="7" t="s">
        <v>32</v>
      </c>
      <c r="C249" s="8" t="s">
        <v>33</v>
      </c>
      <c r="D249" s="4" t="s">
        <v>24</v>
      </c>
      <c r="E249" s="20" t="str">
        <f t="shared" si="9"/>
        <v>DM</v>
      </c>
      <c r="F249" s="16" t="str">
        <f t="shared" si="10"/>
        <v>RC</v>
      </c>
      <c r="G249" s="21" t="str">
        <f t="shared" si="11"/>
        <v>B</v>
      </c>
    </row>
    <row r="250" spans="2:7" x14ac:dyDescent="0.25">
      <c r="B250" s="7" t="s">
        <v>464</v>
      </c>
      <c r="C250" s="8" t="s">
        <v>33</v>
      </c>
      <c r="D250" s="4" t="s">
        <v>69</v>
      </c>
      <c r="E250" s="20" t="str">
        <f t="shared" si="9"/>
        <v>DM</v>
      </c>
      <c r="F250" s="16" t="str">
        <f t="shared" si="10"/>
        <v>RC</v>
      </c>
      <c r="G250" s="21" t="str">
        <f t="shared" si="11"/>
        <v>P</v>
      </c>
    </row>
    <row r="251" spans="2:7" x14ac:dyDescent="0.25">
      <c r="B251" s="7" t="s">
        <v>465</v>
      </c>
      <c r="C251" s="8" t="s">
        <v>466</v>
      </c>
      <c r="D251" s="4" t="s">
        <v>24</v>
      </c>
      <c r="E251" s="20" t="str">
        <f t="shared" si="9"/>
        <v>DM</v>
      </c>
      <c r="F251" s="16" t="str">
        <f t="shared" si="10"/>
        <v>TC</v>
      </c>
      <c r="G251" s="21" t="str">
        <f t="shared" si="11"/>
        <v>B</v>
      </c>
    </row>
    <row r="252" spans="2:7" x14ac:dyDescent="0.25">
      <c r="B252" s="7" t="s">
        <v>467</v>
      </c>
      <c r="C252" s="8" t="s">
        <v>468</v>
      </c>
      <c r="D252" s="4" t="s">
        <v>154</v>
      </c>
      <c r="E252" s="20" t="str">
        <f t="shared" si="9"/>
        <v>DM</v>
      </c>
      <c r="F252" s="16" t="str">
        <f t="shared" si="10"/>
        <v>TC</v>
      </c>
      <c r="G252" s="21" t="str">
        <f t="shared" si="11"/>
        <v>K</v>
      </c>
    </row>
    <row r="253" spans="2:7" x14ac:dyDescent="0.25">
      <c r="B253" s="7" t="s">
        <v>469</v>
      </c>
      <c r="C253" s="8" t="s">
        <v>466</v>
      </c>
      <c r="D253" s="4" t="s">
        <v>69</v>
      </c>
      <c r="E253" s="20" t="str">
        <f t="shared" si="9"/>
        <v>DM</v>
      </c>
      <c r="F253" s="16" t="str">
        <f t="shared" si="10"/>
        <v>TC</v>
      </c>
      <c r="G253" s="21" t="str">
        <f t="shared" si="11"/>
        <v>P</v>
      </c>
    </row>
    <row r="254" spans="2:7" x14ac:dyDescent="0.25">
      <c r="B254" s="7" t="s">
        <v>470</v>
      </c>
      <c r="C254" s="8" t="s">
        <v>471</v>
      </c>
      <c r="D254" s="4" t="s">
        <v>24</v>
      </c>
      <c r="E254" s="20" t="str">
        <f t="shared" si="9"/>
        <v>EL</v>
      </c>
      <c r="F254" s="16" t="str">
        <f t="shared" si="10"/>
        <v>EX</v>
      </c>
      <c r="G254" s="21" t="str">
        <f t="shared" si="11"/>
        <v>B</v>
      </c>
    </row>
    <row r="255" spans="2:7" x14ac:dyDescent="0.25">
      <c r="B255" s="7" t="s">
        <v>472</v>
      </c>
      <c r="C255" s="8" t="s">
        <v>473</v>
      </c>
      <c r="D255" s="4" t="s">
        <v>74</v>
      </c>
      <c r="E255" s="20" t="str">
        <f t="shared" si="9"/>
        <v>EL</v>
      </c>
      <c r="F255" s="16" t="str">
        <f t="shared" si="10"/>
        <v>EX</v>
      </c>
      <c r="G255" s="21" t="str">
        <f t="shared" si="11"/>
        <v>D</v>
      </c>
    </row>
    <row r="256" spans="2:7" x14ac:dyDescent="0.25">
      <c r="B256" s="7" t="s">
        <v>474</v>
      </c>
      <c r="C256" s="8" t="s">
        <v>471</v>
      </c>
      <c r="D256" s="4" t="s">
        <v>241</v>
      </c>
      <c r="E256" s="20" t="str">
        <f t="shared" si="9"/>
        <v>EL</v>
      </c>
      <c r="F256" s="16" t="str">
        <f t="shared" si="10"/>
        <v>EX</v>
      </c>
      <c r="G256" s="21" t="str">
        <f t="shared" si="11"/>
        <v>P</v>
      </c>
    </row>
    <row r="257" spans="2:7" x14ac:dyDescent="0.25">
      <c r="B257" s="7" t="s">
        <v>475</v>
      </c>
      <c r="C257" s="8" t="s">
        <v>476</v>
      </c>
      <c r="D257" s="4" t="s">
        <v>78</v>
      </c>
      <c r="E257" s="20" t="str">
        <f t="shared" si="9"/>
        <v>EL</v>
      </c>
      <c r="F257" s="16" t="str">
        <f t="shared" si="10"/>
        <v>EX</v>
      </c>
      <c r="G257" s="21" t="str">
        <f t="shared" si="11"/>
        <v>V</v>
      </c>
    </row>
    <row r="258" spans="2:7" x14ac:dyDescent="0.25">
      <c r="B258" s="7" t="s">
        <v>477</v>
      </c>
      <c r="C258" s="8" t="s">
        <v>478</v>
      </c>
      <c r="D258" s="4" t="s">
        <v>235</v>
      </c>
      <c r="E258" s="20" t="str">
        <f t="shared" si="9"/>
        <v>EL</v>
      </c>
      <c r="F258" s="16" t="str">
        <f t="shared" si="10"/>
        <v>GB</v>
      </c>
      <c r="G258" s="21" t="str">
        <f t="shared" si="11"/>
        <v>P</v>
      </c>
    </row>
    <row r="259" spans="2:7" x14ac:dyDescent="0.25">
      <c r="B259" s="7" t="s">
        <v>479</v>
      </c>
      <c r="C259" s="8" t="s">
        <v>480</v>
      </c>
      <c r="D259" s="4" t="s">
        <v>24</v>
      </c>
      <c r="E259" s="20" t="str">
        <f t="shared" si="9"/>
        <v>EL</v>
      </c>
      <c r="F259" s="16" t="str">
        <f t="shared" si="10"/>
        <v>IM</v>
      </c>
      <c r="G259" s="21" t="str">
        <f t="shared" si="11"/>
        <v>B</v>
      </c>
    </row>
    <row r="260" spans="2:7" x14ac:dyDescent="0.25">
      <c r="B260" s="7" t="s">
        <v>481</v>
      </c>
      <c r="C260" s="8" t="s">
        <v>482</v>
      </c>
      <c r="D260" s="4" t="s">
        <v>74</v>
      </c>
      <c r="E260" s="20" t="str">
        <f t="shared" si="9"/>
        <v>EL</v>
      </c>
      <c r="F260" s="16" t="str">
        <f t="shared" si="10"/>
        <v>IM</v>
      </c>
      <c r="G260" s="21" t="str">
        <f t="shared" si="11"/>
        <v>D</v>
      </c>
    </row>
    <row r="261" spans="2:7" x14ac:dyDescent="0.25">
      <c r="B261" s="7" t="s">
        <v>483</v>
      </c>
      <c r="C261" s="8" t="s">
        <v>480</v>
      </c>
      <c r="D261" s="4" t="s">
        <v>241</v>
      </c>
      <c r="E261" s="20" t="str">
        <f t="shared" si="9"/>
        <v>EL</v>
      </c>
      <c r="F261" s="16" t="str">
        <f t="shared" si="10"/>
        <v>IM</v>
      </c>
      <c r="G261" s="21" t="str">
        <f t="shared" si="11"/>
        <v>P</v>
      </c>
    </row>
    <row r="262" spans="2:7" x14ac:dyDescent="0.25">
      <c r="B262" s="7" t="s">
        <v>484</v>
      </c>
      <c r="C262" s="8" t="s">
        <v>485</v>
      </c>
      <c r="D262" s="4" t="s">
        <v>78</v>
      </c>
      <c r="E262" s="20" t="str">
        <f t="shared" si="9"/>
        <v>EL</v>
      </c>
      <c r="F262" s="16" t="str">
        <f t="shared" si="10"/>
        <v>IM</v>
      </c>
      <c r="G262" s="21" t="str">
        <f t="shared" si="11"/>
        <v>V</v>
      </c>
    </row>
    <row r="263" spans="2:7" x14ac:dyDescent="0.25">
      <c r="B263" s="7" t="s">
        <v>486</v>
      </c>
      <c r="C263" s="8" t="s">
        <v>487</v>
      </c>
      <c r="D263" s="4" t="s">
        <v>24</v>
      </c>
      <c r="E263" s="20" t="str">
        <f t="shared" si="9"/>
        <v>EL</v>
      </c>
      <c r="F263" s="16" t="str">
        <f t="shared" si="10"/>
        <v>IS</v>
      </c>
      <c r="G263" s="21" t="str">
        <f t="shared" si="11"/>
        <v>B</v>
      </c>
    </row>
    <row r="264" spans="2:7" x14ac:dyDescent="0.25">
      <c r="B264" s="7" t="s">
        <v>488</v>
      </c>
      <c r="C264" s="8" t="s">
        <v>489</v>
      </c>
      <c r="D264" s="4" t="s">
        <v>241</v>
      </c>
      <c r="E264" s="20" t="str">
        <f t="shared" si="9"/>
        <v>EL</v>
      </c>
      <c r="F264" s="16" t="str">
        <f t="shared" si="10"/>
        <v>IS</v>
      </c>
      <c r="G264" s="21" t="str">
        <f t="shared" si="11"/>
        <v>P</v>
      </c>
    </row>
    <row r="265" spans="2:7" x14ac:dyDescent="0.25">
      <c r="B265" s="7" t="s">
        <v>490</v>
      </c>
      <c r="C265" s="8" t="s">
        <v>491</v>
      </c>
      <c r="D265" s="4" t="s">
        <v>24</v>
      </c>
      <c r="E265" s="20" t="str">
        <f t="shared" si="9"/>
        <v>EL</v>
      </c>
      <c r="F265" s="16" t="str">
        <f t="shared" si="10"/>
        <v>NI</v>
      </c>
      <c r="G265" s="21" t="str">
        <f t="shared" si="11"/>
        <v>B</v>
      </c>
    </row>
    <row r="266" spans="2:7" x14ac:dyDescent="0.25">
      <c r="B266" s="7" t="s">
        <v>492</v>
      </c>
      <c r="C266" s="8" t="s">
        <v>491</v>
      </c>
      <c r="D266" s="4" t="s">
        <v>241</v>
      </c>
      <c r="E266" s="20" t="str">
        <f t="shared" si="9"/>
        <v>EL</v>
      </c>
      <c r="F266" s="16" t="str">
        <f t="shared" si="10"/>
        <v>NI</v>
      </c>
      <c r="G266" s="21" t="str">
        <f t="shared" si="11"/>
        <v>P</v>
      </c>
    </row>
    <row r="267" spans="2:7" x14ac:dyDescent="0.25">
      <c r="B267" s="7" t="s">
        <v>493</v>
      </c>
      <c r="C267" s="8" t="s">
        <v>494</v>
      </c>
      <c r="D267" s="4" t="s">
        <v>238</v>
      </c>
      <c r="E267" s="20" t="str">
        <f t="shared" si="9"/>
        <v>EL</v>
      </c>
      <c r="F267" s="16" t="str">
        <f t="shared" si="10"/>
        <v>VH</v>
      </c>
      <c r="G267" s="21" t="str">
        <f t="shared" si="11"/>
        <v>N</v>
      </c>
    </row>
    <row r="268" spans="2:7" x14ac:dyDescent="0.25">
      <c r="B268" s="7" t="s">
        <v>495</v>
      </c>
      <c r="C268" s="8" t="s">
        <v>496</v>
      </c>
      <c r="D268" s="4" t="s">
        <v>204</v>
      </c>
      <c r="E268" s="20" t="str">
        <f t="shared" si="9"/>
        <v>EL</v>
      </c>
      <c r="F268" s="16" t="str">
        <f t="shared" si="10"/>
        <v>VH</v>
      </c>
      <c r="G268" s="21" t="str">
        <f t="shared" si="11"/>
        <v>S</v>
      </c>
    </row>
    <row r="269" spans="2:7" x14ac:dyDescent="0.25">
      <c r="B269" s="7" t="s">
        <v>497</v>
      </c>
      <c r="C269" s="8" t="s">
        <v>498</v>
      </c>
      <c r="D269" s="4" t="s">
        <v>24</v>
      </c>
      <c r="E269" s="20" t="str">
        <f t="shared" si="9"/>
        <v>EM</v>
      </c>
      <c r="F269" s="16" t="str">
        <f t="shared" si="10"/>
        <v>AC</v>
      </c>
      <c r="G269" s="21" t="str">
        <f t="shared" si="11"/>
        <v>B</v>
      </c>
    </row>
    <row r="270" spans="2:7" x14ac:dyDescent="0.25">
      <c r="B270" s="7" t="s">
        <v>499</v>
      </c>
      <c r="C270" s="8" t="s">
        <v>500</v>
      </c>
      <c r="D270" s="4" t="s">
        <v>78</v>
      </c>
      <c r="E270" s="20" t="str">
        <f t="shared" si="9"/>
        <v>EM</v>
      </c>
      <c r="F270" s="16" t="str">
        <f t="shared" si="10"/>
        <v>AC</v>
      </c>
      <c r="G270" s="21" t="str">
        <f t="shared" si="11"/>
        <v>V</v>
      </c>
    </row>
    <row r="271" spans="2:7" x14ac:dyDescent="0.25">
      <c r="B271" s="7" t="s">
        <v>501</v>
      </c>
      <c r="C271" s="8" t="s">
        <v>502</v>
      </c>
      <c r="D271" s="4" t="s">
        <v>24</v>
      </c>
      <c r="E271" s="20" t="str">
        <f t="shared" si="9"/>
        <v>EM</v>
      </c>
      <c r="F271" s="16" t="str">
        <f t="shared" si="10"/>
        <v>CC</v>
      </c>
      <c r="G271" s="21" t="str">
        <f t="shared" si="11"/>
        <v>B</v>
      </c>
    </row>
    <row r="272" spans="2:7" x14ac:dyDescent="0.25">
      <c r="B272" s="7" t="s">
        <v>503</v>
      </c>
      <c r="C272" s="8" t="s">
        <v>504</v>
      </c>
      <c r="D272" s="4" t="s">
        <v>78</v>
      </c>
      <c r="E272" s="20" t="str">
        <f t="shared" ref="E272:E335" si="12">LEFT(B272,2)</f>
        <v>EM</v>
      </c>
      <c r="F272" s="16" t="str">
        <f t="shared" ref="F272:F335" si="13">MID(B272,3,2)</f>
        <v>CC</v>
      </c>
      <c r="G272" s="21" t="str">
        <f t="shared" ref="G272:G335" si="14">RIGHT(B272,1)</f>
        <v>V</v>
      </c>
    </row>
    <row r="273" spans="2:7" x14ac:dyDescent="0.25">
      <c r="B273" s="7" t="s">
        <v>505</v>
      </c>
      <c r="C273" s="8" t="s">
        <v>506</v>
      </c>
      <c r="D273" s="4" t="s">
        <v>24</v>
      </c>
      <c r="E273" s="20" t="str">
        <f t="shared" si="12"/>
        <v>EM</v>
      </c>
      <c r="F273" s="16" t="str">
        <f t="shared" si="13"/>
        <v>FD</v>
      </c>
      <c r="G273" s="21" t="str">
        <f t="shared" si="14"/>
        <v>B</v>
      </c>
    </row>
    <row r="274" spans="2:7" x14ac:dyDescent="0.25">
      <c r="B274" s="7" t="s">
        <v>507</v>
      </c>
      <c r="C274" s="8" t="s">
        <v>508</v>
      </c>
      <c r="D274" s="4" t="s">
        <v>24</v>
      </c>
      <c r="E274" s="20" t="str">
        <f t="shared" si="12"/>
        <v>EM</v>
      </c>
      <c r="F274" s="16" t="str">
        <f t="shared" si="13"/>
        <v>IC</v>
      </c>
      <c r="G274" s="21" t="str">
        <f t="shared" si="14"/>
        <v>B</v>
      </c>
    </row>
    <row r="275" spans="2:7" x14ac:dyDescent="0.25">
      <c r="B275" s="7" t="s">
        <v>509</v>
      </c>
      <c r="C275" s="8" t="s">
        <v>510</v>
      </c>
      <c r="D275" s="4" t="s">
        <v>78</v>
      </c>
      <c r="E275" s="20" t="str">
        <f t="shared" si="12"/>
        <v>EM</v>
      </c>
      <c r="F275" s="16" t="str">
        <f t="shared" si="13"/>
        <v>IC</v>
      </c>
      <c r="G275" s="21" t="str">
        <f t="shared" si="14"/>
        <v>V</v>
      </c>
    </row>
    <row r="276" spans="2:7" x14ac:dyDescent="0.25">
      <c r="B276" s="7" t="s">
        <v>511</v>
      </c>
      <c r="C276" s="8" t="s">
        <v>512</v>
      </c>
      <c r="D276" s="4" t="s">
        <v>24</v>
      </c>
      <c r="E276" s="20" t="str">
        <f t="shared" si="12"/>
        <v>EM</v>
      </c>
      <c r="F276" s="16" t="str">
        <f t="shared" si="13"/>
        <v>LC</v>
      </c>
      <c r="G276" s="21" t="str">
        <f t="shared" si="14"/>
        <v>B</v>
      </c>
    </row>
    <row r="277" spans="2:7" x14ac:dyDescent="0.25">
      <c r="B277" s="7" t="s">
        <v>513</v>
      </c>
      <c r="C277" s="8" t="s">
        <v>514</v>
      </c>
      <c r="D277" s="4" t="s">
        <v>24</v>
      </c>
      <c r="E277" s="20" t="str">
        <f t="shared" si="12"/>
        <v>EM</v>
      </c>
      <c r="F277" s="16" t="str">
        <f t="shared" si="13"/>
        <v>TC</v>
      </c>
      <c r="G277" s="21" t="str">
        <f t="shared" si="14"/>
        <v>B</v>
      </c>
    </row>
    <row r="278" spans="2:7" x14ac:dyDescent="0.25">
      <c r="B278" s="7" t="s">
        <v>515</v>
      </c>
      <c r="C278" s="8" t="s">
        <v>516</v>
      </c>
      <c r="D278" s="4" t="s">
        <v>78</v>
      </c>
      <c r="E278" s="20" t="str">
        <f t="shared" si="12"/>
        <v>EM</v>
      </c>
      <c r="F278" s="16" t="str">
        <f t="shared" si="13"/>
        <v>TC</v>
      </c>
      <c r="G278" s="21" t="str">
        <f t="shared" si="14"/>
        <v>V</v>
      </c>
    </row>
    <row r="279" spans="2:7" x14ac:dyDescent="0.25">
      <c r="B279" s="7" t="s">
        <v>517</v>
      </c>
      <c r="C279" s="8" t="s">
        <v>518</v>
      </c>
      <c r="D279" s="4" t="s">
        <v>69</v>
      </c>
      <c r="E279" s="20" t="str">
        <f t="shared" si="12"/>
        <v>EN</v>
      </c>
      <c r="F279" s="16" t="str">
        <f t="shared" si="13"/>
        <v>AC</v>
      </c>
      <c r="G279" s="21" t="str">
        <f t="shared" si="14"/>
        <v>P</v>
      </c>
    </row>
    <row r="280" spans="2:7" x14ac:dyDescent="0.25">
      <c r="B280" s="7" t="s">
        <v>519</v>
      </c>
      <c r="C280" s="8" t="s">
        <v>520</v>
      </c>
      <c r="D280" s="4" t="s">
        <v>69</v>
      </c>
      <c r="E280" s="20" t="str">
        <f t="shared" si="12"/>
        <v>EN</v>
      </c>
      <c r="F280" s="16" t="str">
        <f t="shared" si="13"/>
        <v>CC</v>
      </c>
      <c r="G280" s="21" t="str">
        <f t="shared" si="14"/>
        <v>P</v>
      </c>
    </row>
    <row r="281" spans="2:7" x14ac:dyDescent="0.25">
      <c r="B281" s="7" t="s">
        <v>521</v>
      </c>
      <c r="C281" s="8" t="s">
        <v>522</v>
      </c>
      <c r="D281" s="4" t="s">
        <v>69</v>
      </c>
      <c r="E281" s="20" t="str">
        <f t="shared" si="12"/>
        <v>EN</v>
      </c>
      <c r="F281" s="16" t="str">
        <f t="shared" si="13"/>
        <v>IC</v>
      </c>
      <c r="G281" s="21" t="str">
        <f t="shared" si="14"/>
        <v>P</v>
      </c>
    </row>
    <row r="282" spans="2:7" x14ac:dyDescent="0.25">
      <c r="B282" s="7" t="s">
        <v>523</v>
      </c>
      <c r="C282" s="8" t="s">
        <v>524</v>
      </c>
      <c r="D282" s="4" t="s">
        <v>69</v>
      </c>
      <c r="E282" s="20" t="str">
        <f t="shared" si="12"/>
        <v>EN</v>
      </c>
      <c r="F282" s="16" t="str">
        <f t="shared" si="13"/>
        <v>PR</v>
      </c>
      <c r="G282" s="21" t="str">
        <f t="shared" si="14"/>
        <v>P</v>
      </c>
    </row>
    <row r="283" spans="2:7" x14ac:dyDescent="0.25">
      <c r="B283" s="7" t="s">
        <v>525</v>
      </c>
      <c r="C283" s="8" t="s">
        <v>526</v>
      </c>
      <c r="D283" s="4" t="s">
        <v>154</v>
      </c>
      <c r="E283" s="20" t="str">
        <f t="shared" si="12"/>
        <v>EN</v>
      </c>
      <c r="F283" s="16" t="str">
        <f t="shared" si="13"/>
        <v>TC</v>
      </c>
      <c r="G283" s="21" t="str">
        <f t="shared" si="14"/>
        <v>K</v>
      </c>
    </row>
    <row r="284" spans="2:7" x14ac:dyDescent="0.25">
      <c r="B284" s="7" t="s">
        <v>527</v>
      </c>
      <c r="C284" s="8" t="s">
        <v>528</v>
      </c>
      <c r="D284" s="4" t="s">
        <v>69</v>
      </c>
      <c r="E284" s="20" t="str">
        <f t="shared" si="12"/>
        <v>EN</v>
      </c>
      <c r="F284" s="16" t="str">
        <f t="shared" si="13"/>
        <v>TC</v>
      </c>
      <c r="G284" s="21" t="str">
        <f t="shared" si="14"/>
        <v>P</v>
      </c>
    </row>
    <row r="285" spans="2:7" x14ac:dyDescent="0.25">
      <c r="B285" s="7" t="s">
        <v>529</v>
      </c>
      <c r="C285" s="8" t="s">
        <v>530</v>
      </c>
      <c r="D285" s="4" t="s">
        <v>24</v>
      </c>
      <c r="E285" s="20" t="str">
        <f t="shared" si="12"/>
        <v>EQ</v>
      </c>
      <c r="F285" s="16" t="str">
        <f t="shared" si="13"/>
        <v>IC</v>
      </c>
      <c r="G285" s="21" t="str">
        <f t="shared" si="14"/>
        <v>B</v>
      </c>
    </row>
    <row r="286" spans="2:7" x14ac:dyDescent="0.25">
      <c r="B286" s="7" t="s">
        <v>531</v>
      </c>
      <c r="C286" s="8" t="s">
        <v>530</v>
      </c>
      <c r="D286" s="4" t="s">
        <v>69</v>
      </c>
      <c r="E286" s="20" t="str">
        <f t="shared" si="12"/>
        <v>EQ</v>
      </c>
      <c r="F286" s="16" t="str">
        <f t="shared" si="13"/>
        <v>IC</v>
      </c>
      <c r="G286" s="21" t="str">
        <f t="shared" si="14"/>
        <v>P</v>
      </c>
    </row>
    <row r="287" spans="2:7" x14ac:dyDescent="0.25">
      <c r="B287" s="7" t="s">
        <v>532</v>
      </c>
      <c r="C287" s="8" t="s">
        <v>533</v>
      </c>
      <c r="D287" s="4" t="s">
        <v>24</v>
      </c>
      <c r="E287" s="20" t="str">
        <f t="shared" si="12"/>
        <v>EQ</v>
      </c>
      <c r="F287" s="16" t="str">
        <f t="shared" si="13"/>
        <v>TC</v>
      </c>
      <c r="G287" s="21" t="str">
        <f t="shared" si="14"/>
        <v>B</v>
      </c>
    </row>
    <row r="288" spans="2:7" x14ac:dyDescent="0.25">
      <c r="B288" s="7" t="s">
        <v>534</v>
      </c>
      <c r="C288" s="8" t="s">
        <v>533</v>
      </c>
      <c r="D288" s="4" t="s">
        <v>69</v>
      </c>
      <c r="E288" s="20" t="str">
        <f t="shared" si="12"/>
        <v>EQ</v>
      </c>
      <c r="F288" s="16" t="str">
        <f t="shared" si="13"/>
        <v>TC</v>
      </c>
      <c r="G288" s="21" t="str">
        <f t="shared" si="14"/>
        <v>P</v>
      </c>
    </row>
    <row r="289" spans="2:7" x14ac:dyDescent="0.25">
      <c r="B289" s="7" t="s">
        <v>535</v>
      </c>
      <c r="C289" s="8" t="s">
        <v>536</v>
      </c>
      <c r="D289" s="4" t="s">
        <v>24</v>
      </c>
      <c r="E289" s="20" t="str">
        <f t="shared" si="12"/>
        <v>ES</v>
      </c>
      <c r="F289" s="16" t="str">
        <f t="shared" si="13"/>
        <v>AC</v>
      </c>
      <c r="G289" s="21" t="str">
        <f t="shared" si="14"/>
        <v>B</v>
      </c>
    </row>
    <row r="290" spans="2:7" x14ac:dyDescent="0.25">
      <c r="B290" s="7" t="s">
        <v>537</v>
      </c>
      <c r="C290" s="8" t="s">
        <v>538</v>
      </c>
      <c r="D290" s="4" t="s">
        <v>74</v>
      </c>
      <c r="E290" s="20" t="str">
        <f t="shared" si="12"/>
        <v>ES</v>
      </c>
      <c r="F290" s="16" t="str">
        <f t="shared" si="13"/>
        <v>AC</v>
      </c>
      <c r="G290" s="21" t="str">
        <f t="shared" si="14"/>
        <v>D</v>
      </c>
    </row>
    <row r="291" spans="2:7" x14ac:dyDescent="0.25">
      <c r="B291" s="7" t="s">
        <v>539</v>
      </c>
      <c r="C291" s="8" t="s">
        <v>536</v>
      </c>
      <c r="D291" s="4" t="s">
        <v>241</v>
      </c>
      <c r="E291" s="20" t="str">
        <f t="shared" si="12"/>
        <v>ES</v>
      </c>
      <c r="F291" s="16" t="str">
        <f t="shared" si="13"/>
        <v>AC</v>
      </c>
      <c r="G291" s="21" t="str">
        <f t="shared" si="14"/>
        <v>P</v>
      </c>
    </row>
    <row r="292" spans="2:7" x14ac:dyDescent="0.25">
      <c r="B292" s="7" t="s">
        <v>540</v>
      </c>
      <c r="C292" s="8" t="s">
        <v>541</v>
      </c>
      <c r="D292" s="4" t="s">
        <v>78</v>
      </c>
      <c r="E292" s="20" t="str">
        <f t="shared" si="12"/>
        <v>ES</v>
      </c>
      <c r="F292" s="16" t="str">
        <f t="shared" si="13"/>
        <v>AC</v>
      </c>
      <c r="G292" s="21" t="str">
        <f t="shared" si="14"/>
        <v>V</v>
      </c>
    </row>
    <row r="293" spans="2:7" x14ac:dyDescent="0.25">
      <c r="B293" s="7" t="s">
        <v>542</v>
      </c>
      <c r="C293" s="8" t="s">
        <v>543</v>
      </c>
      <c r="D293" s="4" t="s">
        <v>24</v>
      </c>
      <c r="E293" s="20" t="str">
        <f t="shared" si="12"/>
        <v>ES</v>
      </c>
      <c r="F293" s="16" t="str">
        <f t="shared" si="13"/>
        <v>CC</v>
      </c>
      <c r="G293" s="21" t="str">
        <f t="shared" si="14"/>
        <v>B</v>
      </c>
    </row>
    <row r="294" spans="2:7" x14ac:dyDescent="0.25">
      <c r="B294" s="7" t="s">
        <v>544</v>
      </c>
      <c r="C294" s="8" t="s">
        <v>545</v>
      </c>
      <c r="D294" s="4" t="s">
        <v>74</v>
      </c>
      <c r="E294" s="20" t="str">
        <f t="shared" si="12"/>
        <v>ES</v>
      </c>
      <c r="F294" s="16" t="str">
        <f t="shared" si="13"/>
        <v>CC</v>
      </c>
      <c r="G294" s="21" t="str">
        <f t="shared" si="14"/>
        <v>D</v>
      </c>
    </row>
    <row r="295" spans="2:7" x14ac:dyDescent="0.25">
      <c r="B295" s="7" t="s">
        <v>546</v>
      </c>
      <c r="C295" s="8" t="s">
        <v>543</v>
      </c>
      <c r="D295" s="4" t="s">
        <v>241</v>
      </c>
      <c r="E295" s="20" t="str">
        <f t="shared" si="12"/>
        <v>ES</v>
      </c>
      <c r="F295" s="16" t="str">
        <f t="shared" si="13"/>
        <v>CC</v>
      </c>
      <c r="G295" s="21" t="str">
        <f t="shared" si="14"/>
        <v>P</v>
      </c>
    </row>
    <row r="296" spans="2:7" x14ac:dyDescent="0.25">
      <c r="B296" s="7" t="s">
        <v>547</v>
      </c>
      <c r="C296" s="8" t="s">
        <v>548</v>
      </c>
      <c r="D296" s="4" t="s">
        <v>78</v>
      </c>
      <c r="E296" s="20" t="str">
        <f t="shared" si="12"/>
        <v>ES</v>
      </c>
      <c r="F296" s="16" t="str">
        <f t="shared" si="13"/>
        <v>CC</v>
      </c>
      <c r="G296" s="21" t="str">
        <f t="shared" si="14"/>
        <v>V</v>
      </c>
    </row>
    <row r="297" spans="2:7" x14ac:dyDescent="0.25">
      <c r="B297" s="7" t="s">
        <v>549</v>
      </c>
      <c r="C297" s="8" t="s">
        <v>550</v>
      </c>
      <c r="D297" s="4" t="s">
        <v>24</v>
      </c>
      <c r="E297" s="20" t="str">
        <f t="shared" si="12"/>
        <v>ES</v>
      </c>
      <c r="F297" s="16" t="str">
        <f t="shared" si="13"/>
        <v>IC</v>
      </c>
      <c r="G297" s="21" t="str">
        <f t="shared" si="14"/>
        <v>B</v>
      </c>
    </row>
    <row r="298" spans="2:7" x14ac:dyDescent="0.25">
      <c r="B298" s="7" t="s">
        <v>551</v>
      </c>
      <c r="C298" s="8" t="s">
        <v>552</v>
      </c>
      <c r="D298" s="4" t="s">
        <v>74</v>
      </c>
      <c r="E298" s="20" t="str">
        <f t="shared" si="12"/>
        <v>ES</v>
      </c>
      <c r="F298" s="16" t="str">
        <f t="shared" si="13"/>
        <v>IC</v>
      </c>
      <c r="G298" s="21" t="str">
        <f t="shared" si="14"/>
        <v>D</v>
      </c>
    </row>
    <row r="299" spans="2:7" x14ac:dyDescent="0.25">
      <c r="B299" s="7" t="s">
        <v>553</v>
      </c>
      <c r="C299" s="8" t="s">
        <v>550</v>
      </c>
      <c r="D299" s="4" t="s">
        <v>241</v>
      </c>
      <c r="E299" s="20" t="str">
        <f t="shared" si="12"/>
        <v>ES</v>
      </c>
      <c r="F299" s="16" t="str">
        <f t="shared" si="13"/>
        <v>IC</v>
      </c>
      <c r="G299" s="21" t="str">
        <f t="shared" si="14"/>
        <v>P</v>
      </c>
    </row>
    <row r="300" spans="2:7" x14ac:dyDescent="0.25">
      <c r="B300" s="7" t="s">
        <v>554</v>
      </c>
      <c r="C300" s="8" t="s">
        <v>555</v>
      </c>
      <c r="D300" s="4" t="s">
        <v>78</v>
      </c>
      <c r="E300" s="20" t="str">
        <f t="shared" si="12"/>
        <v>ES</v>
      </c>
      <c r="F300" s="16" t="str">
        <f t="shared" si="13"/>
        <v>IC</v>
      </c>
      <c r="G300" s="21" t="str">
        <f t="shared" si="14"/>
        <v>V</v>
      </c>
    </row>
    <row r="301" spans="2:7" x14ac:dyDescent="0.25">
      <c r="B301" s="7" t="s">
        <v>556</v>
      </c>
      <c r="C301" s="8" t="s">
        <v>557</v>
      </c>
      <c r="D301" s="4" t="s">
        <v>24</v>
      </c>
      <c r="E301" s="20" t="str">
        <f t="shared" si="12"/>
        <v>ES</v>
      </c>
      <c r="F301" s="16" t="str">
        <f t="shared" si="13"/>
        <v>IS</v>
      </c>
      <c r="G301" s="21" t="str">
        <f t="shared" si="14"/>
        <v>B</v>
      </c>
    </row>
    <row r="302" spans="2:7" x14ac:dyDescent="0.25">
      <c r="B302" s="7" t="s">
        <v>34</v>
      </c>
      <c r="C302" s="8" t="s">
        <v>35</v>
      </c>
      <c r="D302" s="4" t="s">
        <v>24</v>
      </c>
      <c r="E302" s="20" t="str">
        <f t="shared" si="12"/>
        <v>ES</v>
      </c>
      <c r="F302" s="16" t="str">
        <f t="shared" si="13"/>
        <v>RC</v>
      </c>
      <c r="G302" s="21" t="str">
        <f t="shared" si="14"/>
        <v>B</v>
      </c>
    </row>
    <row r="303" spans="2:7" x14ac:dyDescent="0.25">
      <c r="B303" s="7" t="s">
        <v>558</v>
      </c>
      <c r="C303" s="8" t="s">
        <v>559</v>
      </c>
      <c r="D303" s="4" t="s">
        <v>74</v>
      </c>
      <c r="E303" s="20" t="str">
        <f t="shared" si="12"/>
        <v>ES</v>
      </c>
      <c r="F303" s="16" t="str">
        <f t="shared" si="13"/>
        <v>RC</v>
      </c>
      <c r="G303" s="21" t="str">
        <f t="shared" si="14"/>
        <v>D</v>
      </c>
    </row>
    <row r="304" spans="2:7" x14ac:dyDescent="0.25">
      <c r="B304" s="7" t="s">
        <v>560</v>
      </c>
      <c r="C304" s="8" t="s">
        <v>35</v>
      </c>
      <c r="D304" s="4" t="s">
        <v>241</v>
      </c>
      <c r="E304" s="20" t="str">
        <f t="shared" si="12"/>
        <v>ES</v>
      </c>
      <c r="F304" s="16" t="str">
        <f t="shared" si="13"/>
        <v>RC</v>
      </c>
      <c r="G304" s="21" t="str">
        <f t="shared" si="14"/>
        <v>P</v>
      </c>
    </row>
    <row r="305" spans="2:7" x14ac:dyDescent="0.25">
      <c r="B305" s="7" t="s">
        <v>561</v>
      </c>
      <c r="C305" s="8" t="s">
        <v>562</v>
      </c>
      <c r="D305" s="4" t="s">
        <v>78</v>
      </c>
      <c r="E305" s="20" t="str">
        <f t="shared" si="12"/>
        <v>ES</v>
      </c>
      <c r="F305" s="16" t="str">
        <f t="shared" si="13"/>
        <v>RC</v>
      </c>
      <c r="G305" s="21" t="str">
        <f t="shared" si="14"/>
        <v>V</v>
      </c>
    </row>
    <row r="306" spans="2:7" x14ac:dyDescent="0.25">
      <c r="B306" s="7" t="s">
        <v>563</v>
      </c>
      <c r="C306" s="8" t="s">
        <v>564</v>
      </c>
      <c r="D306" s="4" t="s">
        <v>24</v>
      </c>
      <c r="E306" s="20" t="str">
        <f t="shared" si="12"/>
        <v>ES</v>
      </c>
      <c r="F306" s="16" t="str">
        <f t="shared" si="13"/>
        <v>RF</v>
      </c>
      <c r="G306" s="21" t="str">
        <f t="shared" si="14"/>
        <v>B</v>
      </c>
    </row>
    <row r="307" spans="2:7" x14ac:dyDescent="0.25">
      <c r="B307" s="7" t="s">
        <v>565</v>
      </c>
      <c r="C307" s="8" t="s">
        <v>566</v>
      </c>
      <c r="D307" s="4" t="s">
        <v>567</v>
      </c>
      <c r="E307" s="20" t="str">
        <f t="shared" si="12"/>
        <v>ES</v>
      </c>
      <c r="F307" s="16" t="str">
        <f t="shared" si="13"/>
        <v>RP</v>
      </c>
      <c r="G307" s="21" t="str">
        <f t="shared" si="14"/>
        <v>P</v>
      </c>
    </row>
    <row r="308" spans="2:7" x14ac:dyDescent="0.25">
      <c r="B308" s="7" t="s">
        <v>568</v>
      </c>
      <c r="C308" s="8" t="s">
        <v>569</v>
      </c>
      <c r="D308" s="4" t="s">
        <v>24</v>
      </c>
      <c r="E308" s="20" t="str">
        <f t="shared" si="12"/>
        <v>ES</v>
      </c>
      <c r="F308" s="16" t="str">
        <f t="shared" si="13"/>
        <v>SC</v>
      </c>
      <c r="G308" s="21" t="str">
        <f t="shared" si="14"/>
        <v>B</v>
      </c>
    </row>
    <row r="309" spans="2:7" x14ac:dyDescent="0.25">
      <c r="B309" s="7" t="s">
        <v>570</v>
      </c>
      <c r="C309" s="8" t="s">
        <v>571</v>
      </c>
      <c r="D309" s="4" t="s">
        <v>24</v>
      </c>
      <c r="E309" s="20" t="str">
        <f t="shared" si="12"/>
        <v>ES</v>
      </c>
      <c r="F309" s="16" t="str">
        <f t="shared" si="13"/>
        <v>TC</v>
      </c>
      <c r="G309" s="21" t="str">
        <f t="shared" si="14"/>
        <v>B</v>
      </c>
    </row>
    <row r="310" spans="2:7" x14ac:dyDescent="0.25">
      <c r="B310" s="7" t="s">
        <v>572</v>
      </c>
      <c r="C310" s="8" t="s">
        <v>573</v>
      </c>
      <c r="D310" s="4" t="s">
        <v>74</v>
      </c>
      <c r="E310" s="20" t="str">
        <f t="shared" si="12"/>
        <v>ES</v>
      </c>
      <c r="F310" s="16" t="str">
        <f t="shared" si="13"/>
        <v>TC</v>
      </c>
      <c r="G310" s="21" t="str">
        <f t="shared" si="14"/>
        <v>D</v>
      </c>
    </row>
    <row r="311" spans="2:7" x14ac:dyDescent="0.25">
      <c r="B311" s="7" t="s">
        <v>574</v>
      </c>
      <c r="C311" s="8" t="s">
        <v>575</v>
      </c>
      <c r="D311" s="4" t="s">
        <v>576</v>
      </c>
      <c r="E311" s="20" t="str">
        <f t="shared" si="12"/>
        <v>ES</v>
      </c>
      <c r="F311" s="16" t="str">
        <f t="shared" si="13"/>
        <v>TC</v>
      </c>
      <c r="G311" s="21" t="str">
        <f t="shared" si="14"/>
        <v>K</v>
      </c>
    </row>
    <row r="312" spans="2:7" x14ac:dyDescent="0.25">
      <c r="B312" s="7" t="s">
        <v>577</v>
      </c>
      <c r="C312" s="8" t="s">
        <v>571</v>
      </c>
      <c r="D312" s="4" t="s">
        <v>241</v>
      </c>
      <c r="E312" s="20" t="str">
        <f t="shared" si="12"/>
        <v>ES</v>
      </c>
      <c r="F312" s="16" t="str">
        <f t="shared" si="13"/>
        <v>TC</v>
      </c>
      <c r="G312" s="21" t="str">
        <f t="shared" si="14"/>
        <v>P</v>
      </c>
    </row>
    <row r="313" spans="2:7" x14ac:dyDescent="0.25">
      <c r="B313" s="7" t="s">
        <v>578</v>
      </c>
      <c r="C313" s="8" t="s">
        <v>579</v>
      </c>
      <c r="D313" s="4" t="s">
        <v>78</v>
      </c>
      <c r="E313" s="20" t="str">
        <f t="shared" si="12"/>
        <v>ES</v>
      </c>
      <c r="F313" s="16" t="str">
        <f t="shared" si="13"/>
        <v>TC</v>
      </c>
      <c r="G313" s="21" t="str">
        <f t="shared" si="14"/>
        <v>V</v>
      </c>
    </row>
    <row r="314" spans="2:7" x14ac:dyDescent="0.25">
      <c r="B314" s="7" t="s">
        <v>580</v>
      </c>
      <c r="C314" s="8" t="s">
        <v>581</v>
      </c>
      <c r="D314" s="4" t="s">
        <v>567</v>
      </c>
      <c r="E314" s="20" t="str">
        <f t="shared" si="12"/>
        <v>ES</v>
      </c>
      <c r="F314" s="16" t="str">
        <f t="shared" si="13"/>
        <v>TP</v>
      </c>
      <c r="G314" s="21" t="str">
        <f t="shared" si="14"/>
        <v>P</v>
      </c>
    </row>
    <row r="315" spans="2:7" x14ac:dyDescent="0.25">
      <c r="B315" s="7" t="s">
        <v>582</v>
      </c>
      <c r="C315" s="8" t="s">
        <v>583</v>
      </c>
      <c r="D315" s="4" t="s">
        <v>24</v>
      </c>
      <c r="E315" s="20" t="str">
        <f t="shared" si="12"/>
        <v>ES</v>
      </c>
      <c r="F315" s="16" t="str">
        <f t="shared" si="13"/>
        <v>TX</v>
      </c>
      <c r="G315" s="21" t="str">
        <f t="shared" si="14"/>
        <v>B</v>
      </c>
    </row>
    <row r="316" spans="2:7" x14ac:dyDescent="0.25">
      <c r="B316" s="7" t="s">
        <v>584</v>
      </c>
      <c r="C316" s="8" t="s">
        <v>585</v>
      </c>
      <c r="D316" s="4" t="s">
        <v>74</v>
      </c>
      <c r="E316" s="20" t="str">
        <f t="shared" si="12"/>
        <v>ES</v>
      </c>
      <c r="F316" s="16" t="str">
        <f t="shared" si="13"/>
        <v>TX</v>
      </c>
      <c r="G316" s="21" t="str">
        <f t="shared" si="14"/>
        <v>D</v>
      </c>
    </row>
    <row r="317" spans="2:7" x14ac:dyDescent="0.25">
      <c r="B317" s="7" t="s">
        <v>586</v>
      </c>
      <c r="C317" s="8" t="s">
        <v>583</v>
      </c>
      <c r="D317" s="4" t="s">
        <v>241</v>
      </c>
      <c r="E317" s="20" t="str">
        <f t="shared" si="12"/>
        <v>ES</v>
      </c>
      <c r="F317" s="16" t="str">
        <f t="shared" si="13"/>
        <v>TX</v>
      </c>
      <c r="G317" s="21" t="str">
        <f t="shared" si="14"/>
        <v>P</v>
      </c>
    </row>
    <row r="318" spans="2:7" x14ac:dyDescent="0.25">
      <c r="B318" s="7" t="s">
        <v>587</v>
      </c>
      <c r="C318" s="8" t="s">
        <v>588</v>
      </c>
      <c r="D318" s="4" t="s">
        <v>78</v>
      </c>
      <c r="E318" s="20" t="str">
        <f t="shared" si="12"/>
        <v>ES</v>
      </c>
      <c r="F318" s="16" t="str">
        <f t="shared" si="13"/>
        <v>TX</v>
      </c>
      <c r="G318" s="21" t="str">
        <f t="shared" si="14"/>
        <v>V</v>
      </c>
    </row>
    <row r="319" spans="2:7" x14ac:dyDescent="0.25">
      <c r="B319" s="7" t="s">
        <v>589</v>
      </c>
      <c r="C319" s="8" t="s">
        <v>590</v>
      </c>
      <c r="D319" s="4" t="s">
        <v>241</v>
      </c>
      <c r="E319" s="20" t="str">
        <f t="shared" si="12"/>
        <v>ES</v>
      </c>
      <c r="F319" s="16" t="str">
        <f t="shared" si="13"/>
        <v>VH</v>
      </c>
      <c r="G319" s="21" t="str">
        <f t="shared" si="14"/>
        <v>P</v>
      </c>
    </row>
    <row r="320" spans="2:7" x14ac:dyDescent="0.25">
      <c r="B320" s="7" t="s">
        <v>591</v>
      </c>
      <c r="C320" s="8" t="s">
        <v>592</v>
      </c>
      <c r="D320" s="4" t="s">
        <v>593</v>
      </c>
      <c r="E320" s="20" t="str">
        <f t="shared" si="12"/>
        <v>EV</v>
      </c>
      <c r="F320" s="16" t="str">
        <f t="shared" si="13"/>
        <v>0C</v>
      </c>
      <c r="G320" s="21" t="str">
        <f t="shared" si="14"/>
        <v>N</v>
      </c>
    </row>
    <row r="321" spans="2:7" x14ac:dyDescent="0.25">
      <c r="B321" s="7" t="s">
        <v>594</v>
      </c>
      <c r="C321" s="8" t="s">
        <v>595</v>
      </c>
      <c r="D321" s="4" t="s">
        <v>593</v>
      </c>
      <c r="E321" s="20" t="str">
        <f t="shared" si="12"/>
        <v>EV</v>
      </c>
      <c r="F321" s="16" t="str">
        <f t="shared" si="13"/>
        <v>1C</v>
      </c>
      <c r="G321" s="21" t="str">
        <f t="shared" si="14"/>
        <v>N</v>
      </c>
    </row>
    <row r="322" spans="2:7" x14ac:dyDescent="0.25">
      <c r="B322" s="7" t="s">
        <v>596</v>
      </c>
      <c r="C322" s="8" t="s">
        <v>597</v>
      </c>
      <c r="D322" s="4" t="s">
        <v>593</v>
      </c>
      <c r="E322" s="20" t="str">
        <f t="shared" si="12"/>
        <v>EV</v>
      </c>
      <c r="F322" s="16" t="str">
        <f t="shared" si="13"/>
        <v>2C</v>
      </c>
      <c r="G322" s="21" t="str">
        <f t="shared" si="14"/>
        <v>N</v>
      </c>
    </row>
    <row r="323" spans="2:7" x14ac:dyDescent="0.25">
      <c r="B323" s="7" t="s">
        <v>598</v>
      </c>
      <c r="C323" s="8" t="s">
        <v>599</v>
      </c>
      <c r="D323" s="4" t="s">
        <v>593</v>
      </c>
      <c r="E323" s="20" t="str">
        <f t="shared" si="12"/>
        <v>EV</v>
      </c>
      <c r="F323" s="16" t="str">
        <f t="shared" si="13"/>
        <v>2C</v>
      </c>
      <c r="G323" s="21" t="str">
        <f t="shared" si="14"/>
        <v>R</v>
      </c>
    </row>
    <row r="324" spans="2:7" x14ac:dyDescent="0.25">
      <c r="B324" s="7" t="s">
        <v>600</v>
      </c>
      <c r="C324" s="8" t="s">
        <v>601</v>
      </c>
      <c r="D324" s="4" t="s">
        <v>593</v>
      </c>
      <c r="E324" s="20" t="str">
        <f t="shared" si="12"/>
        <v>EV</v>
      </c>
      <c r="F324" s="16" t="str">
        <f t="shared" si="13"/>
        <v>CH</v>
      </c>
      <c r="G324" s="21" t="str">
        <f t="shared" si="14"/>
        <v>N</v>
      </c>
    </row>
    <row r="325" spans="2:7" x14ac:dyDescent="0.25">
      <c r="B325" s="7" t="s">
        <v>602</v>
      </c>
      <c r="C325" s="8" t="s">
        <v>603</v>
      </c>
      <c r="D325" s="4" t="s">
        <v>593</v>
      </c>
      <c r="E325" s="20" t="str">
        <f t="shared" si="12"/>
        <v>EV</v>
      </c>
      <c r="F325" s="16" t="str">
        <f t="shared" si="13"/>
        <v>CH</v>
      </c>
      <c r="G325" s="21" t="str">
        <f t="shared" si="14"/>
        <v>P</v>
      </c>
    </row>
    <row r="326" spans="2:7" x14ac:dyDescent="0.25">
      <c r="B326" s="7" t="s">
        <v>604</v>
      </c>
      <c r="C326" s="8" t="s">
        <v>605</v>
      </c>
      <c r="D326" s="4" t="s">
        <v>593</v>
      </c>
      <c r="E326" s="20" t="str">
        <f t="shared" si="12"/>
        <v>EV</v>
      </c>
      <c r="F326" s="16" t="str">
        <f t="shared" si="13"/>
        <v>DC</v>
      </c>
      <c r="G326" s="21" t="str">
        <f t="shared" si="14"/>
        <v>N</v>
      </c>
    </row>
    <row r="327" spans="2:7" x14ac:dyDescent="0.25">
      <c r="B327" s="7" t="s">
        <v>606</v>
      </c>
      <c r="C327" s="8" t="s">
        <v>607</v>
      </c>
      <c r="D327" s="4" t="s">
        <v>593</v>
      </c>
      <c r="E327" s="20" t="str">
        <f t="shared" si="12"/>
        <v>EV</v>
      </c>
      <c r="F327" s="16" t="str">
        <f t="shared" si="13"/>
        <v>DC</v>
      </c>
      <c r="G327" s="21" t="str">
        <f t="shared" si="14"/>
        <v>R</v>
      </c>
    </row>
    <row r="328" spans="2:7" x14ac:dyDescent="0.25">
      <c r="B328" s="7" t="s">
        <v>608</v>
      </c>
      <c r="C328" s="8" t="s">
        <v>609</v>
      </c>
      <c r="D328" s="4" t="s">
        <v>593</v>
      </c>
      <c r="E328" s="20" t="str">
        <f t="shared" si="12"/>
        <v>EV</v>
      </c>
      <c r="F328" s="16" t="str">
        <f t="shared" si="13"/>
        <v>NN</v>
      </c>
      <c r="G328" s="21" t="str">
        <f t="shared" si="14"/>
        <v>P</v>
      </c>
    </row>
    <row r="329" spans="2:7" x14ac:dyDescent="0.25">
      <c r="B329" s="7" t="s">
        <v>610</v>
      </c>
      <c r="C329" s="8" t="s">
        <v>611</v>
      </c>
      <c r="D329" s="4" t="s">
        <v>593</v>
      </c>
      <c r="E329" s="20" t="str">
        <f t="shared" si="12"/>
        <v>EV</v>
      </c>
      <c r="F329" s="16" t="str">
        <f t="shared" si="13"/>
        <v>NO</v>
      </c>
      <c r="G329" s="21" t="str">
        <f t="shared" si="14"/>
        <v>P</v>
      </c>
    </row>
    <row r="330" spans="2:7" x14ac:dyDescent="0.25">
      <c r="B330" s="7" t="s">
        <v>612</v>
      </c>
      <c r="C330" s="8" t="s">
        <v>613</v>
      </c>
      <c r="D330" s="4" t="s">
        <v>593</v>
      </c>
      <c r="E330" s="20" t="str">
        <f t="shared" si="12"/>
        <v>EV</v>
      </c>
      <c r="F330" s="16" t="str">
        <f t="shared" si="13"/>
        <v>NT</v>
      </c>
      <c r="G330" s="21" t="str">
        <f t="shared" si="14"/>
        <v>P</v>
      </c>
    </row>
    <row r="331" spans="2:7" x14ac:dyDescent="0.25">
      <c r="B331" s="7" t="s">
        <v>614</v>
      </c>
      <c r="C331" s="8" t="s">
        <v>615</v>
      </c>
      <c r="D331" s="4" t="s">
        <v>593</v>
      </c>
      <c r="E331" s="20" t="str">
        <f t="shared" si="12"/>
        <v>EV</v>
      </c>
      <c r="F331" s="16" t="str">
        <f t="shared" si="13"/>
        <v>PP</v>
      </c>
      <c r="G331" s="21" t="str">
        <f t="shared" si="14"/>
        <v>P</v>
      </c>
    </row>
    <row r="332" spans="2:7" x14ac:dyDescent="0.25">
      <c r="B332" s="7" t="s">
        <v>616</v>
      </c>
      <c r="C332" s="8" t="s">
        <v>617</v>
      </c>
      <c r="D332" s="4" t="s">
        <v>593</v>
      </c>
      <c r="E332" s="20" t="str">
        <f t="shared" si="12"/>
        <v>EV</v>
      </c>
      <c r="F332" s="16" t="str">
        <f t="shared" si="13"/>
        <v>PU</v>
      </c>
      <c r="G332" s="21" t="str">
        <f t="shared" si="14"/>
        <v>P</v>
      </c>
    </row>
    <row r="333" spans="2:7" x14ac:dyDescent="0.25">
      <c r="B333" s="7" t="s">
        <v>618</v>
      </c>
      <c r="C333" s="8" t="s">
        <v>619</v>
      </c>
      <c r="D333" s="4" t="s">
        <v>593</v>
      </c>
      <c r="E333" s="20" t="str">
        <f t="shared" si="12"/>
        <v>EV</v>
      </c>
      <c r="F333" s="16" t="str">
        <f t="shared" si="13"/>
        <v>PV</v>
      </c>
      <c r="G333" s="21" t="str">
        <f t="shared" si="14"/>
        <v>P</v>
      </c>
    </row>
    <row r="334" spans="2:7" x14ac:dyDescent="0.25">
      <c r="B334" s="7" t="s">
        <v>620</v>
      </c>
      <c r="C334" s="8" t="s">
        <v>621</v>
      </c>
      <c r="D334" s="4" t="s">
        <v>24</v>
      </c>
      <c r="E334" s="20" t="str">
        <f t="shared" si="12"/>
        <v>EY</v>
      </c>
      <c r="F334" s="16" t="str">
        <f t="shared" si="13"/>
        <v>IC</v>
      </c>
      <c r="G334" s="21" t="str">
        <f t="shared" si="14"/>
        <v>B</v>
      </c>
    </row>
    <row r="335" spans="2:7" x14ac:dyDescent="0.25">
      <c r="B335" s="7" t="s">
        <v>622</v>
      </c>
      <c r="C335" s="8" t="s">
        <v>621</v>
      </c>
      <c r="D335" s="4" t="s">
        <v>69</v>
      </c>
      <c r="E335" s="20" t="str">
        <f t="shared" si="12"/>
        <v>EY</v>
      </c>
      <c r="F335" s="16" t="str">
        <f t="shared" si="13"/>
        <v>IC</v>
      </c>
      <c r="G335" s="21" t="str">
        <f t="shared" si="14"/>
        <v>P</v>
      </c>
    </row>
    <row r="336" spans="2:7" x14ac:dyDescent="0.25">
      <c r="B336" s="7" t="s">
        <v>623</v>
      </c>
      <c r="C336" s="8" t="s">
        <v>624</v>
      </c>
      <c r="D336" s="4" t="s">
        <v>24</v>
      </c>
      <c r="E336" s="20" t="str">
        <f t="shared" ref="E336:E399" si="15">LEFT(B336,2)</f>
        <v>EY</v>
      </c>
      <c r="F336" s="16" t="str">
        <f t="shared" ref="F336:F399" si="16">MID(B336,3,2)</f>
        <v>TC</v>
      </c>
      <c r="G336" s="21" t="str">
        <f t="shared" ref="G336:G399" si="17">RIGHT(B336,1)</f>
        <v>B</v>
      </c>
    </row>
    <row r="337" spans="2:7" x14ac:dyDescent="0.25">
      <c r="B337" s="7" t="s">
        <v>625</v>
      </c>
      <c r="C337" s="8" t="s">
        <v>624</v>
      </c>
      <c r="D337" s="4" t="s">
        <v>69</v>
      </c>
      <c r="E337" s="20" t="str">
        <f t="shared" si="15"/>
        <v>EY</v>
      </c>
      <c r="F337" s="16" t="str">
        <f t="shared" si="16"/>
        <v>TC</v>
      </c>
      <c r="G337" s="21" t="str">
        <f t="shared" si="17"/>
        <v>P</v>
      </c>
    </row>
    <row r="338" spans="2:7" x14ac:dyDescent="0.25">
      <c r="B338" s="7" t="s">
        <v>626</v>
      </c>
      <c r="C338" s="8" t="s">
        <v>627</v>
      </c>
      <c r="D338" s="4" t="s">
        <v>576</v>
      </c>
      <c r="E338" s="20" t="str">
        <f t="shared" si="15"/>
        <v>FF</v>
      </c>
      <c r="F338" s="16" t="str">
        <f t="shared" si="16"/>
        <v>ET</v>
      </c>
      <c r="G338" s="21" t="str">
        <f t="shared" si="17"/>
        <v>K</v>
      </c>
    </row>
    <row r="339" spans="2:7" x14ac:dyDescent="0.25">
      <c r="B339" s="7" t="s">
        <v>628</v>
      </c>
      <c r="C339" s="8" t="s">
        <v>629</v>
      </c>
      <c r="D339" s="4" t="s">
        <v>235</v>
      </c>
      <c r="E339" s="20" t="str">
        <f t="shared" si="15"/>
        <v>FF</v>
      </c>
      <c r="F339" s="16" t="str">
        <f t="shared" si="16"/>
        <v>GB</v>
      </c>
      <c r="G339" s="21" t="str">
        <f t="shared" si="17"/>
        <v>P</v>
      </c>
    </row>
    <row r="340" spans="2:7" x14ac:dyDescent="0.25">
      <c r="B340" s="7" t="s">
        <v>630</v>
      </c>
      <c r="C340" s="8" t="s">
        <v>631</v>
      </c>
      <c r="D340" s="4" t="s">
        <v>24</v>
      </c>
      <c r="E340" s="20" t="str">
        <f t="shared" si="15"/>
        <v>FF</v>
      </c>
      <c r="F340" s="16" t="str">
        <f t="shared" si="16"/>
        <v>TC</v>
      </c>
      <c r="G340" s="21" t="str">
        <f t="shared" si="17"/>
        <v>B</v>
      </c>
    </row>
    <row r="341" spans="2:7" x14ac:dyDescent="0.25">
      <c r="B341" s="7" t="s">
        <v>632</v>
      </c>
      <c r="C341" s="8" t="s">
        <v>633</v>
      </c>
      <c r="D341" s="4" t="s">
        <v>24</v>
      </c>
      <c r="E341" s="20" t="str">
        <f t="shared" si="15"/>
        <v>FN</v>
      </c>
      <c r="F341" s="16" t="str">
        <f t="shared" si="16"/>
        <v>IC</v>
      </c>
      <c r="G341" s="21" t="str">
        <f t="shared" si="17"/>
        <v>B</v>
      </c>
    </row>
    <row r="342" spans="2:7" x14ac:dyDescent="0.25">
      <c r="B342" s="7" t="s">
        <v>634</v>
      </c>
      <c r="C342" s="8" t="s">
        <v>635</v>
      </c>
      <c r="D342" s="4" t="s">
        <v>74</v>
      </c>
      <c r="E342" s="20" t="str">
        <f t="shared" si="15"/>
        <v>FN</v>
      </c>
      <c r="F342" s="16" t="str">
        <f t="shared" si="16"/>
        <v>IC</v>
      </c>
      <c r="G342" s="21" t="str">
        <f t="shared" si="17"/>
        <v>D</v>
      </c>
    </row>
    <row r="343" spans="2:7" x14ac:dyDescent="0.25">
      <c r="B343" s="7" t="s">
        <v>636</v>
      </c>
      <c r="C343" s="8" t="s">
        <v>633</v>
      </c>
      <c r="D343" s="4" t="s">
        <v>69</v>
      </c>
      <c r="E343" s="20" t="str">
        <f t="shared" si="15"/>
        <v>FN</v>
      </c>
      <c r="F343" s="16" t="str">
        <f t="shared" si="16"/>
        <v>IC</v>
      </c>
      <c r="G343" s="21" t="str">
        <f t="shared" si="17"/>
        <v>P</v>
      </c>
    </row>
    <row r="344" spans="2:7" x14ac:dyDescent="0.25">
      <c r="B344" s="7" t="s">
        <v>637</v>
      </c>
      <c r="C344" s="8" t="s">
        <v>638</v>
      </c>
      <c r="D344" s="4" t="s">
        <v>78</v>
      </c>
      <c r="E344" s="20" t="str">
        <f t="shared" si="15"/>
        <v>FN</v>
      </c>
      <c r="F344" s="16" t="str">
        <f t="shared" si="16"/>
        <v>IC</v>
      </c>
      <c r="G344" s="21" t="str">
        <f t="shared" si="17"/>
        <v>V</v>
      </c>
    </row>
    <row r="345" spans="2:7" x14ac:dyDescent="0.25">
      <c r="B345" s="7" t="s">
        <v>639</v>
      </c>
      <c r="C345" s="8" t="s">
        <v>640</v>
      </c>
      <c r="D345" s="4" t="s">
        <v>24</v>
      </c>
      <c r="E345" s="20" t="str">
        <f t="shared" si="15"/>
        <v>FO</v>
      </c>
      <c r="F345" s="16" t="str">
        <f t="shared" si="16"/>
        <v>IC</v>
      </c>
      <c r="G345" s="21" t="str">
        <f t="shared" si="17"/>
        <v>B</v>
      </c>
    </row>
    <row r="346" spans="2:7" x14ac:dyDescent="0.25">
      <c r="B346" s="7" t="s">
        <v>641</v>
      </c>
      <c r="C346" s="8" t="s">
        <v>642</v>
      </c>
      <c r="D346" s="4" t="s">
        <v>74</v>
      </c>
      <c r="E346" s="20" t="str">
        <f t="shared" si="15"/>
        <v>FO</v>
      </c>
      <c r="F346" s="16" t="str">
        <f t="shared" si="16"/>
        <v>IC</v>
      </c>
      <c r="G346" s="21" t="str">
        <f t="shared" si="17"/>
        <v>D</v>
      </c>
    </row>
    <row r="347" spans="2:7" x14ac:dyDescent="0.25">
      <c r="B347" s="7" t="s">
        <v>643</v>
      </c>
      <c r="C347" s="8" t="s">
        <v>640</v>
      </c>
      <c r="D347" s="4" t="s">
        <v>69</v>
      </c>
      <c r="E347" s="20" t="str">
        <f t="shared" si="15"/>
        <v>FO</v>
      </c>
      <c r="F347" s="16" t="str">
        <f t="shared" si="16"/>
        <v>IC</v>
      </c>
      <c r="G347" s="21" t="str">
        <f t="shared" si="17"/>
        <v>P</v>
      </c>
    </row>
    <row r="348" spans="2:7" x14ac:dyDescent="0.25">
      <c r="B348" s="7" t="s">
        <v>644</v>
      </c>
      <c r="C348" s="8" t="s">
        <v>645</v>
      </c>
      <c r="D348" s="4" t="s">
        <v>78</v>
      </c>
      <c r="E348" s="20" t="str">
        <f t="shared" si="15"/>
        <v>FO</v>
      </c>
      <c r="F348" s="16" t="str">
        <f t="shared" si="16"/>
        <v>IC</v>
      </c>
      <c r="G348" s="21" t="str">
        <f t="shared" si="17"/>
        <v>V</v>
      </c>
    </row>
    <row r="349" spans="2:7" x14ac:dyDescent="0.25">
      <c r="B349" s="7" t="s">
        <v>646</v>
      </c>
      <c r="C349" s="8" t="s">
        <v>647</v>
      </c>
      <c r="D349" s="4" t="s">
        <v>24</v>
      </c>
      <c r="E349" s="20" t="str">
        <f t="shared" si="15"/>
        <v>FS</v>
      </c>
      <c r="F349" s="16" t="str">
        <f t="shared" si="16"/>
        <v>IC</v>
      </c>
      <c r="G349" s="21" t="str">
        <f t="shared" si="17"/>
        <v>B</v>
      </c>
    </row>
    <row r="350" spans="2:7" x14ac:dyDescent="0.25">
      <c r="B350" s="7" t="s">
        <v>648</v>
      </c>
      <c r="C350" s="8" t="s">
        <v>649</v>
      </c>
      <c r="D350" s="4" t="s">
        <v>74</v>
      </c>
      <c r="E350" s="20" t="str">
        <f t="shared" si="15"/>
        <v>FS</v>
      </c>
      <c r="F350" s="16" t="str">
        <f t="shared" si="16"/>
        <v>IC</v>
      </c>
      <c r="G350" s="21" t="str">
        <f t="shared" si="17"/>
        <v>D</v>
      </c>
    </row>
    <row r="351" spans="2:7" x14ac:dyDescent="0.25">
      <c r="B351" s="7" t="s">
        <v>650</v>
      </c>
      <c r="C351" s="8" t="s">
        <v>647</v>
      </c>
      <c r="D351" s="4" t="s">
        <v>69</v>
      </c>
      <c r="E351" s="20" t="str">
        <f t="shared" si="15"/>
        <v>FS</v>
      </c>
      <c r="F351" s="16" t="str">
        <f t="shared" si="16"/>
        <v>IC</v>
      </c>
      <c r="G351" s="21" t="str">
        <f t="shared" si="17"/>
        <v>P</v>
      </c>
    </row>
    <row r="352" spans="2:7" x14ac:dyDescent="0.25">
      <c r="B352" s="7" t="s">
        <v>651</v>
      </c>
      <c r="C352" s="8" t="s">
        <v>652</v>
      </c>
      <c r="D352" s="4" t="s">
        <v>78</v>
      </c>
      <c r="E352" s="20" t="str">
        <f t="shared" si="15"/>
        <v>FS</v>
      </c>
      <c r="F352" s="16" t="str">
        <f t="shared" si="16"/>
        <v>IC</v>
      </c>
      <c r="G352" s="21" t="str">
        <f t="shared" si="17"/>
        <v>V</v>
      </c>
    </row>
    <row r="353" spans="2:7" x14ac:dyDescent="0.25">
      <c r="B353" s="7" t="s">
        <v>653</v>
      </c>
      <c r="C353" s="8" t="s">
        <v>654</v>
      </c>
      <c r="D353" s="4" t="s">
        <v>78</v>
      </c>
      <c r="E353" s="20" t="str">
        <f t="shared" si="15"/>
        <v>GD</v>
      </c>
      <c r="F353" s="16" t="str">
        <f t="shared" si="16"/>
        <v>PR</v>
      </c>
      <c r="G353" s="21" t="str">
        <f t="shared" si="17"/>
        <v>V</v>
      </c>
    </row>
    <row r="354" spans="2:7" x14ac:dyDescent="0.25">
      <c r="B354" s="7" t="s">
        <v>655</v>
      </c>
      <c r="C354" s="8" t="s">
        <v>656</v>
      </c>
      <c r="D354" s="4" t="s">
        <v>657</v>
      </c>
      <c r="E354" s="20" t="str">
        <f t="shared" si="15"/>
        <v>GD</v>
      </c>
      <c r="F354" s="16" t="str">
        <f t="shared" si="16"/>
        <v>PR</v>
      </c>
      <c r="G354" s="21" t="str">
        <f t="shared" si="17"/>
        <v>X</v>
      </c>
    </row>
    <row r="355" spans="2:7" x14ac:dyDescent="0.25">
      <c r="B355" s="7" t="s">
        <v>658</v>
      </c>
      <c r="C355" s="8" t="s">
        <v>659</v>
      </c>
      <c r="D355" s="4" t="s">
        <v>204</v>
      </c>
      <c r="E355" s="20" t="str">
        <f t="shared" si="15"/>
        <v>GE</v>
      </c>
      <c r="F355" s="16" t="str">
        <f t="shared" si="16"/>
        <v>CA</v>
      </c>
      <c r="G355" s="21" t="str">
        <f t="shared" si="17"/>
        <v>S</v>
      </c>
    </row>
    <row r="356" spans="2:7" x14ac:dyDescent="0.25">
      <c r="B356" s="7" t="s">
        <v>660</v>
      </c>
      <c r="C356" s="8" t="s">
        <v>661</v>
      </c>
      <c r="D356" s="4" t="s">
        <v>24</v>
      </c>
      <c r="E356" s="20" t="str">
        <f t="shared" si="15"/>
        <v>GE</v>
      </c>
      <c r="F356" s="16" t="str">
        <f t="shared" si="16"/>
        <v>CC</v>
      </c>
      <c r="G356" s="21" t="str">
        <f t="shared" si="17"/>
        <v>B</v>
      </c>
    </row>
    <row r="357" spans="2:7" x14ac:dyDescent="0.25">
      <c r="B357" s="7" t="s">
        <v>662</v>
      </c>
      <c r="C357" s="8" t="s">
        <v>663</v>
      </c>
      <c r="D357" s="4" t="s">
        <v>24</v>
      </c>
      <c r="E357" s="20" t="str">
        <f t="shared" si="15"/>
        <v>GE</v>
      </c>
      <c r="F357" s="16" t="str">
        <f t="shared" si="16"/>
        <v>EG</v>
      </c>
      <c r="G357" s="21" t="str">
        <f t="shared" si="17"/>
        <v>B</v>
      </c>
    </row>
    <row r="358" spans="2:7" x14ac:dyDescent="0.25">
      <c r="B358" s="7" t="s">
        <v>664</v>
      </c>
      <c r="C358" s="8" t="s">
        <v>665</v>
      </c>
      <c r="D358" s="4" t="s">
        <v>241</v>
      </c>
      <c r="E358" s="20" t="str">
        <f t="shared" si="15"/>
        <v>GE</v>
      </c>
      <c r="F358" s="16" t="str">
        <f t="shared" si="16"/>
        <v>EG</v>
      </c>
      <c r="G358" s="21" t="str">
        <f t="shared" si="17"/>
        <v>P</v>
      </c>
    </row>
    <row r="359" spans="2:7" x14ac:dyDescent="0.25">
      <c r="B359" s="7" t="s">
        <v>666</v>
      </c>
      <c r="C359" s="8" t="s">
        <v>667</v>
      </c>
      <c r="D359" s="4" t="s">
        <v>235</v>
      </c>
      <c r="E359" s="20" t="str">
        <f t="shared" si="15"/>
        <v>GE</v>
      </c>
      <c r="F359" s="16" t="str">
        <f t="shared" si="16"/>
        <v>GB</v>
      </c>
      <c r="G359" s="21" t="str">
        <f t="shared" si="17"/>
        <v>P</v>
      </c>
    </row>
    <row r="360" spans="2:7" x14ac:dyDescent="0.25">
      <c r="B360" s="7" t="s">
        <v>668</v>
      </c>
      <c r="C360" s="8" t="s">
        <v>669</v>
      </c>
      <c r="D360" s="4" t="s">
        <v>24</v>
      </c>
      <c r="E360" s="20" t="str">
        <f t="shared" si="15"/>
        <v>GE</v>
      </c>
      <c r="F360" s="16" t="str">
        <f t="shared" si="16"/>
        <v>IC</v>
      </c>
      <c r="G360" s="21" t="str">
        <f t="shared" si="17"/>
        <v>B</v>
      </c>
    </row>
    <row r="361" spans="2:7" x14ac:dyDescent="0.25">
      <c r="B361" s="7" t="s">
        <v>36</v>
      </c>
      <c r="C361" s="8" t="s">
        <v>37</v>
      </c>
      <c r="D361" s="4" t="s">
        <v>24</v>
      </c>
      <c r="E361" s="20" t="str">
        <f t="shared" si="15"/>
        <v>GE</v>
      </c>
      <c r="F361" s="16" t="str">
        <f t="shared" si="16"/>
        <v>RC</v>
      </c>
      <c r="G361" s="21" t="str">
        <f t="shared" si="17"/>
        <v>B</v>
      </c>
    </row>
    <row r="362" spans="2:7" x14ac:dyDescent="0.25">
      <c r="B362" s="7" t="s">
        <v>670</v>
      </c>
      <c r="C362" s="8" t="s">
        <v>671</v>
      </c>
      <c r="D362" s="4" t="s">
        <v>24</v>
      </c>
      <c r="E362" s="20" t="str">
        <f t="shared" si="15"/>
        <v>GE</v>
      </c>
      <c r="F362" s="16" t="str">
        <f t="shared" si="16"/>
        <v>TC</v>
      </c>
      <c r="G362" s="21" t="str">
        <f t="shared" si="17"/>
        <v>B</v>
      </c>
    </row>
    <row r="363" spans="2:7" x14ac:dyDescent="0.25">
      <c r="B363" s="7" t="s">
        <v>672</v>
      </c>
      <c r="C363" s="8" t="s">
        <v>673</v>
      </c>
      <c r="D363" s="4" t="s">
        <v>24</v>
      </c>
      <c r="E363" s="20" t="str">
        <f t="shared" si="15"/>
        <v>GE</v>
      </c>
      <c r="F363" s="16" t="str">
        <f t="shared" si="16"/>
        <v>TX</v>
      </c>
      <c r="G363" s="21" t="str">
        <f t="shared" si="17"/>
        <v>B</v>
      </c>
    </row>
    <row r="364" spans="2:7" x14ac:dyDescent="0.25">
      <c r="B364" s="7" t="s">
        <v>674</v>
      </c>
      <c r="C364" s="8" t="s">
        <v>675</v>
      </c>
      <c r="D364" s="4" t="s">
        <v>24</v>
      </c>
      <c r="E364" s="20" t="str">
        <f t="shared" si="15"/>
        <v>HL</v>
      </c>
      <c r="F364" s="16" t="str">
        <f t="shared" si="16"/>
        <v>AC</v>
      </c>
      <c r="G364" s="21" t="str">
        <f t="shared" si="17"/>
        <v>B</v>
      </c>
    </row>
    <row r="365" spans="2:7" x14ac:dyDescent="0.25">
      <c r="B365" s="7" t="s">
        <v>676</v>
      </c>
      <c r="C365" s="8" t="s">
        <v>677</v>
      </c>
      <c r="D365" s="4" t="s">
        <v>74</v>
      </c>
      <c r="E365" s="20" t="str">
        <f t="shared" si="15"/>
        <v>HL</v>
      </c>
      <c r="F365" s="16" t="str">
        <f t="shared" si="16"/>
        <v>AC</v>
      </c>
      <c r="G365" s="21" t="str">
        <f t="shared" si="17"/>
        <v>D</v>
      </c>
    </row>
    <row r="366" spans="2:7" x14ac:dyDescent="0.25">
      <c r="B366" s="7" t="s">
        <v>678</v>
      </c>
      <c r="C366" s="8" t="s">
        <v>675</v>
      </c>
      <c r="D366" s="4" t="s">
        <v>69</v>
      </c>
      <c r="E366" s="20" t="str">
        <f t="shared" si="15"/>
        <v>HL</v>
      </c>
      <c r="F366" s="16" t="str">
        <f t="shared" si="16"/>
        <v>AC</v>
      </c>
      <c r="G366" s="21" t="str">
        <f t="shared" si="17"/>
        <v>P</v>
      </c>
    </row>
    <row r="367" spans="2:7" x14ac:dyDescent="0.25">
      <c r="B367" s="7" t="s">
        <v>679</v>
      </c>
      <c r="C367" s="8" t="s">
        <v>680</v>
      </c>
      <c r="D367" s="4" t="s">
        <v>78</v>
      </c>
      <c r="E367" s="20" t="str">
        <f t="shared" si="15"/>
        <v>HL</v>
      </c>
      <c r="F367" s="16" t="str">
        <f t="shared" si="16"/>
        <v>AC</v>
      </c>
      <c r="G367" s="21" t="str">
        <f t="shared" si="17"/>
        <v>V</v>
      </c>
    </row>
    <row r="368" spans="2:7" x14ac:dyDescent="0.25">
      <c r="B368" s="7" t="s">
        <v>681</v>
      </c>
      <c r="C368" s="8" t="s">
        <v>682</v>
      </c>
      <c r="D368" s="4" t="s">
        <v>24</v>
      </c>
      <c r="E368" s="20" t="str">
        <f t="shared" si="15"/>
        <v>HL</v>
      </c>
      <c r="F368" s="16" t="str">
        <f t="shared" si="16"/>
        <v>CC</v>
      </c>
      <c r="G368" s="21" t="str">
        <f t="shared" si="17"/>
        <v>B</v>
      </c>
    </row>
    <row r="369" spans="2:7" x14ac:dyDescent="0.25">
      <c r="B369" s="7" t="s">
        <v>683</v>
      </c>
      <c r="C369" s="8" t="s">
        <v>684</v>
      </c>
      <c r="D369" s="4" t="s">
        <v>74</v>
      </c>
      <c r="E369" s="20" t="str">
        <f t="shared" si="15"/>
        <v>HL</v>
      </c>
      <c r="F369" s="16" t="str">
        <f t="shared" si="16"/>
        <v>CC</v>
      </c>
      <c r="G369" s="21" t="str">
        <f t="shared" si="17"/>
        <v>D</v>
      </c>
    </row>
    <row r="370" spans="2:7" x14ac:dyDescent="0.25">
      <c r="B370" s="7" t="s">
        <v>685</v>
      </c>
      <c r="C370" s="8" t="s">
        <v>682</v>
      </c>
      <c r="D370" s="4" t="s">
        <v>69</v>
      </c>
      <c r="E370" s="20" t="str">
        <f t="shared" si="15"/>
        <v>HL</v>
      </c>
      <c r="F370" s="16" t="str">
        <f t="shared" si="16"/>
        <v>CC</v>
      </c>
      <c r="G370" s="21" t="str">
        <f t="shared" si="17"/>
        <v>P</v>
      </c>
    </row>
    <row r="371" spans="2:7" x14ac:dyDescent="0.25">
      <c r="B371" s="7" t="s">
        <v>686</v>
      </c>
      <c r="C371" s="8" t="s">
        <v>687</v>
      </c>
      <c r="D371" s="4" t="s">
        <v>78</v>
      </c>
      <c r="E371" s="20" t="str">
        <f t="shared" si="15"/>
        <v>HL</v>
      </c>
      <c r="F371" s="16" t="str">
        <f t="shared" si="16"/>
        <v>CC</v>
      </c>
      <c r="G371" s="21" t="str">
        <f t="shared" si="17"/>
        <v>V</v>
      </c>
    </row>
    <row r="372" spans="2:7" x14ac:dyDescent="0.25">
      <c r="B372" s="7" t="s">
        <v>688</v>
      </c>
      <c r="C372" s="8" t="s">
        <v>689</v>
      </c>
      <c r="D372" s="4" t="s">
        <v>24</v>
      </c>
      <c r="E372" s="20" t="str">
        <f t="shared" si="15"/>
        <v>HL</v>
      </c>
      <c r="F372" s="16" t="str">
        <f t="shared" si="16"/>
        <v>IC</v>
      </c>
      <c r="G372" s="21" t="str">
        <f t="shared" si="17"/>
        <v>B</v>
      </c>
    </row>
    <row r="373" spans="2:7" x14ac:dyDescent="0.25">
      <c r="B373" s="7" t="s">
        <v>690</v>
      </c>
      <c r="C373" s="8" t="s">
        <v>691</v>
      </c>
      <c r="D373" s="4" t="s">
        <v>74</v>
      </c>
      <c r="E373" s="20" t="str">
        <f t="shared" si="15"/>
        <v>HL</v>
      </c>
      <c r="F373" s="16" t="str">
        <f t="shared" si="16"/>
        <v>IC</v>
      </c>
      <c r="G373" s="21" t="str">
        <f t="shared" si="17"/>
        <v>D</v>
      </c>
    </row>
    <row r="374" spans="2:7" x14ac:dyDescent="0.25">
      <c r="B374" s="7" t="s">
        <v>692</v>
      </c>
      <c r="C374" s="8" t="s">
        <v>693</v>
      </c>
      <c r="D374" s="4" t="s">
        <v>154</v>
      </c>
      <c r="E374" s="20" t="str">
        <f t="shared" si="15"/>
        <v>HL</v>
      </c>
      <c r="F374" s="16" t="str">
        <f t="shared" si="16"/>
        <v>IC</v>
      </c>
      <c r="G374" s="21" t="str">
        <f t="shared" si="17"/>
        <v>K</v>
      </c>
    </row>
    <row r="375" spans="2:7" x14ac:dyDescent="0.25">
      <c r="B375" s="7" t="s">
        <v>694</v>
      </c>
      <c r="C375" s="8" t="s">
        <v>689</v>
      </c>
      <c r="D375" s="4" t="s">
        <v>69</v>
      </c>
      <c r="E375" s="20" t="str">
        <f t="shared" si="15"/>
        <v>HL</v>
      </c>
      <c r="F375" s="16" t="str">
        <f t="shared" si="16"/>
        <v>IC</v>
      </c>
      <c r="G375" s="21" t="str">
        <f t="shared" si="17"/>
        <v>P</v>
      </c>
    </row>
    <row r="376" spans="2:7" x14ac:dyDescent="0.25">
      <c r="B376" s="7" t="s">
        <v>695</v>
      </c>
      <c r="C376" s="8" t="s">
        <v>696</v>
      </c>
      <c r="D376" s="4" t="s">
        <v>78</v>
      </c>
      <c r="E376" s="20" t="str">
        <f t="shared" si="15"/>
        <v>HL</v>
      </c>
      <c r="F376" s="16" t="str">
        <f t="shared" si="16"/>
        <v>IC</v>
      </c>
      <c r="G376" s="21" t="str">
        <f t="shared" si="17"/>
        <v>V</v>
      </c>
    </row>
    <row r="377" spans="2:7" x14ac:dyDescent="0.25">
      <c r="B377" s="7" t="s">
        <v>697</v>
      </c>
      <c r="C377" s="8" t="s">
        <v>698</v>
      </c>
      <c r="D377" s="4" t="s">
        <v>24</v>
      </c>
      <c r="E377" s="20" t="str">
        <f t="shared" si="15"/>
        <v>HL</v>
      </c>
      <c r="F377" s="16" t="str">
        <f t="shared" si="16"/>
        <v>IS</v>
      </c>
      <c r="G377" s="21" t="str">
        <f t="shared" si="17"/>
        <v>B</v>
      </c>
    </row>
    <row r="378" spans="2:7" x14ac:dyDescent="0.25">
      <c r="B378" s="7" t="s">
        <v>38</v>
      </c>
      <c r="C378" s="8" t="s">
        <v>39</v>
      </c>
      <c r="D378" s="4" t="s">
        <v>24</v>
      </c>
      <c r="E378" s="20" t="str">
        <f t="shared" si="15"/>
        <v>HL</v>
      </c>
      <c r="F378" s="16" t="str">
        <f t="shared" si="16"/>
        <v>RC</v>
      </c>
      <c r="G378" s="21" t="str">
        <f t="shared" si="17"/>
        <v>B</v>
      </c>
    </row>
    <row r="379" spans="2:7" x14ac:dyDescent="0.25">
      <c r="B379" s="7" t="s">
        <v>699</v>
      </c>
      <c r="C379" s="8" t="s">
        <v>700</v>
      </c>
      <c r="D379" s="4" t="s">
        <v>74</v>
      </c>
      <c r="E379" s="20" t="str">
        <f t="shared" si="15"/>
        <v>HL</v>
      </c>
      <c r="F379" s="16" t="str">
        <f t="shared" si="16"/>
        <v>RC</v>
      </c>
      <c r="G379" s="21" t="str">
        <f t="shared" si="17"/>
        <v>D</v>
      </c>
    </row>
    <row r="380" spans="2:7" x14ac:dyDescent="0.25">
      <c r="B380" s="7" t="s">
        <v>701</v>
      </c>
      <c r="C380" s="8" t="s">
        <v>39</v>
      </c>
      <c r="D380" s="4" t="s">
        <v>69</v>
      </c>
      <c r="E380" s="20" t="str">
        <f t="shared" si="15"/>
        <v>HL</v>
      </c>
      <c r="F380" s="16" t="str">
        <f t="shared" si="16"/>
        <v>RC</v>
      </c>
      <c r="G380" s="21" t="str">
        <f t="shared" si="17"/>
        <v>P</v>
      </c>
    </row>
    <row r="381" spans="2:7" x14ac:dyDescent="0.25">
      <c r="B381" s="7" t="s">
        <v>702</v>
      </c>
      <c r="C381" s="8" t="s">
        <v>703</v>
      </c>
      <c r="D381" s="4" t="s">
        <v>78</v>
      </c>
      <c r="E381" s="20" t="str">
        <f t="shared" si="15"/>
        <v>HL</v>
      </c>
      <c r="F381" s="16" t="str">
        <f t="shared" si="16"/>
        <v>RC</v>
      </c>
      <c r="G381" s="21" t="str">
        <f t="shared" si="17"/>
        <v>V</v>
      </c>
    </row>
    <row r="382" spans="2:7" x14ac:dyDescent="0.25">
      <c r="B382" s="7" t="s">
        <v>704</v>
      </c>
      <c r="C382" s="8" t="s">
        <v>705</v>
      </c>
      <c r="D382" s="4" t="s">
        <v>24</v>
      </c>
      <c r="E382" s="20" t="str">
        <f t="shared" si="15"/>
        <v>HL</v>
      </c>
      <c r="F382" s="16" t="str">
        <f t="shared" si="16"/>
        <v>RF</v>
      </c>
      <c r="G382" s="21" t="str">
        <f t="shared" si="17"/>
        <v>B</v>
      </c>
    </row>
    <row r="383" spans="2:7" x14ac:dyDescent="0.25">
      <c r="B383" s="7" t="s">
        <v>706</v>
      </c>
      <c r="C383" s="8" t="s">
        <v>707</v>
      </c>
      <c r="D383" s="4" t="s">
        <v>24</v>
      </c>
      <c r="E383" s="20" t="str">
        <f t="shared" si="15"/>
        <v>HL</v>
      </c>
      <c r="F383" s="16" t="str">
        <f t="shared" si="16"/>
        <v>SC</v>
      </c>
      <c r="G383" s="21" t="str">
        <f t="shared" si="17"/>
        <v>B</v>
      </c>
    </row>
    <row r="384" spans="2:7" x14ac:dyDescent="0.25">
      <c r="B384" s="7" t="s">
        <v>708</v>
      </c>
      <c r="C384" s="8" t="s">
        <v>709</v>
      </c>
      <c r="D384" s="4" t="s">
        <v>24</v>
      </c>
      <c r="E384" s="20" t="str">
        <f t="shared" si="15"/>
        <v>HL</v>
      </c>
      <c r="F384" s="16" t="str">
        <f t="shared" si="16"/>
        <v>TC</v>
      </c>
      <c r="G384" s="21" t="str">
        <f t="shared" si="17"/>
        <v>B</v>
      </c>
    </row>
    <row r="385" spans="2:7" x14ac:dyDescent="0.25">
      <c r="B385" s="7" t="s">
        <v>710</v>
      </c>
      <c r="C385" s="8" t="s">
        <v>711</v>
      </c>
      <c r="D385" s="4" t="s">
        <v>74</v>
      </c>
      <c r="E385" s="20" t="str">
        <f t="shared" si="15"/>
        <v>HL</v>
      </c>
      <c r="F385" s="16" t="str">
        <f t="shared" si="16"/>
        <v>TC</v>
      </c>
      <c r="G385" s="21" t="str">
        <f t="shared" si="17"/>
        <v>D</v>
      </c>
    </row>
    <row r="386" spans="2:7" x14ac:dyDescent="0.25">
      <c r="B386" s="7" t="s">
        <v>712</v>
      </c>
      <c r="C386" s="8" t="s">
        <v>713</v>
      </c>
      <c r="D386" s="4" t="s">
        <v>154</v>
      </c>
      <c r="E386" s="20" t="str">
        <f t="shared" si="15"/>
        <v>HL</v>
      </c>
      <c r="F386" s="16" t="str">
        <f t="shared" si="16"/>
        <v>TC</v>
      </c>
      <c r="G386" s="21" t="str">
        <f t="shared" si="17"/>
        <v>K</v>
      </c>
    </row>
    <row r="387" spans="2:7" x14ac:dyDescent="0.25">
      <c r="B387" s="7" t="s">
        <v>714</v>
      </c>
      <c r="C387" s="8" t="s">
        <v>709</v>
      </c>
      <c r="D387" s="4" t="s">
        <v>69</v>
      </c>
      <c r="E387" s="20" t="str">
        <f t="shared" si="15"/>
        <v>HL</v>
      </c>
      <c r="F387" s="16" t="str">
        <f t="shared" si="16"/>
        <v>TC</v>
      </c>
      <c r="G387" s="21" t="str">
        <f t="shared" si="17"/>
        <v>P</v>
      </c>
    </row>
    <row r="388" spans="2:7" x14ac:dyDescent="0.25">
      <c r="B388" s="7" t="s">
        <v>715</v>
      </c>
      <c r="C388" s="8" t="s">
        <v>716</v>
      </c>
      <c r="D388" s="4" t="s">
        <v>78</v>
      </c>
      <c r="E388" s="20" t="str">
        <f t="shared" si="15"/>
        <v>HL</v>
      </c>
      <c r="F388" s="16" t="str">
        <f t="shared" si="16"/>
        <v>TC</v>
      </c>
      <c r="G388" s="21" t="str">
        <f t="shared" si="17"/>
        <v>V</v>
      </c>
    </row>
    <row r="389" spans="2:7" x14ac:dyDescent="0.25">
      <c r="B389" s="7" t="s">
        <v>717</v>
      </c>
      <c r="C389" s="8" t="s">
        <v>718</v>
      </c>
      <c r="D389" s="4" t="s">
        <v>24</v>
      </c>
      <c r="E389" s="20" t="str">
        <f t="shared" si="15"/>
        <v>HL</v>
      </c>
      <c r="F389" s="16" t="str">
        <f t="shared" si="16"/>
        <v>TX</v>
      </c>
      <c r="G389" s="21" t="str">
        <f t="shared" si="17"/>
        <v>B</v>
      </c>
    </row>
    <row r="390" spans="2:7" x14ac:dyDescent="0.25">
      <c r="B390" s="7" t="s">
        <v>719</v>
      </c>
      <c r="C390" s="8" t="s">
        <v>720</v>
      </c>
      <c r="D390" s="4" t="s">
        <v>74</v>
      </c>
      <c r="E390" s="20" t="str">
        <f t="shared" si="15"/>
        <v>HL</v>
      </c>
      <c r="F390" s="16" t="str">
        <f t="shared" si="16"/>
        <v>TX</v>
      </c>
      <c r="G390" s="21" t="str">
        <f t="shared" si="17"/>
        <v>D</v>
      </c>
    </row>
    <row r="391" spans="2:7" x14ac:dyDescent="0.25">
      <c r="B391" s="7" t="s">
        <v>721</v>
      </c>
      <c r="C391" s="8" t="s">
        <v>718</v>
      </c>
      <c r="D391" s="4" t="s">
        <v>69</v>
      </c>
      <c r="E391" s="20" t="str">
        <f t="shared" si="15"/>
        <v>HL</v>
      </c>
      <c r="F391" s="16" t="str">
        <f t="shared" si="16"/>
        <v>TX</v>
      </c>
      <c r="G391" s="21" t="str">
        <f t="shared" si="17"/>
        <v>P</v>
      </c>
    </row>
    <row r="392" spans="2:7" x14ac:dyDescent="0.25">
      <c r="B392" s="7" t="s">
        <v>722</v>
      </c>
      <c r="C392" s="8" t="s">
        <v>723</v>
      </c>
      <c r="D392" s="4" t="s">
        <v>78</v>
      </c>
      <c r="E392" s="20" t="str">
        <f t="shared" si="15"/>
        <v>HL</v>
      </c>
      <c r="F392" s="16" t="str">
        <f t="shared" si="16"/>
        <v>TX</v>
      </c>
      <c r="G392" s="21" t="str">
        <f t="shared" si="17"/>
        <v>V</v>
      </c>
    </row>
    <row r="393" spans="2:7" x14ac:dyDescent="0.25">
      <c r="B393" s="7" t="s">
        <v>724</v>
      </c>
      <c r="C393" s="8" t="s">
        <v>725</v>
      </c>
      <c r="D393" s="4" t="s">
        <v>204</v>
      </c>
      <c r="E393" s="20" t="str">
        <f t="shared" si="15"/>
        <v>HP</v>
      </c>
      <c r="F393" s="16" t="str">
        <f t="shared" si="16"/>
        <v>CA</v>
      </c>
      <c r="G393" s="21" t="str">
        <f t="shared" si="17"/>
        <v>S</v>
      </c>
    </row>
    <row r="394" spans="2:7" x14ac:dyDescent="0.25">
      <c r="B394" s="7" t="s">
        <v>726</v>
      </c>
      <c r="C394" s="8" t="s">
        <v>727</v>
      </c>
      <c r="D394" s="4" t="s">
        <v>235</v>
      </c>
      <c r="E394" s="20" t="str">
        <f t="shared" si="15"/>
        <v>HP</v>
      </c>
      <c r="F394" s="16" t="str">
        <f t="shared" si="16"/>
        <v>GB</v>
      </c>
      <c r="G394" s="21" t="str">
        <f t="shared" si="17"/>
        <v>P</v>
      </c>
    </row>
    <row r="395" spans="2:7" x14ac:dyDescent="0.25">
      <c r="B395" s="7" t="s">
        <v>728</v>
      </c>
      <c r="C395" s="8" t="s">
        <v>729</v>
      </c>
      <c r="D395" s="4" t="s">
        <v>204</v>
      </c>
      <c r="E395" s="20" t="str">
        <f t="shared" si="15"/>
        <v>HV</v>
      </c>
      <c r="F395" s="16" t="str">
        <f t="shared" si="16"/>
        <v>CA</v>
      </c>
      <c r="G395" s="21" t="str">
        <f t="shared" si="17"/>
        <v>S</v>
      </c>
    </row>
    <row r="396" spans="2:7" x14ac:dyDescent="0.25">
      <c r="B396" s="7" t="s">
        <v>730</v>
      </c>
      <c r="C396" s="8" t="s">
        <v>731</v>
      </c>
      <c r="D396" s="4" t="s">
        <v>235</v>
      </c>
      <c r="E396" s="20" t="str">
        <f t="shared" si="15"/>
        <v>HV</v>
      </c>
      <c r="F396" s="16" t="str">
        <f t="shared" si="16"/>
        <v>GB</v>
      </c>
      <c r="G396" s="21" t="str">
        <f t="shared" si="17"/>
        <v>P</v>
      </c>
    </row>
    <row r="397" spans="2:7" x14ac:dyDescent="0.25">
      <c r="B397" s="7" t="s">
        <v>732</v>
      </c>
      <c r="C397" s="8" t="s">
        <v>733</v>
      </c>
      <c r="D397" s="4" t="s">
        <v>24</v>
      </c>
      <c r="E397" s="20" t="str">
        <f t="shared" si="15"/>
        <v>HY</v>
      </c>
      <c r="F397" s="16" t="str">
        <f t="shared" si="16"/>
        <v>CC</v>
      </c>
      <c r="G397" s="21" t="str">
        <f t="shared" si="17"/>
        <v>B</v>
      </c>
    </row>
    <row r="398" spans="2:7" x14ac:dyDescent="0.25">
      <c r="B398" s="7" t="s">
        <v>734</v>
      </c>
      <c r="C398" s="8" t="s">
        <v>735</v>
      </c>
      <c r="D398" s="4" t="s">
        <v>241</v>
      </c>
      <c r="E398" s="20" t="str">
        <f t="shared" si="15"/>
        <v>HY</v>
      </c>
      <c r="F398" s="16" t="str">
        <f t="shared" si="16"/>
        <v>CC</v>
      </c>
      <c r="G398" s="21" t="str">
        <f t="shared" si="17"/>
        <v>P</v>
      </c>
    </row>
    <row r="399" spans="2:7" x14ac:dyDescent="0.25">
      <c r="B399" s="7" t="s">
        <v>736</v>
      </c>
      <c r="C399" s="8" t="s">
        <v>737</v>
      </c>
      <c r="D399" s="4" t="s">
        <v>24</v>
      </c>
      <c r="E399" s="20" t="str">
        <f t="shared" si="15"/>
        <v>HY</v>
      </c>
      <c r="F399" s="16" t="str">
        <f t="shared" si="16"/>
        <v>EG</v>
      </c>
      <c r="G399" s="21" t="str">
        <f t="shared" si="17"/>
        <v>B</v>
      </c>
    </row>
    <row r="400" spans="2:7" x14ac:dyDescent="0.25">
      <c r="B400" s="7" t="s">
        <v>738</v>
      </c>
      <c r="C400" s="8" t="s">
        <v>739</v>
      </c>
      <c r="D400" s="4" t="s">
        <v>241</v>
      </c>
      <c r="E400" s="20" t="str">
        <f t="shared" ref="E400:E463" si="18">LEFT(B400,2)</f>
        <v>HY</v>
      </c>
      <c r="F400" s="16" t="str">
        <f t="shared" ref="F400:F463" si="19">MID(B400,3,2)</f>
        <v>EG</v>
      </c>
      <c r="G400" s="21" t="str">
        <f t="shared" ref="G400:G463" si="20">RIGHT(B400,1)</f>
        <v>P</v>
      </c>
    </row>
    <row r="401" spans="2:7" x14ac:dyDescent="0.25">
      <c r="B401" s="7" t="s">
        <v>740</v>
      </c>
      <c r="C401" s="8" t="s">
        <v>741</v>
      </c>
      <c r="D401" s="4" t="s">
        <v>24</v>
      </c>
      <c r="E401" s="20" t="str">
        <f t="shared" si="18"/>
        <v>HY</v>
      </c>
      <c r="F401" s="16" t="str">
        <f t="shared" si="19"/>
        <v>IC</v>
      </c>
      <c r="G401" s="21" t="str">
        <f t="shared" si="20"/>
        <v>B</v>
      </c>
    </row>
    <row r="402" spans="2:7" x14ac:dyDescent="0.25">
      <c r="B402" s="7" t="s">
        <v>742</v>
      </c>
      <c r="C402" s="8" t="s">
        <v>743</v>
      </c>
      <c r="D402" s="4" t="s">
        <v>241</v>
      </c>
      <c r="E402" s="20" t="str">
        <f t="shared" si="18"/>
        <v>HY</v>
      </c>
      <c r="F402" s="16" t="str">
        <f t="shared" si="19"/>
        <v>IC</v>
      </c>
      <c r="G402" s="21" t="str">
        <f t="shared" si="20"/>
        <v>P</v>
      </c>
    </row>
    <row r="403" spans="2:7" x14ac:dyDescent="0.25">
      <c r="B403" s="7" t="s">
        <v>744</v>
      </c>
      <c r="C403" s="8" t="s">
        <v>745</v>
      </c>
      <c r="D403" s="4" t="s">
        <v>24</v>
      </c>
      <c r="E403" s="20" t="str">
        <f t="shared" si="18"/>
        <v>HY</v>
      </c>
      <c r="F403" s="16" t="str">
        <f t="shared" si="19"/>
        <v>TC</v>
      </c>
      <c r="G403" s="21" t="str">
        <f t="shared" si="20"/>
        <v>B</v>
      </c>
    </row>
    <row r="404" spans="2:7" x14ac:dyDescent="0.25">
      <c r="B404" s="7" t="s">
        <v>746</v>
      </c>
      <c r="C404" s="8" t="s">
        <v>747</v>
      </c>
      <c r="D404" s="4" t="s">
        <v>241</v>
      </c>
      <c r="E404" s="20" t="str">
        <f t="shared" si="18"/>
        <v>HY</v>
      </c>
      <c r="F404" s="16" t="str">
        <f t="shared" si="19"/>
        <v>TC</v>
      </c>
      <c r="G404" s="21" t="str">
        <f t="shared" si="20"/>
        <v>P</v>
      </c>
    </row>
    <row r="405" spans="2:7" x14ac:dyDescent="0.25">
      <c r="B405" s="7" t="s">
        <v>748</v>
      </c>
      <c r="C405" s="8" t="s">
        <v>749</v>
      </c>
      <c r="D405" s="4" t="s">
        <v>24</v>
      </c>
      <c r="E405" s="20" t="str">
        <f t="shared" si="18"/>
        <v>HY</v>
      </c>
      <c r="F405" s="16" t="str">
        <f t="shared" si="19"/>
        <v>TX</v>
      </c>
      <c r="G405" s="21" t="str">
        <f t="shared" si="20"/>
        <v>B</v>
      </c>
    </row>
    <row r="406" spans="2:7" x14ac:dyDescent="0.25">
      <c r="B406" s="7" t="s">
        <v>750</v>
      </c>
      <c r="C406" s="8" t="s">
        <v>751</v>
      </c>
      <c r="D406" s="4" t="s">
        <v>241</v>
      </c>
      <c r="E406" s="20" t="str">
        <f t="shared" si="18"/>
        <v>HY</v>
      </c>
      <c r="F406" s="16" t="str">
        <f t="shared" si="19"/>
        <v>TX</v>
      </c>
      <c r="G406" s="21" t="str">
        <f t="shared" si="20"/>
        <v>P</v>
      </c>
    </row>
    <row r="407" spans="2:7" x14ac:dyDescent="0.25">
      <c r="B407" s="7" t="s">
        <v>752</v>
      </c>
      <c r="C407" s="8" t="s">
        <v>753</v>
      </c>
      <c r="D407" s="4" t="s">
        <v>24</v>
      </c>
      <c r="E407" s="20" t="str">
        <f t="shared" si="18"/>
        <v>IQ</v>
      </c>
      <c r="F407" s="16" t="str">
        <f t="shared" si="19"/>
        <v>IC</v>
      </c>
      <c r="G407" s="21" t="str">
        <f t="shared" si="20"/>
        <v>B</v>
      </c>
    </row>
    <row r="408" spans="2:7" x14ac:dyDescent="0.25">
      <c r="B408" s="7" t="s">
        <v>754</v>
      </c>
      <c r="C408" s="8" t="s">
        <v>753</v>
      </c>
      <c r="D408" s="4" t="s">
        <v>69</v>
      </c>
      <c r="E408" s="20" t="str">
        <f t="shared" si="18"/>
        <v>IQ</v>
      </c>
      <c r="F408" s="16" t="str">
        <f t="shared" si="19"/>
        <v>IC</v>
      </c>
      <c r="G408" s="21" t="str">
        <f t="shared" si="20"/>
        <v>P</v>
      </c>
    </row>
    <row r="409" spans="2:7" x14ac:dyDescent="0.25">
      <c r="B409" s="7" t="s">
        <v>755</v>
      </c>
      <c r="C409" s="8" t="s">
        <v>756</v>
      </c>
      <c r="D409" s="4" t="s">
        <v>24</v>
      </c>
      <c r="E409" s="20" t="str">
        <f t="shared" si="18"/>
        <v>IQ</v>
      </c>
      <c r="F409" s="16" t="str">
        <f t="shared" si="19"/>
        <v>TC</v>
      </c>
      <c r="G409" s="21" t="str">
        <f t="shared" si="20"/>
        <v>B</v>
      </c>
    </row>
    <row r="410" spans="2:7" x14ac:dyDescent="0.25">
      <c r="B410" s="7" t="s">
        <v>757</v>
      </c>
      <c r="C410" s="8" t="s">
        <v>756</v>
      </c>
      <c r="D410" s="4" t="s">
        <v>69</v>
      </c>
      <c r="E410" s="20" t="str">
        <f t="shared" si="18"/>
        <v>IQ</v>
      </c>
      <c r="F410" s="16" t="str">
        <f t="shared" si="19"/>
        <v>TC</v>
      </c>
      <c r="G410" s="21" t="str">
        <f t="shared" si="20"/>
        <v>P</v>
      </c>
    </row>
    <row r="411" spans="2:7" x14ac:dyDescent="0.25">
      <c r="B411" s="7" t="s">
        <v>758</v>
      </c>
      <c r="C411" s="8" t="s">
        <v>759</v>
      </c>
      <c r="D411" s="4" t="s">
        <v>24</v>
      </c>
      <c r="E411" s="20" t="str">
        <f t="shared" si="18"/>
        <v>IY</v>
      </c>
      <c r="F411" s="16" t="str">
        <f t="shared" si="19"/>
        <v>IC</v>
      </c>
      <c r="G411" s="21" t="str">
        <f t="shared" si="20"/>
        <v>B</v>
      </c>
    </row>
    <row r="412" spans="2:7" x14ac:dyDescent="0.25">
      <c r="B412" s="7" t="s">
        <v>760</v>
      </c>
      <c r="C412" s="8" t="s">
        <v>759</v>
      </c>
      <c r="D412" s="4" t="s">
        <v>69</v>
      </c>
      <c r="E412" s="20" t="str">
        <f t="shared" si="18"/>
        <v>IY</v>
      </c>
      <c r="F412" s="16" t="str">
        <f t="shared" si="19"/>
        <v>IC</v>
      </c>
      <c r="G412" s="21" t="str">
        <f t="shared" si="20"/>
        <v>P</v>
      </c>
    </row>
    <row r="413" spans="2:7" x14ac:dyDescent="0.25">
      <c r="B413" s="7" t="s">
        <v>761</v>
      </c>
      <c r="C413" s="8" t="s">
        <v>762</v>
      </c>
      <c r="D413" s="4" t="s">
        <v>24</v>
      </c>
      <c r="E413" s="20" t="str">
        <f t="shared" si="18"/>
        <v>IY</v>
      </c>
      <c r="F413" s="16" t="str">
        <f t="shared" si="19"/>
        <v>TC</v>
      </c>
      <c r="G413" s="21" t="str">
        <f t="shared" si="20"/>
        <v>B</v>
      </c>
    </row>
    <row r="414" spans="2:7" x14ac:dyDescent="0.25">
      <c r="B414" s="7" t="s">
        <v>763</v>
      </c>
      <c r="C414" s="8" t="s">
        <v>762</v>
      </c>
      <c r="D414" s="4" t="s">
        <v>69</v>
      </c>
      <c r="E414" s="20" t="str">
        <f t="shared" si="18"/>
        <v>IY</v>
      </c>
      <c r="F414" s="16" t="str">
        <f t="shared" si="19"/>
        <v>TC</v>
      </c>
      <c r="G414" s="21" t="str">
        <f t="shared" si="20"/>
        <v>P</v>
      </c>
    </row>
    <row r="415" spans="2:7" x14ac:dyDescent="0.25">
      <c r="B415" s="7" t="s">
        <v>764</v>
      </c>
      <c r="C415" s="8" t="s">
        <v>765</v>
      </c>
      <c r="D415" s="4" t="s">
        <v>24</v>
      </c>
      <c r="E415" s="20" t="str">
        <f t="shared" si="18"/>
        <v>JF</v>
      </c>
      <c r="F415" s="16" t="str">
        <f t="shared" si="19"/>
        <v>AC</v>
      </c>
      <c r="G415" s="21" t="str">
        <f t="shared" si="20"/>
        <v>B</v>
      </c>
    </row>
    <row r="416" spans="2:7" x14ac:dyDescent="0.25">
      <c r="B416" s="7" t="s">
        <v>766</v>
      </c>
      <c r="C416" s="8" t="s">
        <v>767</v>
      </c>
      <c r="D416" s="4" t="s">
        <v>74</v>
      </c>
      <c r="E416" s="20" t="str">
        <f t="shared" si="18"/>
        <v>JF</v>
      </c>
      <c r="F416" s="16" t="str">
        <f t="shared" si="19"/>
        <v>AC</v>
      </c>
      <c r="G416" s="21" t="str">
        <f t="shared" si="20"/>
        <v>D</v>
      </c>
    </row>
    <row r="417" spans="2:7" x14ac:dyDescent="0.25">
      <c r="B417" s="7" t="s">
        <v>768</v>
      </c>
      <c r="C417" s="8" t="s">
        <v>765</v>
      </c>
      <c r="D417" s="4" t="s">
        <v>69</v>
      </c>
      <c r="E417" s="20" t="str">
        <f t="shared" si="18"/>
        <v>JF</v>
      </c>
      <c r="F417" s="16" t="str">
        <f t="shared" si="19"/>
        <v>AC</v>
      </c>
      <c r="G417" s="21" t="str">
        <f t="shared" si="20"/>
        <v>P</v>
      </c>
    </row>
    <row r="418" spans="2:7" x14ac:dyDescent="0.25">
      <c r="B418" s="7" t="s">
        <v>769</v>
      </c>
      <c r="C418" s="8" t="s">
        <v>770</v>
      </c>
      <c r="D418" s="4" t="s">
        <v>78</v>
      </c>
      <c r="E418" s="20" t="str">
        <f t="shared" si="18"/>
        <v>JF</v>
      </c>
      <c r="F418" s="16" t="str">
        <f t="shared" si="19"/>
        <v>AC</v>
      </c>
      <c r="G418" s="21" t="str">
        <f t="shared" si="20"/>
        <v>V</v>
      </c>
    </row>
    <row r="419" spans="2:7" x14ac:dyDescent="0.25">
      <c r="B419" s="7" t="s">
        <v>771</v>
      </c>
      <c r="C419" s="8" t="s">
        <v>772</v>
      </c>
      <c r="D419" s="4" t="s">
        <v>24</v>
      </c>
      <c r="E419" s="20" t="str">
        <f t="shared" si="18"/>
        <v>JF</v>
      </c>
      <c r="F419" s="16" t="str">
        <f t="shared" si="19"/>
        <v>TC</v>
      </c>
      <c r="G419" s="21" t="str">
        <f t="shared" si="20"/>
        <v>B</v>
      </c>
    </row>
    <row r="420" spans="2:7" x14ac:dyDescent="0.25">
      <c r="B420" s="7" t="s">
        <v>773</v>
      </c>
      <c r="C420" s="8" t="s">
        <v>774</v>
      </c>
      <c r="D420" s="4" t="s">
        <v>74</v>
      </c>
      <c r="E420" s="20" t="str">
        <f t="shared" si="18"/>
        <v>JF</v>
      </c>
      <c r="F420" s="16" t="str">
        <f t="shared" si="19"/>
        <v>TC</v>
      </c>
      <c r="G420" s="21" t="str">
        <f t="shared" si="20"/>
        <v>D</v>
      </c>
    </row>
    <row r="421" spans="2:7" x14ac:dyDescent="0.25">
      <c r="B421" s="7" t="s">
        <v>775</v>
      </c>
      <c r="C421" s="8" t="s">
        <v>772</v>
      </c>
      <c r="D421" s="4" t="s">
        <v>69</v>
      </c>
      <c r="E421" s="20" t="str">
        <f t="shared" si="18"/>
        <v>JF</v>
      </c>
      <c r="F421" s="16" t="str">
        <f t="shared" si="19"/>
        <v>TC</v>
      </c>
      <c r="G421" s="21" t="str">
        <f t="shared" si="20"/>
        <v>P</v>
      </c>
    </row>
    <row r="422" spans="2:7" x14ac:dyDescent="0.25">
      <c r="B422" s="7" t="s">
        <v>776</v>
      </c>
      <c r="C422" s="8" t="s">
        <v>777</v>
      </c>
      <c r="D422" s="4" t="s">
        <v>78</v>
      </c>
      <c r="E422" s="20" t="str">
        <f t="shared" si="18"/>
        <v>JF</v>
      </c>
      <c r="F422" s="16" t="str">
        <f t="shared" si="19"/>
        <v>TC</v>
      </c>
      <c r="G422" s="21" t="str">
        <f t="shared" si="20"/>
        <v>V</v>
      </c>
    </row>
    <row r="423" spans="2:7" x14ac:dyDescent="0.25">
      <c r="B423" s="7" t="s">
        <v>778</v>
      </c>
      <c r="C423" s="8" t="s">
        <v>779</v>
      </c>
      <c r="D423" s="4" t="s">
        <v>24</v>
      </c>
      <c r="E423" s="20" t="str">
        <f t="shared" si="18"/>
        <v>JF</v>
      </c>
      <c r="F423" s="16" t="str">
        <f t="shared" si="19"/>
        <v>TX</v>
      </c>
      <c r="G423" s="21" t="str">
        <f t="shared" si="20"/>
        <v>B</v>
      </c>
    </row>
    <row r="424" spans="2:7" x14ac:dyDescent="0.25">
      <c r="B424" s="7" t="s">
        <v>780</v>
      </c>
      <c r="C424" s="8" t="s">
        <v>781</v>
      </c>
      <c r="D424" s="4" t="s">
        <v>74</v>
      </c>
      <c r="E424" s="20" t="str">
        <f t="shared" si="18"/>
        <v>JF</v>
      </c>
      <c r="F424" s="16" t="str">
        <f t="shared" si="19"/>
        <v>TX</v>
      </c>
      <c r="G424" s="21" t="str">
        <f t="shared" si="20"/>
        <v>D</v>
      </c>
    </row>
    <row r="425" spans="2:7" x14ac:dyDescent="0.25">
      <c r="B425" s="7" t="s">
        <v>782</v>
      </c>
      <c r="C425" s="8" t="s">
        <v>779</v>
      </c>
      <c r="D425" s="4" t="s">
        <v>69</v>
      </c>
      <c r="E425" s="20" t="str">
        <f t="shared" si="18"/>
        <v>JF</v>
      </c>
      <c r="F425" s="16" t="str">
        <f t="shared" si="19"/>
        <v>TX</v>
      </c>
      <c r="G425" s="21" t="str">
        <f t="shared" si="20"/>
        <v>P</v>
      </c>
    </row>
    <row r="426" spans="2:7" x14ac:dyDescent="0.25">
      <c r="B426" s="7" t="s">
        <v>783</v>
      </c>
      <c r="C426" s="8" t="s">
        <v>784</v>
      </c>
      <c r="D426" s="4" t="s">
        <v>78</v>
      </c>
      <c r="E426" s="20" t="str">
        <f t="shared" si="18"/>
        <v>JF</v>
      </c>
      <c r="F426" s="16" t="str">
        <f t="shared" si="19"/>
        <v>TX</v>
      </c>
      <c r="G426" s="21" t="str">
        <f t="shared" si="20"/>
        <v>V</v>
      </c>
    </row>
    <row r="427" spans="2:7" x14ac:dyDescent="0.25">
      <c r="B427" s="7" t="s">
        <v>785</v>
      </c>
      <c r="C427" s="8" t="s">
        <v>786</v>
      </c>
      <c r="D427" s="4" t="s">
        <v>24</v>
      </c>
      <c r="E427" s="20" t="str">
        <f t="shared" si="18"/>
        <v>KS</v>
      </c>
      <c r="F427" s="16" t="str">
        <f t="shared" si="19"/>
        <v>CC</v>
      </c>
      <c r="G427" s="21" t="str">
        <f t="shared" si="20"/>
        <v>B</v>
      </c>
    </row>
    <row r="428" spans="2:7" x14ac:dyDescent="0.25">
      <c r="B428" s="7" t="s">
        <v>787</v>
      </c>
      <c r="C428" s="8" t="s">
        <v>788</v>
      </c>
      <c r="D428" s="4" t="s">
        <v>74</v>
      </c>
      <c r="E428" s="20" t="str">
        <f t="shared" si="18"/>
        <v>KS</v>
      </c>
      <c r="F428" s="16" t="str">
        <f t="shared" si="19"/>
        <v>CC</v>
      </c>
      <c r="G428" s="21" t="str">
        <f t="shared" si="20"/>
        <v>D</v>
      </c>
    </row>
    <row r="429" spans="2:7" x14ac:dyDescent="0.25">
      <c r="B429" s="7" t="s">
        <v>789</v>
      </c>
      <c r="C429" s="8" t="s">
        <v>786</v>
      </c>
      <c r="D429" s="4" t="s">
        <v>69</v>
      </c>
      <c r="E429" s="20" t="str">
        <f t="shared" si="18"/>
        <v>KS</v>
      </c>
      <c r="F429" s="16" t="str">
        <f t="shared" si="19"/>
        <v>CC</v>
      </c>
      <c r="G429" s="21" t="str">
        <f t="shared" si="20"/>
        <v>P</v>
      </c>
    </row>
    <row r="430" spans="2:7" x14ac:dyDescent="0.25">
      <c r="B430" s="7" t="s">
        <v>790</v>
      </c>
      <c r="C430" s="8" t="s">
        <v>791</v>
      </c>
      <c r="D430" s="4" t="s">
        <v>78</v>
      </c>
      <c r="E430" s="20" t="str">
        <f t="shared" si="18"/>
        <v>KS</v>
      </c>
      <c r="F430" s="16" t="str">
        <f t="shared" si="19"/>
        <v>CC</v>
      </c>
      <c r="G430" s="21" t="str">
        <f t="shared" si="20"/>
        <v>V</v>
      </c>
    </row>
    <row r="431" spans="2:7" x14ac:dyDescent="0.25">
      <c r="B431" s="7" t="s">
        <v>792</v>
      </c>
      <c r="C431" s="8" t="s">
        <v>793</v>
      </c>
      <c r="D431" s="4" t="s">
        <v>24</v>
      </c>
      <c r="E431" s="20" t="str">
        <f t="shared" si="18"/>
        <v>KS</v>
      </c>
      <c r="F431" s="16" t="str">
        <f t="shared" si="19"/>
        <v>IC</v>
      </c>
      <c r="G431" s="21" t="str">
        <f t="shared" si="20"/>
        <v>B</v>
      </c>
    </row>
    <row r="432" spans="2:7" x14ac:dyDescent="0.25">
      <c r="B432" s="7" t="s">
        <v>794</v>
      </c>
      <c r="C432" s="8" t="s">
        <v>795</v>
      </c>
      <c r="D432" s="4" t="s">
        <v>74</v>
      </c>
      <c r="E432" s="20" t="str">
        <f t="shared" si="18"/>
        <v>KS</v>
      </c>
      <c r="F432" s="16" t="str">
        <f t="shared" si="19"/>
        <v>IC</v>
      </c>
      <c r="G432" s="21" t="str">
        <f t="shared" si="20"/>
        <v>D</v>
      </c>
    </row>
    <row r="433" spans="2:7" x14ac:dyDescent="0.25">
      <c r="B433" s="7" t="s">
        <v>796</v>
      </c>
      <c r="C433" s="8" t="s">
        <v>793</v>
      </c>
      <c r="D433" s="4" t="s">
        <v>69</v>
      </c>
      <c r="E433" s="20" t="str">
        <f t="shared" si="18"/>
        <v>KS</v>
      </c>
      <c r="F433" s="16" t="str">
        <f t="shared" si="19"/>
        <v>IC</v>
      </c>
      <c r="G433" s="21" t="str">
        <f t="shared" si="20"/>
        <v>P</v>
      </c>
    </row>
    <row r="434" spans="2:7" x14ac:dyDescent="0.25">
      <c r="B434" s="7" t="s">
        <v>797</v>
      </c>
      <c r="C434" s="8" t="s">
        <v>798</v>
      </c>
      <c r="D434" s="4" t="s">
        <v>78</v>
      </c>
      <c r="E434" s="20" t="str">
        <f t="shared" si="18"/>
        <v>KS</v>
      </c>
      <c r="F434" s="16" t="str">
        <f t="shared" si="19"/>
        <v>IC</v>
      </c>
      <c r="G434" s="21" t="str">
        <f t="shared" si="20"/>
        <v>V</v>
      </c>
    </row>
    <row r="435" spans="2:7" x14ac:dyDescent="0.25">
      <c r="B435" s="7" t="s">
        <v>40</v>
      </c>
      <c r="C435" s="8" t="s">
        <v>41</v>
      </c>
      <c r="D435" s="4" t="s">
        <v>24</v>
      </c>
      <c r="E435" s="20" t="str">
        <f t="shared" si="18"/>
        <v>KS</v>
      </c>
      <c r="F435" s="16" t="str">
        <f t="shared" si="19"/>
        <v>RC</v>
      </c>
      <c r="G435" s="21" t="str">
        <f t="shared" si="20"/>
        <v>B</v>
      </c>
    </row>
    <row r="436" spans="2:7" x14ac:dyDescent="0.25">
      <c r="B436" s="7" t="s">
        <v>799</v>
      </c>
      <c r="C436" s="8" t="s">
        <v>800</v>
      </c>
      <c r="D436" s="4" t="s">
        <v>74</v>
      </c>
      <c r="E436" s="20" t="str">
        <f t="shared" si="18"/>
        <v>KS</v>
      </c>
      <c r="F436" s="16" t="str">
        <f t="shared" si="19"/>
        <v>RC</v>
      </c>
      <c r="G436" s="21" t="str">
        <f t="shared" si="20"/>
        <v>D</v>
      </c>
    </row>
    <row r="437" spans="2:7" x14ac:dyDescent="0.25">
      <c r="B437" s="7" t="s">
        <v>801</v>
      </c>
      <c r="C437" s="8" t="s">
        <v>41</v>
      </c>
      <c r="D437" s="4" t="s">
        <v>69</v>
      </c>
      <c r="E437" s="20" t="str">
        <f t="shared" si="18"/>
        <v>KS</v>
      </c>
      <c r="F437" s="16" t="str">
        <f t="shared" si="19"/>
        <v>RC</v>
      </c>
      <c r="G437" s="21" t="str">
        <f t="shared" si="20"/>
        <v>P</v>
      </c>
    </row>
    <row r="438" spans="2:7" x14ac:dyDescent="0.25">
      <c r="B438" s="7" t="s">
        <v>802</v>
      </c>
      <c r="C438" s="8" t="s">
        <v>803</v>
      </c>
      <c r="D438" s="4" t="s">
        <v>78</v>
      </c>
      <c r="E438" s="20" t="str">
        <f t="shared" si="18"/>
        <v>KS</v>
      </c>
      <c r="F438" s="16" t="str">
        <f t="shared" si="19"/>
        <v>RC</v>
      </c>
      <c r="G438" s="21" t="str">
        <f t="shared" si="20"/>
        <v>V</v>
      </c>
    </row>
    <row r="439" spans="2:7" x14ac:dyDescent="0.25">
      <c r="B439" s="7" t="s">
        <v>804</v>
      </c>
      <c r="C439" s="8" t="s">
        <v>805</v>
      </c>
      <c r="D439" s="4" t="s">
        <v>24</v>
      </c>
      <c r="E439" s="20" t="str">
        <f t="shared" si="18"/>
        <v>KS</v>
      </c>
      <c r="F439" s="16" t="str">
        <f t="shared" si="19"/>
        <v>TC</v>
      </c>
      <c r="G439" s="21" t="str">
        <f t="shared" si="20"/>
        <v>B</v>
      </c>
    </row>
    <row r="440" spans="2:7" x14ac:dyDescent="0.25">
      <c r="B440" s="7" t="s">
        <v>806</v>
      </c>
      <c r="C440" s="8" t="s">
        <v>807</v>
      </c>
      <c r="D440" s="4" t="s">
        <v>74</v>
      </c>
      <c r="E440" s="20" t="str">
        <f t="shared" si="18"/>
        <v>KS</v>
      </c>
      <c r="F440" s="16" t="str">
        <f t="shared" si="19"/>
        <v>TC</v>
      </c>
      <c r="G440" s="21" t="str">
        <f t="shared" si="20"/>
        <v>D</v>
      </c>
    </row>
    <row r="441" spans="2:7" x14ac:dyDescent="0.25">
      <c r="B441" s="7" t="s">
        <v>808</v>
      </c>
      <c r="C441" s="8" t="s">
        <v>805</v>
      </c>
      <c r="D441" s="4" t="s">
        <v>69</v>
      </c>
      <c r="E441" s="20" t="str">
        <f t="shared" si="18"/>
        <v>KS</v>
      </c>
      <c r="F441" s="16" t="str">
        <f t="shared" si="19"/>
        <v>TC</v>
      </c>
      <c r="G441" s="21" t="str">
        <f t="shared" si="20"/>
        <v>P</v>
      </c>
    </row>
    <row r="442" spans="2:7" x14ac:dyDescent="0.25">
      <c r="B442" s="7" t="s">
        <v>809</v>
      </c>
      <c r="C442" s="8" t="s">
        <v>810</v>
      </c>
      <c r="D442" s="4" t="s">
        <v>78</v>
      </c>
      <c r="E442" s="20" t="str">
        <f t="shared" si="18"/>
        <v>KS</v>
      </c>
      <c r="F442" s="16" t="str">
        <f t="shared" si="19"/>
        <v>TC</v>
      </c>
      <c r="G442" s="21" t="str">
        <f t="shared" si="20"/>
        <v>V</v>
      </c>
    </row>
    <row r="443" spans="2:7" x14ac:dyDescent="0.25">
      <c r="B443" s="7" t="s">
        <v>811</v>
      </c>
      <c r="C443" s="8" t="s">
        <v>812</v>
      </c>
      <c r="D443" s="4" t="s">
        <v>24</v>
      </c>
      <c r="E443" s="20" t="str">
        <f t="shared" si="18"/>
        <v>KS</v>
      </c>
      <c r="F443" s="16" t="str">
        <f t="shared" si="19"/>
        <v>TX</v>
      </c>
      <c r="G443" s="21" t="str">
        <f t="shared" si="20"/>
        <v>B</v>
      </c>
    </row>
    <row r="444" spans="2:7" x14ac:dyDescent="0.25">
      <c r="B444" s="7" t="s">
        <v>813</v>
      </c>
      <c r="C444" s="8" t="s">
        <v>814</v>
      </c>
      <c r="D444" s="4" t="s">
        <v>74</v>
      </c>
      <c r="E444" s="20" t="str">
        <f t="shared" si="18"/>
        <v>KS</v>
      </c>
      <c r="F444" s="16" t="str">
        <f t="shared" si="19"/>
        <v>TX</v>
      </c>
      <c r="G444" s="21" t="str">
        <f t="shared" si="20"/>
        <v>D</v>
      </c>
    </row>
    <row r="445" spans="2:7" x14ac:dyDescent="0.25">
      <c r="B445" s="7" t="s">
        <v>815</v>
      </c>
      <c r="C445" s="8" t="s">
        <v>812</v>
      </c>
      <c r="D445" s="4" t="s">
        <v>69</v>
      </c>
      <c r="E445" s="20" t="str">
        <f t="shared" si="18"/>
        <v>KS</v>
      </c>
      <c r="F445" s="16" t="str">
        <f t="shared" si="19"/>
        <v>TX</v>
      </c>
      <c r="G445" s="21" t="str">
        <f t="shared" si="20"/>
        <v>P</v>
      </c>
    </row>
    <row r="446" spans="2:7" x14ac:dyDescent="0.25">
      <c r="B446" s="7" t="s">
        <v>816</v>
      </c>
      <c r="C446" s="8" t="s">
        <v>817</v>
      </c>
      <c r="D446" s="4" t="s">
        <v>78</v>
      </c>
      <c r="E446" s="20" t="str">
        <f t="shared" si="18"/>
        <v>KS</v>
      </c>
      <c r="F446" s="16" t="str">
        <f t="shared" si="19"/>
        <v>TX</v>
      </c>
      <c r="G446" s="21" t="str">
        <f t="shared" si="20"/>
        <v>V</v>
      </c>
    </row>
    <row r="447" spans="2:7" x14ac:dyDescent="0.25">
      <c r="B447" s="7" t="s">
        <v>818</v>
      </c>
      <c r="C447" s="8" t="s">
        <v>819</v>
      </c>
      <c r="D447" s="4" t="s">
        <v>238</v>
      </c>
      <c r="E447" s="20" t="str">
        <f t="shared" si="18"/>
        <v>LD</v>
      </c>
      <c r="F447" s="16" t="str">
        <f t="shared" si="19"/>
        <v>VH</v>
      </c>
      <c r="G447" s="21" t="str">
        <f t="shared" si="20"/>
        <v>N</v>
      </c>
    </row>
    <row r="448" spans="2:7" x14ac:dyDescent="0.25">
      <c r="B448" s="7" t="s">
        <v>820</v>
      </c>
      <c r="C448" s="8" t="s">
        <v>821</v>
      </c>
      <c r="D448" s="4" t="s">
        <v>24</v>
      </c>
      <c r="E448" s="20" t="str">
        <f t="shared" si="18"/>
        <v>LO</v>
      </c>
      <c r="F448" s="16" t="str">
        <f t="shared" si="19"/>
        <v>AC</v>
      </c>
      <c r="G448" s="21" t="str">
        <f t="shared" si="20"/>
        <v>B</v>
      </c>
    </row>
    <row r="449" spans="2:7" x14ac:dyDescent="0.25">
      <c r="B449" s="7" t="s">
        <v>822</v>
      </c>
      <c r="C449" s="8" t="s">
        <v>823</v>
      </c>
      <c r="D449" s="4" t="s">
        <v>24</v>
      </c>
      <c r="E449" s="20" t="str">
        <f t="shared" si="18"/>
        <v>LO</v>
      </c>
      <c r="F449" s="16" t="str">
        <f t="shared" si="19"/>
        <v>CC</v>
      </c>
      <c r="G449" s="21" t="str">
        <f t="shared" si="20"/>
        <v>B</v>
      </c>
    </row>
    <row r="450" spans="2:7" x14ac:dyDescent="0.25">
      <c r="B450" s="7" t="s">
        <v>824</v>
      </c>
      <c r="C450" s="8" t="s">
        <v>825</v>
      </c>
      <c r="D450" s="4" t="s">
        <v>24</v>
      </c>
      <c r="E450" s="20" t="str">
        <f t="shared" si="18"/>
        <v>LO</v>
      </c>
      <c r="F450" s="16" t="str">
        <f t="shared" si="19"/>
        <v>IC</v>
      </c>
      <c r="G450" s="21" t="str">
        <f t="shared" si="20"/>
        <v>B</v>
      </c>
    </row>
    <row r="451" spans="2:7" x14ac:dyDescent="0.25">
      <c r="B451" s="7" t="s">
        <v>42</v>
      </c>
      <c r="C451" s="8" t="s">
        <v>43</v>
      </c>
      <c r="D451" s="4" t="s">
        <v>24</v>
      </c>
      <c r="E451" s="20" t="str">
        <f t="shared" si="18"/>
        <v>LO</v>
      </c>
      <c r="F451" s="16" t="str">
        <f t="shared" si="19"/>
        <v>RC</v>
      </c>
      <c r="G451" s="21" t="str">
        <f t="shared" si="20"/>
        <v>B</v>
      </c>
    </row>
    <row r="452" spans="2:7" x14ac:dyDescent="0.25">
      <c r="B452" s="7" t="s">
        <v>826</v>
      </c>
      <c r="C452" s="8" t="s">
        <v>827</v>
      </c>
      <c r="D452" s="4" t="s">
        <v>24</v>
      </c>
      <c r="E452" s="20" t="str">
        <f t="shared" si="18"/>
        <v>LO</v>
      </c>
      <c r="F452" s="16" t="str">
        <f t="shared" si="19"/>
        <v>TC</v>
      </c>
      <c r="G452" s="21" t="str">
        <f t="shared" si="20"/>
        <v>B</v>
      </c>
    </row>
    <row r="453" spans="2:7" x14ac:dyDescent="0.25">
      <c r="B453" s="7" t="s">
        <v>828</v>
      </c>
      <c r="C453" s="8" t="s">
        <v>829</v>
      </c>
      <c r="D453" s="4" t="s">
        <v>24</v>
      </c>
      <c r="E453" s="20" t="str">
        <f t="shared" si="18"/>
        <v>LO</v>
      </c>
      <c r="F453" s="16" t="str">
        <f t="shared" si="19"/>
        <v>TX</v>
      </c>
      <c r="G453" s="21" t="str">
        <f t="shared" si="20"/>
        <v>B</v>
      </c>
    </row>
    <row r="454" spans="2:7" x14ac:dyDescent="0.25">
      <c r="B454" s="7" t="s">
        <v>830</v>
      </c>
      <c r="C454" s="8" t="s">
        <v>831</v>
      </c>
      <c r="D454" s="4" t="s">
        <v>24</v>
      </c>
      <c r="E454" s="20" t="str">
        <f t="shared" si="18"/>
        <v>LU</v>
      </c>
      <c r="F454" s="16" t="str">
        <f t="shared" si="19"/>
        <v>AC</v>
      </c>
      <c r="G454" s="21" t="str">
        <f t="shared" si="20"/>
        <v>B</v>
      </c>
    </row>
    <row r="455" spans="2:7" x14ac:dyDescent="0.25">
      <c r="B455" s="7" t="s">
        <v>832</v>
      </c>
      <c r="C455" s="8" t="s">
        <v>833</v>
      </c>
      <c r="D455" s="4" t="s">
        <v>74</v>
      </c>
      <c r="E455" s="20" t="str">
        <f t="shared" si="18"/>
        <v>LU</v>
      </c>
      <c r="F455" s="16" t="str">
        <f t="shared" si="19"/>
        <v>AC</v>
      </c>
      <c r="G455" s="21" t="str">
        <f t="shared" si="20"/>
        <v>D</v>
      </c>
    </row>
    <row r="456" spans="2:7" x14ac:dyDescent="0.25">
      <c r="B456" s="7" t="s">
        <v>834</v>
      </c>
      <c r="C456" s="8" t="s">
        <v>831</v>
      </c>
      <c r="D456" s="4" t="s">
        <v>69</v>
      </c>
      <c r="E456" s="20" t="str">
        <f t="shared" si="18"/>
        <v>LU</v>
      </c>
      <c r="F456" s="16" t="str">
        <f t="shared" si="19"/>
        <v>AC</v>
      </c>
      <c r="G456" s="21" t="str">
        <f t="shared" si="20"/>
        <v>P</v>
      </c>
    </row>
    <row r="457" spans="2:7" x14ac:dyDescent="0.25">
      <c r="B457" s="7" t="s">
        <v>835</v>
      </c>
      <c r="C457" s="8" t="s">
        <v>836</v>
      </c>
      <c r="D457" s="4" t="s">
        <v>78</v>
      </c>
      <c r="E457" s="20" t="str">
        <f t="shared" si="18"/>
        <v>LU</v>
      </c>
      <c r="F457" s="16" t="str">
        <f t="shared" si="19"/>
        <v>AC</v>
      </c>
      <c r="G457" s="21" t="str">
        <f t="shared" si="20"/>
        <v>V</v>
      </c>
    </row>
    <row r="458" spans="2:7" x14ac:dyDescent="0.25">
      <c r="B458" s="7" t="s">
        <v>837</v>
      </c>
      <c r="C458" s="8" t="s">
        <v>838</v>
      </c>
      <c r="D458" s="4" t="s">
        <v>24</v>
      </c>
      <c r="E458" s="20" t="str">
        <f t="shared" si="18"/>
        <v>LU</v>
      </c>
      <c r="F458" s="16" t="str">
        <f t="shared" si="19"/>
        <v>IC</v>
      </c>
      <c r="G458" s="21" t="str">
        <f t="shared" si="20"/>
        <v>B</v>
      </c>
    </row>
    <row r="459" spans="2:7" x14ac:dyDescent="0.25">
      <c r="B459" s="7" t="s">
        <v>839</v>
      </c>
      <c r="C459" s="8" t="s">
        <v>840</v>
      </c>
      <c r="D459" s="4" t="s">
        <v>74</v>
      </c>
      <c r="E459" s="20" t="str">
        <f t="shared" si="18"/>
        <v>LU</v>
      </c>
      <c r="F459" s="16" t="str">
        <f t="shared" si="19"/>
        <v>IC</v>
      </c>
      <c r="G459" s="21" t="str">
        <f t="shared" si="20"/>
        <v>D</v>
      </c>
    </row>
    <row r="460" spans="2:7" x14ac:dyDescent="0.25">
      <c r="B460" s="7" t="s">
        <v>841</v>
      </c>
      <c r="C460" s="8" t="s">
        <v>838</v>
      </c>
      <c r="D460" s="4" t="s">
        <v>69</v>
      </c>
      <c r="E460" s="20" t="str">
        <f t="shared" si="18"/>
        <v>LU</v>
      </c>
      <c r="F460" s="16" t="str">
        <f t="shared" si="19"/>
        <v>IC</v>
      </c>
      <c r="G460" s="21" t="str">
        <f t="shared" si="20"/>
        <v>P</v>
      </c>
    </row>
    <row r="461" spans="2:7" x14ac:dyDescent="0.25">
      <c r="B461" s="7" t="s">
        <v>842</v>
      </c>
      <c r="C461" s="8" t="s">
        <v>843</v>
      </c>
      <c r="D461" s="4" t="s">
        <v>78</v>
      </c>
      <c r="E461" s="20" t="str">
        <f t="shared" si="18"/>
        <v>LU</v>
      </c>
      <c r="F461" s="16" t="str">
        <f t="shared" si="19"/>
        <v>IC</v>
      </c>
      <c r="G461" s="21" t="str">
        <f t="shared" si="20"/>
        <v>V</v>
      </c>
    </row>
    <row r="462" spans="2:7" x14ac:dyDescent="0.25">
      <c r="B462" s="7" t="s">
        <v>844</v>
      </c>
      <c r="C462" s="8" t="s">
        <v>845</v>
      </c>
      <c r="D462" s="4" t="s">
        <v>24</v>
      </c>
      <c r="E462" s="20" t="str">
        <f t="shared" si="18"/>
        <v>LU</v>
      </c>
      <c r="F462" s="16" t="str">
        <f t="shared" si="19"/>
        <v>TC</v>
      </c>
      <c r="G462" s="21" t="str">
        <f t="shared" si="20"/>
        <v>B</v>
      </c>
    </row>
    <row r="463" spans="2:7" x14ac:dyDescent="0.25">
      <c r="B463" s="7" t="s">
        <v>846</v>
      </c>
      <c r="C463" s="8" t="s">
        <v>847</v>
      </c>
      <c r="D463" s="4" t="s">
        <v>74</v>
      </c>
      <c r="E463" s="20" t="str">
        <f t="shared" si="18"/>
        <v>LU</v>
      </c>
      <c r="F463" s="16" t="str">
        <f t="shared" si="19"/>
        <v>TC</v>
      </c>
      <c r="G463" s="21" t="str">
        <f t="shared" si="20"/>
        <v>D</v>
      </c>
    </row>
    <row r="464" spans="2:7" x14ac:dyDescent="0.25">
      <c r="B464" s="7" t="s">
        <v>848</v>
      </c>
      <c r="C464" s="8" t="s">
        <v>845</v>
      </c>
      <c r="D464" s="4" t="s">
        <v>69</v>
      </c>
      <c r="E464" s="20" t="str">
        <f t="shared" ref="E464:E527" si="21">LEFT(B464,2)</f>
        <v>LU</v>
      </c>
      <c r="F464" s="16" t="str">
        <f t="shared" ref="F464:F527" si="22">MID(B464,3,2)</f>
        <v>TC</v>
      </c>
      <c r="G464" s="21" t="str">
        <f t="shared" ref="G464:G527" si="23">RIGHT(B464,1)</f>
        <v>P</v>
      </c>
    </row>
    <row r="465" spans="2:7" x14ac:dyDescent="0.25">
      <c r="B465" s="7" t="s">
        <v>849</v>
      </c>
      <c r="C465" s="8" t="s">
        <v>850</v>
      </c>
      <c r="D465" s="4" t="s">
        <v>78</v>
      </c>
      <c r="E465" s="20" t="str">
        <f t="shared" si="21"/>
        <v>LU</v>
      </c>
      <c r="F465" s="16" t="str">
        <f t="shared" si="22"/>
        <v>TC</v>
      </c>
      <c r="G465" s="21" t="str">
        <f t="shared" si="23"/>
        <v>V</v>
      </c>
    </row>
    <row r="466" spans="2:7" x14ac:dyDescent="0.25">
      <c r="B466" s="7" t="s">
        <v>851</v>
      </c>
      <c r="C466" s="8" t="s">
        <v>852</v>
      </c>
      <c r="D466" s="4" t="s">
        <v>24</v>
      </c>
      <c r="E466" s="20" t="str">
        <f t="shared" si="21"/>
        <v>LU</v>
      </c>
      <c r="F466" s="16" t="str">
        <f t="shared" si="22"/>
        <v>TX</v>
      </c>
      <c r="G466" s="21" t="str">
        <f t="shared" si="23"/>
        <v>B</v>
      </c>
    </row>
    <row r="467" spans="2:7" x14ac:dyDescent="0.25">
      <c r="B467" s="7" t="s">
        <v>853</v>
      </c>
      <c r="C467" s="8" t="s">
        <v>854</v>
      </c>
      <c r="D467" s="4" t="s">
        <v>74</v>
      </c>
      <c r="E467" s="20" t="str">
        <f t="shared" si="21"/>
        <v>LU</v>
      </c>
      <c r="F467" s="16" t="str">
        <f t="shared" si="22"/>
        <v>TX</v>
      </c>
      <c r="G467" s="21" t="str">
        <f t="shared" si="23"/>
        <v>D</v>
      </c>
    </row>
    <row r="468" spans="2:7" x14ac:dyDescent="0.25">
      <c r="B468" s="7" t="s">
        <v>855</v>
      </c>
      <c r="C468" s="8" t="s">
        <v>852</v>
      </c>
      <c r="D468" s="4" t="s">
        <v>69</v>
      </c>
      <c r="E468" s="20" t="str">
        <f t="shared" si="21"/>
        <v>LU</v>
      </c>
      <c r="F468" s="16" t="str">
        <f t="shared" si="22"/>
        <v>TX</v>
      </c>
      <c r="G468" s="21" t="str">
        <f t="shared" si="23"/>
        <v>P</v>
      </c>
    </row>
    <row r="469" spans="2:7" x14ac:dyDescent="0.25">
      <c r="B469" s="7" t="s">
        <v>856</v>
      </c>
      <c r="C469" s="8" t="s">
        <v>857</v>
      </c>
      <c r="D469" s="4" t="s">
        <v>78</v>
      </c>
      <c r="E469" s="20" t="str">
        <f t="shared" si="21"/>
        <v>LU</v>
      </c>
      <c r="F469" s="16" t="str">
        <f t="shared" si="22"/>
        <v>TX</v>
      </c>
      <c r="G469" s="21" t="str">
        <f t="shared" si="23"/>
        <v>V</v>
      </c>
    </row>
    <row r="470" spans="2:7" x14ac:dyDescent="0.25">
      <c r="B470" s="7" t="s">
        <v>858</v>
      </c>
      <c r="C470" s="8" t="s">
        <v>859</v>
      </c>
      <c r="D470" s="4" t="s">
        <v>24</v>
      </c>
      <c r="E470" s="20" t="str">
        <f t="shared" si="21"/>
        <v>MB</v>
      </c>
      <c r="F470" s="16" t="str">
        <f t="shared" si="22"/>
        <v>IC</v>
      </c>
      <c r="G470" s="21" t="str">
        <f t="shared" si="23"/>
        <v>B</v>
      </c>
    </row>
    <row r="471" spans="2:7" x14ac:dyDescent="0.25">
      <c r="B471" s="7" t="s">
        <v>860</v>
      </c>
      <c r="C471" s="8" t="s">
        <v>859</v>
      </c>
      <c r="D471" s="4" t="s">
        <v>69</v>
      </c>
      <c r="E471" s="20" t="str">
        <f t="shared" si="21"/>
        <v>MB</v>
      </c>
      <c r="F471" s="16" t="str">
        <f t="shared" si="22"/>
        <v>IC</v>
      </c>
      <c r="G471" s="21" t="str">
        <f t="shared" si="23"/>
        <v>P</v>
      </c>
    </row>
    <row r="472" spans="2:7" x14ac:dyDescent="0.25">
      <c r="B472" s="7" t="s">
        <v>861</v>
      </c>
      <c r="C472" s="8" t="s">
        <v>862</v>
      </c>
      <c r="D472" s="4" t="s">
        <v>154</v>
      </c>
      <c r="E472" s="20" t="str">
        <f t="shared" si="21"/>
        <v>MB</v>
      </c>
      <c r="F472" s="16" t="str">
        <f t="shared" si="22"/>
        <v>TC</v>
      </c>
      <c r="G472" s="21" t="str">
        <f t="shared" si="23"/>
        <v>K</v>
      </c>
    </row>
    <row r="473" spans="2:7" x14ac:dyDescent="0.25">
      <c r="B473" s="7" t="s">
        <v>863</v>
      </c>
      <c r="C473" s="8" t="s">
        <v>864</v>
      </c>
      <c r="D473" s="4" t="s">
        <v>24</v>
      </c>
      <c r="E473" s="20" t="str">
        <f t="shared" si="21"/>
        <v>MG</v>
      </c>
      <c r="F473" s="16" t="str">
        <f t="shared" si="22"/>
        <v>AC</v>
      </c>
      <c r="G473" s="21" t="str">
        <f t="shared" si="23"/>
        <v>B</v>
      </c>
    </row>
    <row r="474" spans="2:7" x14ac:dyDescent="0.25">
      <c r="B474" s="7" t="s">
        <v>865</v>
      </c>
      <c r="C474" s="8" t="s">
        <v>866</v>
      </c>
      <c r="D474" s="4" t="s">
        <v>74</v>
      </c>
      <c r="E474" s="20" t="str">
        <f t="shared" si="21"/>
        <v>MG</v>
      </c>
      <c r="F474" s="16" t="str">
        <f t="shared" si="22"/>
        <v>AC</v>
      </c>
      <c r="G474" s="21" t="str">
        <f t="shared" si="23"/>
        <v>D</v>
      </c>
    </row>
    <row r="475" spans="2:7" x14ac:dyDescent="0.25">
      <c r="B475" s="7" t="s">
        <v>867</v>
      </c>
      <c r="C475" s="8" t="s">
        <v>864</v>
      </c>
      <c r="D475" s="4" t="s">
        <v>69</v>
      </c>
      <c r="E475" s="20" t="str">
        <f t="shared" si="21"/>
        <v>MG</v>
      </c>
      <c r="F475" s="16" t="str">
        <f t="shared" si="22"/>
        <v>AC</v>
      </c>
      <c r="G475" s="21" t="str">
        <f t="shared" si="23"/>
        <v>P</v>
      </c>
    </row>
    <row r="476" spans="2:7" x14ac:dyDescent="0.25">
      <c r="B476" s="7" t="s">
        <v>868</v>
      </c>
      <c r="C476" s="8" t="s">
        <v>869</v>
      </c>
      <c r="D476" s="4" t="s">
        <v>78</v>
      </c>
      <c r="E476" s="20" t="str">
        <f t="shared" si="21"/>
        <v>MG</v>
      </c>
      <c r="F476" s="16" t="str">
        <f t="shared" si="22"/>
        <v>AC</v>
      </c>
      <c r="G476" s="21" t="str">
        <f t="shared" si="23"/>
        <v>V</v>
      </c>
    </row>
    <row r="477" spans="2:7" x14ac:dyDescent="0.25">
      <c r="B477" s="7" t="s">
        <v>870</v>
      </c>
      <c r="C477" s="8" t="s">
        <v>871</v>
      </c>
      <c r="D477" s="4" t="s">
        <v>24</v>
      </c>
      <c r="E477" s="20" t="str">
        <f t="shared" si="21"/>
        <v>MG</v>
      </c>
      <c r="F477" s="16" t="str">
        <f t="shared" si="22"/>
        <v>CC</v>
      </c>
      <c r="G477" s="21" t="str">
        <f t="shared" si="23"/>
        <v>B</v>
      </c>
    </row>
    <row r="478" spans="2:7" x14ac:dyDescent="0.25">
      <c r="B478" s="7" t="s">
        <v>872</v>
      </c>
      <c r="C478" s="8" t="s">
        <v>873</v>
      </c>
      <c r="D478" s="4" t="s">
        <v>74</v>
      </c>
      <c r="E478" s="20" t="str">
        <f t="shared" si="21"/>
        <v>MG</v>
      </c>
      <c r="F478" s="16" t="str">
        <f t="shared" si="22"/>
        <v>CC</v>
      </c>
      <c r="G478" s="21" t="str">
        <f t="shared" si="23"/>
        <v>D</v>
      </c>
    </row>
    <row r="479" spans="2:7" x14ac:dyDescent="0.25">
      <c r="B479" s="7" t="s">
        <v>874</v>
      </c>
      <c r="C479" s="8" t="s">
        <v>871</v>
      </c>
      <c r="D479" s="4" t="s">
        <v>69</v>
      </c>
      <c r="E479" s="20" t="str">
        <f t="shared" si="21"/>
        <v>MG</v>
      </c>
      <c r="F479" s="16" t="str">
        <f t="shared" si="22"/>
        <v>CC</v>
      </c>
      <c r="G479" s="21" t="str">
        <f t="shared" si="23"/>
        <v>P</v>
      </c>
    </row>
    <row r="480" spans="2:7" x14ac:dyDescent="0.25">
      <c r="B480" s="7" t="s">
        <v>875</v>
      </c>
      <c r="C480" s="8" t="s">
        <v>876</v>
      </c>
      <c r="D480" s="4" t="s">
        <v>78</v>
      </c>
      <c r="E480" s="20" t="str">
        <f t="shared" si="21"/>
        <v>MG</v>
      </c>
      <c r="F480" s="16" t="str">
        <f t="shared" si="22"/>
        <v>CC</v>
      </c>
      <c r="G480" s="21" t="str">
        <f t="shared" si="23"/>
        <v>V</v>
      </c>
    </row>
    <row r="481" spans="2:7" x14ac:dyDescent="0.25">
      <c r="B481" s="7" t="s">
        <v>877</v>
      </c>
      <c r="C481" s="8" t="s">
        <v>878</v>
      </c>
      <c r="D481" s="4" t="s">
        <v>24</v>
      </c>
      <c r="E481" s="20" t="str">
        <f t="shared" si="21"/>
        <v>MG</v>
      </c>
      <c r="F481" s="16" t="str">
        <f t="shared" si="22"/>
        <v>IC</v>
      </c>
      <c r="G481" s="21" t="str">
        <f t="shared" si="23"/>
        <v>B</v>
      </c>
    </row>
    <row r="482" spans="2:7" x14ac:dyDescent="0.25">
      <c r="B482" s="7" t="s">
        <v>879</v>
      </c>
      <c r="C482" s="8" t="s">
        <v>880</v>
      </c>
      <c r="D482" s="4" t="s">
        <v>74</v>
      </c>
      <c r="E482" s="20" t="str">
        <f t="shared" si="21"/>
        <v>MG</v>
      </c>
      <c r="F482" s="16" t="str">
        <f t="shared" si="22"/>
        <v>IC</v>
      </c>
      <c r="G482" s="21" t="str">
        <f t="shared" si="23"/>
        <v>D</v>
      </c>
    </row>
    <row r="483" spans="2:7" x14ac:dyDescent="0.25">
      <c r="B483" s="7" t="s">
        <v>881</v>
      </c>
      <c r="C483" s="8" t="s">
        <v>878</v>
      </c>
      <c r="D483" s="4" t="s">
        <v>69</v>
      </c>
      <c r="E483" s="20" t="str">
        <f t="shared" si="21"/>
        <v>MG</v>
      </c>
      <c r="F483" s="16" t="str">
        <f t="shared" si="22"/>
        <v>IC</v>
      </c>
      <c r="G483" s="21" t="str">
        <f t="shared" si="23"/>
        <v>P</v>
      </c>
    </row>
    <row r="484" spans="2:7" x14ac:dyDescent="0.25">
      <c r="B484" s="7" t="s">
        <v>882</v>
      </c>
      <c r="C484" s="8" t="s">
        <v>883</v>
      </c>
      <c r="D484" s="4" t="s">
        <v>78</v>
      </c>
      <c r="E484" s="20" t="str">
        <f t="shared" si="21"/>
        <v>MG</v>
      </c>
      <c r="F484" s="16" t="str">
        <f t="shared" si="22"/>
        <v>IC</v>
      </c>
      <c r="G484" s="21" t="str">
        <f t="shared" si="23"/>
        <v>V</v>
      </c>
    </row>
    <row r="485" spans="2:7" x14ac:dyDescent="0.25">
      <c r="B485" s="7" t="s">
        <v>884</v>
      </c>
      <c r="C485" s="8" t="s">
        <v>885</v>
      </c>
      <c r="D485" s="4" t="s">
        <v>24</v>
      </c>
      <c r="E485" s="20" t="str">
        <f t="shared" si="21"/>
        <v>MG</v>
      </c>
      <c r="F485" s="16" t="str">
        <f t="shared" si="22"/>
        <v>TC</v>
      </c>
      <c r="G485" s="21" t="str">
        <f t="shared" si="23"/>
        <v>B</v>
      </c>
    </row>
    <row r="486" spans="2:7" x14ac:dyDescent="0.25">
      <c r="B486" s="7" t="s">
        <v>886</v>
      </c>
      <c r="C486" s="8" t="s">
        <v>887</v>
      </c>
      <c r="D486" s="4" t="s">
        <v>74</v>
      </c>
      <c r="E486" s="20" t="str">
        <f t="shared" si="21"/>
        <v>MG</v>
      </c>
      <c r="F486" s="16" t="str">
        <f t="shared" si="22"/>
        <v>TC</v>
      </c>
      <c r="G486" s="21" t="str">
        <f t="shared" si="23"/>
        <v>D</v>
      </c>
    </row>
    <row r="487" spans="2:7" x14ac:dyDescent="0.25">
      <c r="B487" s="7" t="s">
        <v>888</v>
      </c>
      <c r="C487" s="8" t="s">
        <v>889</v>
      </c>
      <c r="D487" s="4" t="s">
        <v>154</v>
      </c>
      <c r="E487" s="20" t="str">
        <f t="shared" si="21"/>
        <v>MG</v>
      </c>
      <c r="F487" s="16" t="str">
        <f t="shared" si="22"/>
        <v>TC</v>
      </c>
      <c r="G487" s="21" t="str">
        <f t="shared" si="23"/>
        <v>K</v>
      </c>
    </row>
    <row r="488" spans="2:7" x14ac:dyDescent="0.25">
      <c r="B488" s="7" t="s">
        <v>890</v>
      </c>
      <c r="C488" s="8" t="s">
        <v>885</v>
      </c>
      <c r="D488" s="4" t="s">
        <v>69</v>
      </c>
      <c r="E488" s="20" t="str">
        <f t="shared" si="21"/>
        <v>MG</v>
      </c>
      <c r="F488" s="16" t="str">
        <f t="shared" si="22"/>
        <v>TC</v>
      </c>
      <c r="G488" s="21" t="str">
        <f t="shared" si="23"/>
        <v>P</v>
      </c>
    </row>
    <row r="489" spans="2:7" x14ac:dyDescent="0.25">
      <c r="B489" s="7" t="s">
        <v>891</v>
      </c>
      <c r="C489" s="8" t="s">
        <v>892</v>
      </c>
      <c r="D489" s="4" t="s">
        <v>78</v>
      </c>
      <c r="E489" s="20" t="str">
        <f t="shared" si="21"/>
        <v>MG</v>
      </c>
      <c r="F489" s="16" t="str">
        <f t="shared" si="22"/>
        <v>TC</v>
      </c>
      <c r="G489" s="21" t="str">
        <f t="shared" si="23"/>
        <v>V</v>
      </c>
    </row>
    <row r="490" spans="2:7" x14ac:dyDescent="0.25">
      <c r="B490" s="7" t="s">
        <v>893</v>
      </c>
      <c r="C490" s="8" t="s">
        <v>894</v>
      </c>
      <c r="D490" s="4" t="s">
        <v>895</v>
      </c>
      <c r="E490" s="20" t="str">
        <f t="shared" si="21"/>
        <v>MG</v>
      </c>
      <c r="F490" s="16" t="str">
        <f t="shared" si="22"/>
        <v>TP</v>
      </c>
      <c r="G490" s="21" t="str">
        <f t="shared" si="23"/>
        <v>V</v>
      </c>
    </row>
    <row r="491" spans="2:7" x14ac:dyDescent="0.25">
      <c r="B491" s="7" t="s">
        <v>896</v>
      </c>
      <c r="C491" s="8" t="s">
        <v>897</v>
      </c>
      <c r="D491" s="4" t="s">
        <v>24</v>
      </c>
      <c r="E491" s="20" t="str">
        <f t="shared" si="21"/>
        <v>MG</v>
      </c>
      <c r="F491" s="16" t="str">
        <f t="shared" si="22"/>
        <v>TX</v>
      </c>
      <c r="G491" s="21" t="str">
        <f t="shared" si="23"/>
        <v>B</v>
      </c>
    </row>
    <row r="492" spans="2:7" x14ac:dyDescent="0.25">
      <c r="B492" s="7" t="s">
        <v>898</v>
      </c>
      <c r="C492" s="8" t="s">
        <v>899</v>
      </c>
      <c r="D492" s="4" t="s">
        <v>74</v>
      </c>
      <c r="E492" s="20" t="str">
        <f t="shared" si="21"/>
        <v>MG</v>
      </c>
      <c r="F492" s="16" t="str">
        <f t="shared" si="22"/>
        <v>TX</v>
      </c>
      <c r="G492" s="21" t="str">
        <f t="shared" si="23"/>
        <v>D</v>
      </c>
    </row>
    <row r="493" spans="2:7" x14ac:dyDescent="0.25">
      <c r="B493" s="7" t="s">
        <v>900</v>
      </c>
      <c r="C493" s="8" t="s">
        <v>897</v>
      </c>
      <c r="D493" s="4" t="s">
        <v>69</v>
      </c>
      <c r="E493" s="20" t="str">
        <f t="shared" si="21"/>
        <v>MG</v>
      </c>
      <c r="F493" s="16" t="str">
        <f t="shared" si="22"/>
        <v>TX</v>
      </c>
      <c r="G493" s="21" t="str">
        <f t="shared" si="23"/>
        <v>P</v>
      </c>
    </row>
    <row r="494" spans="2:7" x14ac:dyDescent="0.25">
      <c r="B494" s="7" t="s">
        <v>901</v>
      </c>
      <c r="C494" s="8" t="s">
        <v>902</v>
      </c>
      <c r="D494" s="4" t="s">
        <v>78</v>
      </c>
      <c r="E494" s="20" t="str">
        <f t="shared" si="21"/>
        <v>MG</v>
      </c>
      <c r="F494" s="16" t="str">
        <f t="shared" si="22"/>
        <v>TX</v>
      </c>
      <c r="G494" s="21" t="str">
        <f t="shared" si="23"/>
        <v>V</v>
      </c>
    </row>
    <row r="495" spans="2:7" x14ac:dyDescent="0.25">
      <c r="B495" s="7" t="s">
        <v>903</v>
      </c>
      <c r="C495" s="8" t="s">
        <v>904</v>
      </c>
      <c r="D495" s="4" t="s">
        <v>24</v>
      </c>
      <c r="E495" s="20" t="str">
        <f t="shared" si="21"/>
        <v>MM</v>
      </c>
      <c r="F495" s="16" t="str">
        <f t="shared" si="22"/>
        <v>AC</v>
      </c>
      <c r="G495" s="21" t="str">
        <f t="shared" si="23"/>
        <v>B</v>
      </c>
    </row>
    <row r="496" spans="2:7" x14ac:dyDescent="0.25">
      <c r="B496" s="7" t="s">
        <v>905</v>
      </c>
      <c r="C496" s="8" t="s">
        <v>906</v>
      </c>
      <c r="D496" s="4" t="s">
        <v>24</v>
      </c>
      <c r="E496" s="20" t="str">
        <f t="shared" si="21"/>
        <v>MM</v>
      </c>
      <c r="F496" s="16" t="str">
        <f t="shared" si="22"/>
        <v>CC</v>
      </c>
      <c r="G496" s="21" t="str">
        <f t="shared" si="23"/>
        <v>B</v>
      </c>
    </row>
    <row r="497" spans="2:7" x14ac:dyDescent="0.25">
      <c r="B497" s="7" t="s">
        <v>907</v>
      </c>
      <c r="C497" s="8" t="s">
        <v>908</v>
      </c>
      <c r="D497" s="4" t="s">
        <v>24</v>
      </c>
      <c r="E497" s="20" t="str">
        <f t="shared" si="21"/>
        <v>MM</v>
      </c>
      <c r="F497" s="16" t="str">
        <f t="shared" si="22"/>
        <v>IC</v>
      </c>
      <c r="G497" s="21" t="str">
        <f t="shared" si="23"/>
        <v>B</v>
      </c>
    </row>
    <row r="498" spans="2:7" x14ac:dyDescent="0.25">
      <c r="B498" s="7" t="s">
        <v>909</v>
      </c>
      <c r="C498" s="8" t="s">
        <v>910</v>
      </c>
      <c r="D498" s="4" t="s">
        <v>24</v>
      </c>
      <c r="E498" s="20" t="str">
        <f t="shared" si="21"/>
        <v>MM</v>
      </c>
      <c r="F498" s="16" t="str">
        <f t="shared" si="22"/>
        <v>TC</v>
      </c>
      <c r="G498" s="21" t="str">
        <f t="shared" si="23"/>
        <v>B</v>
      </c>
    </row>
    <row r="499" spans="2:7" x14ac:dyDescent="0.25">
      <c r="B499" s="7" t="s">
        <v>911</v>
      </c>
      <c r="C499" s="8" t="s">
        <v>912</v>
      </c>
      <c r="D499" s="4" t="s">
        <v>24</v>
      </c>
      <c r="E499" s="20" t="str">
        <f t="shared" si="21"/>
        <v>MS</v>
      </c>
      <c r="F499" s="16" t="str">
        <f t="shared" si="22"/>
        <v>IC</v>
      </c>
      <c r="G499" s="21" t="str">
        <f t="shared" si="23"/>
        <v>B</v>
      </c>
    </row>
    <row r="500" spans="2:7" x14ac:dyDescent="0.25">
      <c r="B500" s="7" t="s">
        <v>913</v>
      </c>
      <c r="C500" s="8" t="s">
        <v>914</v>
      </c>
      <c r="D500" s="4" t="s">
        <v>74</v>
      </c>
      <c r="E500" s="20" t="str">
        <f t="shared" si="21"/>
        <v>MS</v>
      </c>
      <c r="F500" s="16" t="str">
        <f t="shared" si="22"/>
        <v>IC</v>
      </c>
      <c r="G500" s="21" t="str">
        <f t="shared" si="23"/>
        <v>D</v>
      </c>
    </row>
    <row r="501" spans="2:7" x14ac:dyDescent="0.25">
      <c r="B501" s="7" t="s">
        <v>915</v>
      </c>
      <c r="C501" s="8" t="s">
        <v>912</v>
      </c>
      <c r="D501" s="4" t="s">
        <v>69</v>
      </c>
      <c r="E501" s="20" t="str">
        <f t="shared" si="21"/>
        <v>MS</v>
      </c>
      <c r="F501" s="16" t="str">
        <f t="shared" si="22"/>
        <v>IC</v>
      </c>
      <c r="G501" s="21" t="str">
        <f t="shared" si="23"/>
        <v>P</v>
      </c>
    </row>
    <row r="502" spans="2:7" x14ac:dyDescent="0.25">
      <c r="B502" s="7" t="s">
        <v>916</v>
      </c>
      <c r="C502" s="8" t="s">
        <v>917</v>
      </c>
      <c r="D502" s="4" t="s">
        <v>78</v>
      </c>
      <c r="E502" s="20" t="str">
        <f t="shared" si="21"/>
        <v>MS</v>
      </c>
      <c r="F502" s="16" t="str">
        <f t="shared" si="22"/>
        <v>IC</v>
      </c>
      <c r="G502" s="21" t="str">
        <f t="shared" si="23"/>
        <v>V</v>
      </c>
    </row>
    <row r="503" spans="2:7" x14ac:dyDescent="0.25">
      <c r="B503" s="7" t="s">
        <v>918</v>
      </c>
      <c r="C503" s="8" t="s">
        <v>919</v>
      </c>
      <c r="D503" s="4" t="s">
        <v>24</v>
      </c>
      <c r="E503" s="20" t="str">
        <f t="shared" si="21"/>
        <v>NA</v>
      </c>
      <c r="F503" s="16" t="str">
        <f t="shared" si="22"/>
        <v>IC</v>
      </c>
      <c r="G503" s="21" t="str">
        <f t="shared" si="23"/>
        <v>B</v>
      </c>
    </row>
    <row r="504" spans="2:7" x14ac:dyDescent="0.25">
      <c r="B504" s="7" t="s">
        <v>920</v>
      </c>
      <c r="C504" s="8" t="s">
        <v>919</v>
      </c>
      <c r="D504" s="4" t="s">
        <v>69</v>
      </c>
      <c r="E504" s="20" t="str">
        <f t="shared" si="21"/>
        <v>NA</v>
      </c>
      <c r="F504" s="16" t="str">
        <f t="shared" si="22"/>
        <v>IC</v>
      </c>
      <c r="G504" s="21" t="str">
        <f t="shared" si="23"/>
        <v>P</v>
      </c>
    </row>
    <row r="505" spans="2:7" x14ac:dyDescent="0.25">
      <c r="B505" s="7" t="s">
        <v>921</v>
      </c>
      <c r="C505" s="8" t="s">
        <v>922</v>
      </c>
      <c r="D505" s="4" t="s">
        <v>24</v>
      </c>
      <c r="E505" s="20" t="str">
        <f t="shared" si="21"/>
        <v>NC</v>
      </c>
      <c r="F505" s="16" t="str">
        <f t="shared" si="22"/>
        <v>PR</v>
      </c>
      <c r="G505" s="21" t="str">
        <f t="shared" si="23"/>
        <v>B</v>
      </c>
    </row>
    <row r="506" spans="2:7" x14ac:dyDescent="0.25">
      <c r="B506" s="7" t="s">
        <v>923</v>
      </c>
      <c r="C506" s="8" t="s">
        <v>924</v>
      </c>
      <c r="D506" s="4" t="s">
        <v>24</v>
      </c>
      <c r="E506" s="20" t="str">
        <f t="shared" si="21"/>
        <v>NG</v>
      </c>
      <c r="F506" s="16" t="str">
        <f t="shared" si="22"/>
        <v>AC</v>
      </c>
      <c r="G506" s="21" t="str">
        <f t="shared" si="23"/>
        <v>B</v>
      </c>
    </row>
    <row r="507" spans="2:7" x14ac:dyDescent="0.25">
      <c r="B507" s="7" t="s">
        <v>925</v>
      </c>
      <c r="C507" s="8" t="s">
        <v>926</v>
      </c>
      <c r="D507" s="4" t="s">
        <v>74</v>
      </c>
      <c r="E507" s="20" t="str">
        <f t="shared" si="21"/>
        <v>NG</v>
      </c>
      <c r="F507" s="16" t="str">
        <f t="shared" si="22"/>
        <v>AC</v>
      </c>
      <c r="G507" s="21" t="str">
        <f t="shared" si="23"/>
        <v>D</v>
      </c>
    </row>
    <row r="508" spans="2:7" x14ac:dyDescent="0.25">
      <c r="B508" s="7" t="s">
        <v>927</v>
      </c>
      <c r="C508" s="8" t="s">
        <v>928</v>
      </c>
      <c r="D508" s="4" t="s">
        <v>929</v>
      </c>
      <c r="E508" s="20" t="str">
        <f t="shared" si="21"/>
        <v>NG</v>
      </c>
      <c r="F508" s="16" t="str">
        <f t="shared" si="22"/>
        <v>AC</v>
      </c>
      <c r="G508" s="21" t="str">
        <f t="shared" si="23"/>
        <v>P</v>
      </c>
    </row>
    <row r="509" spans="2:7" x14ac:dyDescent="0.25">
      <c r="B509" s="7" t="s">
        <v>930</v>
      </c>
      <c r="C509" s="8" t="s">
        <v>931</v>
      </c>
      <c r="D509" s="4" t="s">
        <v>78</v>
      </c>
      <c r="E509" s="20" t="str">
        <f t="shared" si="21"/>
        <v>NG</v>
      </c>
      <c r="F509" s="16" t="str">
        <f t="shared" si="22"/>
        <v>AC</v>
      </c>
      <c r="G509" s="21" t="str">
        <f t="shared" si="23"/>
        <v>V</v>
      </c>
    </row>
    <row r="510" spans="2:7" x14ac:dyDescent="0.25">
      <c r="B510" s="7" t="s">
        <v>932</v>
      </c>
      <c r="C510" s="8" t="s">
        <v>933</v>
      </c>
      <c r="D510" s="4" t="s">
        <v>24</v>
      </c>
      <c r="E510" s="20" t="str">
        <f t="shared" si="21"/>
        <v>NG</v>
      </c>
      <c r="F510" s="16" t="str">
        <f t="shared" si="22"/>
        <v>AS</v>
      </c>
      <c r="G510" s="21" t="str">
        <f t="shared" si="23"/>
        <v>B</v>
      </c>
    </row>
    <row r="511" spans="2:7" x14ac:dyDescent="0.25">
      <c r="B511" s="7" t="s">
        <v>934</v>
      </c>
      <c r="C511" s="8" t="s">
        <v>935</v>
      </c>
      <c r="D511" s="4" t="s">
        <v>24</v>
      </c>
      <c r="E511" s="20" t="str">
        <f t="shared" si="21"/>
        <v>NG</v>
      </c>
      <c r="F511" s="16" t="str">
        <f t="shared" si="22"/>
        <v>CC</v>
      </c>
      <c r="G511" s="21" t="str">
        <f t="shared" si="23"/>
        <v>B</v>
      </c>
    </row>
    <row r="512" spans="2:7" x14ac:dyDescent="0.25">
      <c r="B512" s="7" t="s">
        <v>936</v>
      </c>
      <c r="C512" s="8" t="s">
        <v>937</v>
      </c>
      <c r="D512" s="4" t="s">
        <v>74</v>
      </c>
      <c r="E512" s="20" t="str">
        <f t="shared" si="21"/>
        <v>NG</v>
      </c>
      <c r="F512" s="16" t="str">
        <f t="shared" si="22"/>
        <v>CC</v>
      </c>
      <c r="G512" s="21" t="str">
        <f t="shared" si="23"/>
        <v>D</v>
      </c>
    </row>
    <row r="513" spans="2:7" x14ac:dyDescent="0.25">
      <c r="B513" s="7" t="s">
        <v>938</v>
      </c>
      <c r="C513" s="8" t="s">
        <v>935</v>
      </c>
      <c r="D513" s="4" t="s">
        <v>929</v>
      </c>
      <c r="E513" s="20" t="str">
        <f t="shared" si="21"/>
        <v>NG</v>
      </c>
      <c r="F513" s="16" t="str">
        <f t="shared" si="22"/>
        <v>CC</v>
      </c>
      <c r="G513" s="21" t="str">
        <f t="shared" si="23"/>
        <v>P</v>
      </c>
    </row>
    <row r="514" spans="2:7" x14ac:dyDescent="0.25">
      <c r="B514" s="7" t="s">
        <v>939</v>
      </c>
      <c r="C514" s="8" t="s">
        <v>940</v>
      </c>
      <c r="D514" s="4" t="s">
        <v>78</v>
      </c>
      <c r="E514" s="20" t="str">
        <f t="shared" si="21"/>
        <v>NG</v>
      </c>
      <c r="F514" s="16" t="str">
        <f t="shared" si="22"/>
        <v>CC</v>
      </c>
      <c r="G514" s="21" t="str">
        <f t="shared" si="23"/>
        <v>V</v>
      </c>
    </row>
    <row r="515" spans="2:7" x14ac:dyDescent="0.25">
      <c r="B515" s="7" t="s">
        <v>941</v>
      </c>
      <c r="C515" s="8" t="s">
        <v>942</v>
      </c>
      <c r="D515" s="4" t="s">
        <v>24</v>
      </c>
      <c r="E515" s="20" t="str">
        <f t="shared" si="21"/>
        <v>NG</v>
      </c>
      <c r="F515" s="16" t="str">
        <f t="shared" si="22"/>
        <v>EI</v>
      </c>
      <c r="G515" s="21" t="str">
        <f t="shared" si="23"/>
        <v>B</v>
      </c>
    </row>
    <row r="516" spans="2:7" x14ac:dyDescent="0.25">
      <c r="B516" s="7" t="s">
        <v>943</v>
      </c>
      <c r="C516" s="8" t="s">
        <v>944</v>
      </c>
      <c r="D516" s="4" t="s">
        <v>74</v>
      </c>
      <c r="E516" s="20" t="str">
        <f t="shared" si="21"/>
        <v>NG</v>
      </c>
      <c r="F516" s="16" t="str">
        <f t="shared" si="22"/>
        <v>EI</v>
      </c>
      <c r="G516" s="21" t="str">
        <f t="shared" si="23"/>
        <v>D</v>
      </c>
    </row>
    <row r="517" spans="2:7" x14ac:dyDescent="0.25">
      <c r="B517" s="7" t="s">
        <v>945</v>
      </c>
      <c r="C517" s="8" t="s">
        <v>946</v>
      </c>
      <c r="D517" s="4" t="s">
        <v>947</v>
      </c>
      <c r="E517" s="20" t="str">
        <f t="shared" si="21"/>
        <v>NG</v>
      </c>
      <c r="F517" s="16" t="str">
        <f t="shared" si="22"/>
        <v>EI</v>
      </c>
      <c r="G517" s="21" t="str">
        <f t="shared" si="23"/>
        <v>K</v>
      </c>
    </row>
    <row r="518" spans="2:7" x14ac:dyDescent="0.25">
      <c r="B518" s="7" t="s">
        <v>948</v>
      </c>
      <c r="C518" s="8" t="s">
        <v>942</v>
      </c>
      <c r="D518" s="4" t="s">
        <v>929</v>
      </c>
      <c r="E518" s="20" t="str">
        <f t="shared" si="21"/>
        <v>NG</v>
      </c>
      <c r="F518" s="16" t="str">
        <f t="shared" si="22"/>
        <v>EI</v>
      </c>
      <c r="G518" s="21" t="str">
        <f t="shared" si="23"/>
        <v>P</v>
      </c>
    </row>
    <row r="519" spans="2:7" x14ac:dyDescent="0.25">
      <c r="B519" s="7" t="s">
        <v>949</v>
      </c>
      <c r="C519" s="8" t="s">
        <v>950</v>
      </c>
      <c r="D519" s="4" t="s">
        <v>78</v>
      </c>
      <c r="E519" s="20" t="str">
        <f t="shared" si="21"/>
        <v>NG</v>
      </c>
      <c r="F519" s="16" t="str">
        <f t="shared" si="22"/>
        <v>EI</v>
      </c>
      <c r="G519" s="21" t="str">
        <f t="shared" si="23"/>
        <v>V</v>
      </c>
    </row>
    <row r="520" spans="2:7" x14ac:dyDescent="0.25">
      <c r="B520" s="7" t="s">
        <v>951</v>
      </c>
      <c r="C520" s="8" t="s">
        <v>952</v>
      </c>
      <c r="D520" s="4" t="s">
        <v>235</v>
      </c>
      <c r="E520" s="20" t="str">
        <f t="shared" si="21"/>
        <v>NG</v>
      </c>
      <c r="F520" s="16" t="str">
        <f t="shared" si="22"/>
        <v>GB</v>
      </c>
      <c r="G520" s="21" t="str">
        <f t="shared" si="23"/>
        <v>P</v>
      </c>
    </row>
    <row r="521" spans="2:7" x14ac:dyDescent="0.25">
      <c r="B521" s="7" t="s">
        <v>953</v>
      </c>
      <c r="C521" s="8" t="s">
        <v>954</v>
      </c>
      <c r="D521" s="4" t="s">
        <v>24</v>
      </c>
      <c r="E521" s="20" t="str">
        <f t="shared" si="21"/>
        <v>NG</v>
      </c>
      <c r="F521" s="16" t="str">
        <f t="shared" si="22"/>
        <v>IC</v>
      </c>
      <c r="G521" s="21" t="str">
        <f t="shared" si="23"/>
        <v>B</v>
      </c>
    </row>
    <row r="522" spans="2:7" x14ac:dyDescent="0.25">
      <c r="B522" s="7" t="s">
        <v>955</v>
      </c>
      <c r="C522" s="8" t="s">
        <v>956</v>
      </c>
      <c r="D522" s="4" t="s">
        <v>74</v>
      </c>
      <c r="E522" s="20" t="str">
        <f t="shared" si="21"/>
        <v>NG</v>
      </c>
      <c r="F522" s="16" t="str">
        <f t="shared" si="22"/>
        <v>IC</v>
      </c>
      <c r="G522" s="21" t="str">
        <f t="shared" si="23"/>
        <v>D</v>
      </c>
    </row>
    <row r="523" spans="2:7" x14ac:dyDescent="0.25">
      <c r="B523" s="7" t="s">
        <v>957</v>
      </c>
      <c r="C523" s="8" t="s">
        <v>954</v>
      </c>
      <c r="D523" s="4" t="s">
        <v>929</v>
      </c>
      <c r="E523" s="20" t="str">
        <f t="shared" si="21"/>
        <v>NG</v>
      </c>
      <c r="F523" s="16" t="str">
        <f t="shared" si="22"/>
        <v>IC</v>
      </c>
      <c r="G523" s="21" t="str">
        <f t="shared" si="23"/>
        <v>P</v>
      </c>
    </row>
    <row r="524" spans="2:7" x14ac:dyDescent="0.25">
      <c r="B524" s="7" t="s">
        <v>958</v>
      </c>
      <c r="C524" s="8" t="s">
        <v>959</v>
      </c>
      <c r="D524" s="4" t="s">
        <v>78</v>
      </c>
      <c r="E524" s="20" t="str">
        <f t="shared" si="21"/>
        <v>NG</v>
      </c>
      <c r="F524" s="16" t="str">
        <f t="shared" si="22"/>
        <v>IC</v>
      </c>
      <c r="G524" s="21" t="str">
        <f t="shared" si="23"/>
        <v>V</v>
      </c>
    </row>
    <row r="525" spans="2:7" x14ac:dyDescent="0.25">
      <c r="B525" s="7" t="s">
        <v>960</v>
      </c>
      <c r="C525" s="8" t="s">
        <v>961</v>
      </c>
      <c r="D525" s="4" t="s">
        <v>24</v>
      </c>
      <c r="E525" s="20" t="str">
        <f t="shared" si="21"/>
        <v>NG</v>
      </c>
      <c r="F525" s="16" t="str">
        <f t="shared" si="22"/>
        <v>IS</v>
      </c>
      <c r="G525" s="21" t="str">
        <f t="shared" si="23"/>
        <v>B</v>
      </c>
    </row>
    <row r="526" spans="2:7" x14ac:dyDescent="0.25">
      <c r="B526" s="7" t="s">
        <v>962</v>
      </c>
      <c r="C526" s="8" t="s">
        <v>963</v>
      </c>
      <c r="D526" s="4" t="s">
        <v>24</v>
      </c>
      <c r="E526" s="20" t="str">
        <f t="shared" si="21"/>
        <v>NG</v>
      </c>
      <c r="F526" s="16" t="str">
        <f t="shared" si="22"/>
        <v>LP</v>
      </c>
      <c r="G526" s="21" t="str">
        <f t="shared" si="23"/>
        <v>B</v>
      </c>
    </row>
    <row r="527" spans="2:7" x14ac:dyDescent="0.25">
      <c r="B527" s="7" t="s">
        <v>964</v>
      </c>
      <c r="C527" s="8" t="s">
        <v>965</v>
      </c>
      <c r="D527" s="4" t="s">
        <v>24</v>
      </c>
      <c r="E527" s="20" t="str">
        <f t="shared" si="21"/>
        <v>NG</v>
      </c>
      <c r="F527" s="16" t="str">
        <f t="shared" si="22"/>
        <v>MP</v>
      </c>
      <c r="G527" s="21" t="str">
        <f t="shared" si="23"/>
        <v>B</v>
      </c>
    </row>
    <row r="528" spans="2:7" x14ac:dyDescent="0.25">
      <c r="B528" s="7" t="s">
        <v>966</v>
      </c>
      <c r="C528" s="8" t="s">
        <v>967</v>
      </c>
      <c r="D528" s="4" t="s">
        <v>968</v>
      </c>
      <c r="E528" s="20" t="str">
        <f t="shared" ref="E528:E591" si="24">LEFT(B528,2)</f>
        <v>NG</v>
      </c>
      <c r="F528" s="16" t="str">
        <f t="shared" ref="F528:F591" si="25">MID(B528,3,2)</f>
        <v>MP</v>
      </c>
      <c r="G528" s="21" t="str">
        <f t="shared" ref="G528:G591" si="26">RIGHT(B528,1)</f>
        <v>K</v>
      </c>
    </row>
    <row r="529" spans="2:7" x14ac:dyDescent="0.25">
      <c r="B529" s="7" t="s">
        <v>969</v>
      </c>
      <c r="C529" s="8" t="s">
        <v>965</v>
      </c>
      <c r="D529" s="4" t="s">
        <v>929</v>
      </c>
      <c r="E529" s="20" t="str">
        <f t="shared" si="24"/>
        <v>NG</v>
      </c>
      <c r="F529" s="16" t="str">
        <f t="shared" si="25"/>
        <v>MP</v>
      </c>
      <c r="G529" s="21" t="str">
        <f t="shared" si="26"/>
        <v>P</v>
      </c>
    </row>
    <row r="530" spans="2:7" x14ac:dyDescent="0.25">
      <c r="B530" s="7" t="s">
        <v>970</v>
      </c>
      <c r="C530" s="8" t="s">
        <v>971</v>
      </c>
      <c r="D530" s="4" t="s">
        <v>24</v>
      </c>
      <c r="E530" s="20" t="str">
        <f t="shared" si="24"/>
        <v>NG</v>
      </c>
      <c r="F530" s="16" t="str">
        <f t="shared" si="25"/>
        <v>PZ</v>
      </c>
      <c r="G530" s="21" t="str">
        <f t="shared" si="26"/>
        <v>B</v>
      </c>
    </row>
    <row r="531" spans="2:7" x14ac:dyDescent="0.25">
      <c r="B531" s="7" t="s">
        <v>44</v>
      </c>
      <c r="C531" s="8" t="s">
        <v>45</v>
      </c>
      <c r="D531" s="4" t="s">
        <v>24</v>
      </c>
      <c r="E531" s="20" t="str">
        <f t="shared" si="24"/>
        <v>NG</v>
      </c>
      <c r="F531" s="16" t="str">
        <f t="shared" si="25"/>
        <v>RC</v>
      </c>
      <c r="G531" s="21" t="str">
        <f t="shared" si="26"/>
        <v>B</v>
      </c>
    </row>
    <row r="532" spans="2:7" x14ac:dyDescent="0.25">
      <c r="B532" s="7" t="s">
        <v>972</v>
      </c>
      <c r="C532" s="8" t="s">
        <v>973</v>
      </c>
      <c r="D532" s="4" t="s">
        <v>74</v>
      </c>
      <c r="E532" s="20" t="str">
        <f t="shared" si="24"/>
        <v>NG</v>
      </c>
      <c r="F532" s="16" t="str">
        <f t="shared" si="25"/>
        <v>RC</v>
      </c>
      <c r="G532" s="21" t="str">
        <f t="shared" si="26"/>
        <v>D</v>
      </c>
    </row>
    <row r="533" spans="2:7" x14ac:dyDescent="0.25">
      <c r="B533" s="7" t="s">
        <v>974</v>
      </c>
      <c r="C533" s="8" t="s">
        <v>45</v>
      </c>
      <c r="D533" s="4" t="s">
        <v>929</v>
      </c>
      <c r="E533" s="20" t="str">
        <f t="shared" si="24"/>
        <v>NG</v>
      </c>
      <c r="F533" s="16" t="str">
        <f t="shared" si="25"/>
        <v>RC</v>
      </c>
      <c r="G533" s="21" t="str">
        <f t="shared" si="26"/>
        <v>P</v>
      </c>
    </row>
    <row r="534" spans="2:7" x14ac:dyDescent="0.25">
      <c r="B534" s="7" t="s">
        <v>975</v>
      </c>
      <c r="C534" s="8" t="s">
        <v>976</v>
      </c>
      <c r="D534" s="4" t="s">
        <v>78</v>
      </c>
      <c r="E534" s="20" t="str">
        <f t="shared" si="24"/>
        <v>NG</v>
      </c>
      <c r="F534" s="16" t="str">
        <f t="shared" si="25"/>
        <v>RC</v>
      </c>
      <c r="G534" s="21" t="str">
        <f t="shared" si="26"/>
        <v>V</v>
      </c>
    </row>
    <row r="535" spans="2:7" x14ac:dyDescent="0.25">
      <c r="B535" s="7" t="s">
        <v>977</v>
      </c>
      <c r="C535" s="8" t="s">
        <v>978</v>
      </c>
      <c r="D535" s="4" t="s">
        <v>24</v>
      </c>
      <c r="E535" s="20" t="str">
        <f t="shared" si="24"/>
        <v>NG</v>
      </c>
      <c r="F535" s="16" t="str">
        <f t="shared" si="25"/>
        <v>RF</v>
      </c>
      <c r="G535" s="21" t="str">
        <f t="shared" si="26"/>
        <v>B</v>
      </c>
    </row>
    <row r="536" spans="2:7" x14ac:dyDescent="0.25">
      <c r="B536" s="7" t="s">
        <v>979</v>
      </c>
      <c r="C536" s="8" t="s">
        <v>980</v>
      </c>
      <c r="D536" s="4" t="s">
        <v>24</v>
      </c>
      <c r="E536" s="20" t="str">
        <f t="shared" si="24"/>
        <v>NG</v>
      </c>
      <c r="F536" s="16" t="str">
        <f t="shared" si="25"/>
        <v>SC</v>
      </c>
      <c r="G536" s="21" t="str">
        <f t="shared" si="26"/>
        <v>B</v>
      </c>
    </row>
    <row r="537" spans="2:7" x14ac:dyDescent="0.25">
      <c r="B537" s="7" t="s">
        <v>981</v>
      </c>
      <c r="C537" s="8" t="s">
        <v>982</v>
      </c>
      <c r="D537" s="4" t="s">
        <v>24</v>
      </c>
      <c r="E537" s="20" t="str">
        <f t="shared" si="24"/>
        <v>NG</v>
      </c>
      <c r="F537" s="16" t="str">
        <f t="shared" si="25"/>
        <v>TC</v>
      </c>
      <c r="G537" s="21" t="str">
        <f t="shared" si="26"/>
        <v>B</v>
      </c>
    </row>
    <row r="538" spans="2:7" x14ac:dyDescent="0.25">
      <c r="B538" s="7" t="s">
        <v>983</v>
      </c>
      <c r="C538" s="8" t="s">
        <v>984</v>
      </c>
      <c r="D538" s="4" t="s">
        <v>74</v>
      </c>
      <c r="E538" s="20" t="str">
        <f t="shared" si="24"/>
        <v>NG</v>
      </c>
      <c r="F538" s="16" t="str">
        <f t="shared" si="25"/>
        <v>TC</v>
      </c>
      <c r="G538" s="21" t="str">
        <f t="shared" si="26"/>
        <v>D</v>
      </c>
    </row>
    <row r="539" spans="2:7" x14ac:dyDescent="0.25">
      <c r="B539" s="7" t="s">
        <v>985</v>
      </c>
      <c r="C539" s="8" t="s">
        <v>986</v>
      </c>
      <c r="D539" s="4" t="s">
        <v>947</v>
      </c>
      <c r="E539" s="20" t="str">
        <f t="shared" si="24"/>
        <v>NG</v>
      </c>
      <c r="F539" s="16" t="str">
        <f t="shared" si="25"/>
        <v>TC</v>
      </c>
      <c r="G539" s="21" t="str">
        <f t="shared" si="26"/>
        <v>K</v>
      </c>
    </row>
    <row r="540" spans="2:7" x14ac:dyDescent="0.25">
      <c r="B540" s="7" t="s">
        <v>987</v>
      </c>
      <c r="C540" s="8" t="s">
        <v>982</v>
      </c>
      <c r="D540" s="4" t="s">
        <v>929</v>
      </c>
      <c r="E540" s="20" t="str">
        <f t="shared" si="24"/>
        <v>NG</v>
      </c>
      <c r="F540" s="16" t="str">
        <f t="shared" si="25"/>
        <v>TC</v>
      </c>
      <c r="G540" s="21" t="str">
        <f t="shared" si="26"/>
        <v>P</v>
      </c>
    </row>
    <row r="541" spans="2:7" x14ac:dyDescent="0.25">
      <c r="B541" s="7" t="s">
        <v>988</v>
      </c>
      <c r="C541" s="8" t="s">
        <v>989</v>
      </c>
      <c r="D541" s="4" t="s">
        <v>78</v>
      </c>
      <c r="E541" s="20" t="str">
        <f t="shared" si="24"/>
        <v>NG</v>
      </c>
      <c r="F541" s="16" t="str">
        <f t="shared" si="25"/>
        <v>TC</v>
      </c>
      <c r="G541" s="21" t="str">
        <f t="shared" si="26"/>
        <v>V</v>
      </c>
    </row>
    <row r="542" spans="2:7" x14ac:dyDescent="0.25">
      <c r="B542" s="7" t="s">
        <v>990</v>
      </c>
      <c r="C542" s="8" t="s">
        <v>991</v>
      </c>
      <c r="D542" s="4" t="s">
        <v>992</v>
      </c>
      <c r="E542" s="20" t="str">
        <f t="shared" si="24"/>
        <v>NG</v>
      </c>
      <c r="F542" s="16" t="str">
        <f t="shared" si="25"/>
        <v>TP</v>
      </c>
      <c r="G542" s="21" t="str">
        <f t="shared" si="26"/>
        <v>B</v>
      </c>
    </row>
    <row r="543" spans="2:7" x14ac:dyDescent="0.25">
      <c r="B543" s="7" t="s">
        <v>993</v>
      </c>
      <c r="C543" s="8" t="s">
        <v>991</v>
      </c>
      <c r="D543" s="4" t="s">
        <v>994</v>
      </c>
      <c r="E543" s="20" t="str">
        <f t="shared" si="24"/>
        <v>NG</v>
      </c>
      <c r="F543" s="16" t="str">
        <f t="shared" si="25"/>
        <v>TP</v>
      </c>
      <c r="G543" s="21" t="str">
        <f t="shared" si="26"/>
        <v>P</v>
      </c>
    </row>
    <row r="544" spans="2:7" x14ac:dyDescent="0.25">
      <c r="B544" s="7" t="s">
        <v>995</v>
      </c>
      <c r="C544" s="8" t="s">
        <v>996</v>
      </c>
      <c r="D544" s="4" t="s">
        <v>24</v>
      </c>
      <c r="E544" s="20" t="str">
        <f t="shared" si="24"/>
        <v>NG</v>
      </c>
      <c r="F544" s="16" t="str">
        <f t="shared" si="25"/>
        <v>TX</v>
      </c>
      <c r="G544" s="21" t="str">
        <f t="shared" si="26"/>
        <v>B</v>
      </c>
    </row>
    <row r="545" spans="2:7" x14ac:dyDescent="0.25">
      <c r="B545" s="7" t="s">
        <v>997</v>
      </c>
      <c r="C545" s="8" t="s">
        <v>998</v>
      </c>
      <c r="D545" s="4" t="s">
        <v>74</v>
      </c>
      <c r="E545" s="20" t="str">
        <f t="shared" si="24"/>
        <v>NG</v>
      </c>
      <c r="F545" s="16" t="str">
        <f t="shared" si="25"/>
        <v>TX</v>
      </c>
      <c r="G545" s="21" t="str">
        <f t="shared" si="26"/>
        <v>D</v>
      </c>
    </row>
    <row r="546" spans="2:7" x14ac:dyDescent="0.25">
      <c r="B546" s="7" t="s">
        <v>999</v>
      </c>
      <c r="C546" s="8" t="s">
        <v>1000</v>
      </c>
      <c r="D546" s="4" t="s">
        <v>947</v>
      </c>
      <c r="E546" s="20" t="str">
        <f t="shared" si="24"/>
        <v>NG</v>
      </c>
      <c r="F546" s="16" t="str">
        <f t="shared" si="25"/>
        <v>TX</v>
      </c>
      <c r="G546" s="21" t="str">
        <f t="shared" si="26"/>
        <v>K</v>
      </c>
    </row>
    <row r="547" spans="2:7" x14ac:dyDescent="0.25">
      <c r="B547" s="7" t="s">
        <v>1001</v>
      </c>
      <c r="C547" s="8" t="s">
        <v>996</v>
      </c>
      <c r="D547" s="4" t="s">
        <v>929</v>
      </c>
      <c r="E547" s="20" t="str">
        <f t="shared" si="24"/>
        <v>NG</v>
      </c>
      <c r="F547" s="16" t="str">
        <f t="shared" si="25"/>
        <v>TX</v>
      </c>
      <c r="G547" s="21" t="str">
        <f t="shared" si="26"/>
        <v>P</v>
      </c>
    </row>
    <row r="548" spans="2:7" x14ac:dyDescent="0.25">
      <c r="B548" s="7" t="s">
        <v>1002</v>
      </c>
      <c r="C548" s="8" t="s">
        <v>1003</v>
      </c>
      <c r="D548" s="4" t="s">
        <v>78</v>
      </c>
      <c r="E548" s="20" t="str">
        <f t="shared" si="24"/>
        <v>NG</v>
      </c>
      <c r="F548" s="16" t="str">
        <f t="shared" si="25"/>
        <v>TX</v>
      </c>
      <c r="G548" s="21" t="str">
        <f t="shared" si="26"/>
        <v>V</v>
      </c>
    </row>
    <row r="549" spans="2:7" x14ac:dyDescent="0.25">
      <c r="B549" s="7" t="s">
        <v>1004</v>
      </c>
      <c r="C549" s="8" t="s">
        <v>1005</v>
      </c>
      <c r="D549" s="4" t="s">
        <v>24</v>
      </c>
      <c r="E549" s="20" t="str">
        <f t="shared" si="24"/>
        <v>NN</v>
      </c>
      <c r="F549" s="16" t="str">
        <f t="shared" si="25"/>
        <v>TC</v>
      </c>
      <c r="G549" s="21" t="str">
        <f t="shared" si="26"/>
        <v>B</v>
      </c>
    </row>
    <row r="550" spans="2:7" x14ac:dyDescent="0.25">
      <c r="B550" s="7" t="s">
        <v>1006</v>
      </c>
      <c r="C550" s="8" t="s">
        <v>1007</v>
      </c>
      <c r="D550" s="4" t="s">
        <v>204</v>
      </c>
      <c r="E550" s="20" t="str">
        <f t="shared" si="24"/>
        <v>NT</v>
      </c>
      <c r="F550" s="16" t="str">
        <f t="shared" si="25"/>
        <v>CA</v>
      </c>
      <c r="G550" s="21" t="str">
        <f t="shared" si="26"/>
        <v>S</v>
      </c>
    </row>
    <row r="551" spans="2:7" x14ac:dyDescent="0.25">
      <c r="B551" s="7" t="s">
        <v>1008</v>
      </c>
      <c r="C551" s="8" t="s">
        <v>1009</v>
      </c>
      <c r="D551" s="4" t="s">
        <v>204</v>
      </c>
      <c r="E551" s="20" t="str">
        <f t="shared" si="24"/>
        <v>NU</v>
      </c>
      <c r="F551" s="16" t="str">
        <f t="shared" si="25"/>
        <v>CA</v>
      </c>
      <c r="G551" s="21" t="str">
        <f t="shared" si="26"/>
        <v>S</v>
      </c>
    </row>
    <row r="552" spans="2:7" x14ac:dyDescent="0.25">
      <c r="B552" s="7" t="s">
        <v>1010</v>
      </c>
      <c r="C552" s="8" t="s">
        <v>1011</v>
      </c>
      <c r="D552" s="4" t="s">
        <v>24</v>
      </c>
      <c r="E552" s="20" t="str">
        <f t="shared" si="24"/>
        <v>NU</v>
      </c>
      <c r="F552" s="16" t="str">
        <f t="shared" si="25"/>
        <v>EG</v>
      </c>
      <c r="G552" s="21" t="str">
        <f t="shared" si="26"/>
        <v>B</v>
      </c>
    </row>
    <row r="553" spans="2:7" x14ac:dyDescent="0.25">
      <c r="B553" s="7" t="s">
        <v>1012</v>
      </c>
      <c r="C553" s="8" t="s">
        <v>1013</v>
      </c>
      <c r="D553" s="4" t="s">
        <v>74</v>
      </c>
      <c r="E553" s="20" t="str">
        <f t="shared" si="24"/>
        <v>NU</v>
      </c>
      <c r="F553" s="16" t="str">
        <f t="shared" si="25"/>
        <v>EG</v>
      </c>
      <c r="G553" s="21" t="str">
        <f t="shared" si="26"/>
        <v>D</v>
      </c>
    </row>
    <row r="554" spans="2:7" x14ac:dyDescent="0.25">
      <c r="B554" s="7" t="s">
        <v>1014</v>
      </c>
      <c r="C554" s="8" t="s">
        <v>1015</v>
      </c>
      <c r="D554" s="4" t="s">
        <v>241</v>
      </c>
      <c r="E554" s="20" t="str">
        <f t="shared" si="24"/>
        <v>NU</v>
      </c>
      <c r="F554" s="16" t="str">
        <f t="shared" si="25"/>
        <v>EG</v>
      </c>
      <c r="G554" s="21" t="str">
        <f t="shared" si="26"/>
        <v>P</v>
      </c>
    </row>
    <row r="555" spans="2:7" x14ac:dyDescent="0.25">
      <c r="B555" s="7" t="s">
        <v>1016</v>
      </c>
      <c r="C555" s="8" t="s">
        <v>1017</v>
      </c>
      <c r="D555" s="4" t="s">
        <v>78</v>
      </c>
      <c r="E555" s="20" t="str">
        <f t="shared" si="24"/>
        <v>NU</v>
      </c>
      <c r="F555" s="16" t="str">
        <f t="shared" si="25"/>
        <v>EG</v>
      </c>
      <c r="G555" s="21" t="str">
        <f t="shared" si="26"/>
        <v>V</v>
      </c>
    </row>
    <row r="556" spans="2:7" x14ac:dyDescent="0.25">
      <c r="B556" s="7" t="s">
        <v>1018</v>
      </c>
      <c r="C556" s="8" t="s">
        <v>1019</v>
      </c>
      <c r="D556" s="4" t="s">
        <v>24</v>
      </c>
      <c r="E556" s="20" t="str">
        <f t="shared" si="24"/>
        <v>NU</v>
      </c>
      <c r="F556" s="16" t="str">
        <f t="shared" si="25"/>
        <v>ET</v>
      </c>
      <c r="G556" s="21" t="str">
        <f t="shared" si="26"/>
        <v>B</v>
      </c>
    </row>
    <row r="557" spans="2:7" x14ac:dyDescent="0.25">
      <c r="B557" s="7" t="s">
        <v>1020</v>
      </c>
      <c r="C557" s="8" t="s">
        <v>1021</v>
      </c>
      <c r="D557" s="4" t="s">
        <v>74</v>
      </c>
      <c r="E557" s="20" t="str">
        <f t="shared" si="24"/>
        <v>NU</v>
      </c>
      <c r="F557" s="16" t="str">
        <f t="shared" si="25"/>
        <v>ET</v>
      </c>
      <c r="G557" s="21" t="str">
        <f t="shared" si="26"/>
        <v>D</v>
      </c>
    </row>
    <row r="558" spans="2:7" x14ac:dyDescent="0.25">
      <c r="B558" s="7" t="s">
        <v>1022</v>
      </c>
      <c r="C558" s="8" t="s">
        <v>1023</v>
      </c>
      <c r="D558" s="4" t="s">
        <v>576</v>
      </c>
      <c r="E558" s="20" t="str">
        <f t="shared" si="24"/>
        <v>NU</v>
      </c>
      <c r="F558" s="16" t="str">
        <f t="shared" si="25"/>
        <v>ET</v>
      </c>
      <c r="G558" s="21" t="str">
        <f t="shared" si="26"/>
        <v>K</v>
      </c>
    </row>
    <row r="559" spans="2:7" x14ac:dyDescent="0.25">
      <c r="B559" s="7" t="s">
        <v>1024</v>
      </c>
      <c r="C559" s="8" t="s">
        <v>1025</v>
      </c>
      <c r="D559" s="4" t="s">
        <v>241</v>
      </c>
      <c r="E559" s="20" t="str">
        <f t="shared" si="24"/>
        <v>NU</v>
      </c>
      <c r="F559" s="16" t="str">
        <f t="shared" si="25"/>
        <v>ET</v>
      </c>
      <c r="G559" s="21" t="str">
        <f t="shared" si="26"/>
        <v>P</v>
      </c>
    </row>
    <row r="560" spans="2:7" x14ac:dyDescent="0.25">
      <c r="B560" s="7" t="s">
        <v>1026</v>
      </c>
      <c r="C560" s="8" t="s">
        <v>1027</v>
      </c>
      <c r="D560" s="4" t="s">
        <v>78</v>
      </c>
      <c r="E560" s="20" t="str">
        <f t="shared" si="24"/>
        <v>NU</v>
      </c>
      <c r="F560" s="16" t="str">
        <f t="shared" si="25"/>
        <v>ET</v>
      </c>
      <c r="G560" s="21" t="str">
        <f t="shared" si="26"/>
        <v>V</v>
      </c>
    </row>
    <row r="561" spans="2:7" x14ac:dyDescent="0.25">
      <c r="B561" s="7" t="s">
        <v>1028</v>
      </c>
      <c r="C561" s="8" t="s">
        <v>1029</v>
      </c>
      <c r="D561" s="4" t="s">
        <v>235</v>
      </c>
      <c r="E561" s="20" t="str">
        <f t="shared" si="24"/>
        <v>NU</v>
      </c>
      <c r="F561" s="16" t="str">
        <f t="shared" si="25"/>
        <v>GB</v>
      </c>
      <c r="G561" s="21" t="str">
        <f t="shared" si="26"/>
        <v>P</v>
      </c>
    </row>
    <row r="562" spans="2:7" x14ac:dyDescent="0.25">
      <c r="B562" s="7" t="s">
        <v>1030</v>
      </c>
      <c r="C562" s="8" t="s">
        <v>1031</v>
      </c>
      <c r="D562" s="4" t="s">
        <v>204</v>
      </c>
      <c r="E562" s="20" t="str">
        <f t="shared" si="24"/>
        <v>NY</v>
      </c>
      <c r="F562" s="16" t="str">
        <f t="shared" si="25"/>
        <v>CA</v>
      </c>
      <c r="G562" s="21" t="str">
        <f t="shared" si="26"/>
        <v>S</v>
      </c>
    </row>
    <row r="563" spans="2:7" x14ac:dyDescent="0.25">
      <c r="B563" s="7" t="s">
        <v>1032</v>
      </c>
      <c r="C563" s="8" t="s">
        <v>1033</v>
      </c>
      <c r="D563" s="4" t="s">
        <v>24</v>
      </c>
      <c r="E563" s="20" t="str">
        <f t="shared" si="24"/>
        <v>OH</v>
      </c>
      <c r="F563" s="16" t="str">
        <f t="shared" si="25"/>
        <v>IC</v>
      </c>
      <c r="G563" s="21" t="str">
        <f t="shared" si="26"/>
        <v>B</v>
      </c>
    </row>
    <row r="564" spans="2:7" x14ac:dyDescent="0.25">
      <c r="B564" s="7" t="s">
        <v>1034</v>
      </c>
      <c r="C564" s="8" t="s">
        <v>1035</v>
      </c>
      <c r="D564" s="4" t="s">
        <v>74</v>
      </c>
      <c r="E564" s="20" t="str">
        <f t="shared" si="24"/>
        <v>OH</v>
      </c>
      <c r="F564" s="16" t="str">
        <f t="shared" si="25"/>
        <v>IC</v>
      </c>
      <c r="G564" s="21" t="str">
        <f t="shared" si="26"/>
        <v>D</v>
      </c>
    </row>
    <row r="565" spans="2:7" x14ac:dyDescent="0.25">
      <c r="B565" s="7" t="s">
        <v>1036</v>
      </c>
      <c r="C565" s="8" t="s">
        <v>1037</v>
      </c>
      <c r="D565" s="4" t="s">
        <v>78</v>
      </c>
      <c r="E565" s="20" t="str">
        <f t="shared" si="24"/>
        <v>OH</v>
      </c>
      <c r="F565" s="16" t="str">
        <f t="shared" si="25"/>
        <v>IC</v>
      </c>
      <c r="G565" s="21" t="str">
        <f t="shared" si="26"/>
        <v>V</v>
      </c>
    </row>
    <row r="566" spans="2:7" x14ac:dyDescent="0.25">
      <c r="B566" s="7" t="s">
        <v>1038</v>
      </c>
      <c r="C566" s="8" t="s">
        <v>1039</v>
      </c>
      <c r="D566" s="4" t="s">
        <v>235</v>
      </c>
      <c r="E566" s="20" t="str">
        <f t="shared" si="24"/>
        <v>OJ</v>
      </c>
      <c r="F566" s="16" t="str">
        <f t="shared" si="25"/>
        <v>GB</v>
      </c>
      <c r="G566" s="21" t="str">
        <f t="shared" si="26"/>
        <v>P</v>
      </c>
    </row>
    <row r="567" spans="2:7" x14ac:dyDescent="0.25">
      <c r="B567" s="7" t="s">
        <v>1040</v>
      </c>
      <c r="C567" s="8" t="s">
        <v>1041</v>
      </c>
      <c r="D567" s="4" t="s">
        <v>24</v>
      </c>
      <c r="E567" s="20" t="str">
        <f t="shared" si="24"/>
        <v>OM</v>
      </c>
      <c r="F567" s="16" t="str">
        <f t="shared" si="25"/>
        <v>TC</v>
      </c>
      <c r="G567" s="21" t="str">
        <f t="shared" si="26"/>
        <v>B</v>
      </c>
    </row>
    <row r="568" spans="2:7" x14ac:dyDescent="0.25">
      <c r="B568" s="7" t="s">
        <v>1042</v>
      </c>
      <c r="C568" s="8" t="s">
        <v>1043</v>
      </c>
      <c r="D568" s="4" t="s">
        <v>24</v>
      </c>
      <c r="E568" s="20" t="str">
        <f t="shared" si="24"/>
        <v>OP</v>
      </c>
      <c r="F568" s="16" t="str">
        <f t="shared" si="25"/>
        <v>AC</v>
      </c>
      <c r="G568" s="21" t="str">
        <f t="shared" si="26"/>
        <v>B</v>
      </c>
    </row>
    <row r="569" spans="2:7" x14ac:dyDescent="0.25">
      <c r="B569" s="7" t="s">
        <v>1044</v>
      </c>
      <c r="C569" s="8" t="s">
        <v>1043</v>
      </c>
      <c r="D569" s="4" t="s">
        <v>69</v>
      </c>
      <c r="E569" s="20" t="str">
        <f t="shared" si="24"/>
        <v>OP</v>
      </c>
      <c r="F569" s="16" t="str">
        <f t="shared" si="25"/>
        <v>AC</v>
      </c>
      <c r="G569" s="21" t="str">
        <f t="shared" si="26"/>
        <v>P</v>
      </c>
    </row>
    <row r="570" spans="2:7" x14ac:dyDescent="0.25">
      <c r="B570" s="7" t="s">
        <v>1045</v>
      </c>
      <c r="C570" s="8" t="s">
        <v>1046</v>
      </c>
      <c r="D570" s="4" t="s">
        <v>24</v>
      </c>
      <c r="E570" s="20" t="str">
        <f t="shared" si="24"/>
        <v>OP</v>
      </c>
      <c r="F570" s="16" t="str">
        <f t="shared" si="25"/>
        <v>CC</v>
      </c>
      <c r="G570" s="21" t="str">
        <f t="shared" si="26"/>
        <v>B</v>
      </c>
    </row>
    <row r="571" spans="2:7" x14ac:dyDescent="0.25">
      <c r="B571" s="7" t="s">
        <v>1047</v>
      </c>
      <c r="C571" s="8" t="s">
        <v>1046</v>
      </c>
      <c r="D571" s="4" t="s">
        <v>69</v>
      </c>
      <c r="E571" s="20" t="str">
        <f t="shared" si="24"/>
        <v>OP</v>
      </c>
      <c r="F571" s="16" t="str">
        <f t="shared" si="25"/>
        <v>CC</v>
      </c>
      <c r="G571" s="21" t="str">
        <f t="shared" si="26"/>
        <v>P</v>
      </c>
    </row>
    <row r="572" spans="2:7" x14ac:dyDescent="0.25">
      <c r="B572" s="7" t="s">
        <v>1048</v>
      </c>
      <c r="C572" s="8" t="s">
        <v>1049</v>
      </c>
      <c r="D572" s="4" t="s">
        <v>24</v>
      </c>
      <c r="E572" s="20" t="str">
        <f t="shared" si="24"/>
        <v>OP</v>
      </c>
      <c r="F572" s="16" t="str">
        <f t="shared" si="25"/>
        <v>EI</v>
      </c>
      <c r="G572" s="21" t="str">
        <f t="shared" si="26"/>
        <v>B</v>
      </c>
    </row>
    <row r="573" spans="2:7" x14ac:dyDescent="0.25">
      <c r="B573" s="7" t="s">
        <v>1050</v>
      </c>
      <c r="C573" s="8" t="s">
        <v>1049</v>
      </c>
      <c r="D573" s="4" t="s">
        <v>69</v>
      </c>
      <c r="E573" s="20" t="str">
        <f t="shared" si="24"/>
        <v>OP</v>
      </c>
      <c r="F573" s="16" t="str">
        <f t="shared" si="25"/>
        <v>EI</v>
      </c>
      <c r="G573" s="21" t="str">
        <f t="shared" si="26"/>
        <v>P</v>
      </c>
    </row>
    <row r="574" spans="2:7" x14ac:dyDescent="0.25">
      <c r="B574" s="7" t="s">
        <v>1051</v>
      </c>
      <c r="C574" s="8" t="s">
        <v>1052</v>
      </c>
      <c r="D574" s="4" t="s">
        <v>24</v>
      </c>
      <c r="E574" s="20" t="str">
        <f t="shared" si="24"/>
        <v>OP</v>
      </c>
      <c r="F574" s="16" t="str">
        <f t="shared" si="25"/>
        <v>IC</v>
      </c>
      <c r="G574" s="21" t="str">
        <f t="shared" si="26"/>
        <v>B</v>
      </c>
    </row>
    <row r="575" spans="2:7" x14ac:dyDescent="0.25">
      <c r="B575" s="7" t="s">
        <v>1053</v>
      </c>
      <c r="C575" s="8" t="s">
        <v>1054</v>
      </c>
      <c r="D575" s="4" t="s">
        <v>74</v>
      </c>
      <c r="E575" s="20" t="str">
        <f t="shared" si="24"/>
        <v>OP</v>
      </c>
      <c r="F575" s="16" t="str">
        <f t="shared" si="25"/>
        <v>IC</v>
      </c>
      <c r="G575" s="21" t="str">
        <f t="shared" si="26"/>
        <v>D</v>
      </c>
    </row>
    <row r="576" spans="2:7" x14ac:dyDescent="0.25">
      <c r="B576" s="7" t="s">
        <v>1055</v>
      </c>
      <c r="C576" s="8" t="s">
        <v>1052</v>
      </c>
      <c r="D576" s="4" t="s">
        <v>69</v>
      </c>
      <c r="E576" s="20" t="str">
        <f t="shared" si="24"/>
        <v>OP</v>
      </c>
      <c r="F576" s="16" t="str">
        <f t="shared" si="25"/>
        <v>IC</v>
      </c>
      <c r="G576" s="21" t="str">
        <f t="shared" si="26"/>
        <v>P</v>
      </c>
    </row>
    <row r="577" spans="2:7" x14ac:dyDescent="0.25">
      <c r="B577" s="7" t="s">
        <v>1056</v>
      </c>
      <c r="C577" s="8" t="s">
        <v>1057</v>
      </c>
      <c r="D577" s="4" t="s">
        <v>78</v>
      </c>
      <c r="E577" s="20" t="str">
        <f t="shared" si="24"/>
        <v>OP</v>
      </c>
      <c r="F577" s="16" t="str">
        <f t="shared" si="25"/>
        <v>IC</v>
      </c>
      <c r="G577" s="21" t="str">
        <f t="shared" si="26"/>
        <v>V</v>
      </c>
    </row>
    <row r="578" spans="2:7" x14ac:dyDescent="0.25">
      <c r="B578" s="7" t="s">
        <v>1058</v>
      </c>
      <c r="C578" s="8" t="s">
        <v>1059</v>
      </c>
      <c r="D578" s="4" t="s">
        <v>24</v>
      </c>
      <c r="E578" s="20" t="str">
        <f t="shared" si="24"/>
        <v>OP</v>
      </c>
      <c r="F578" s="16" t="str">
        <f t="shared" si="25"/>
        <v>IS</v>
      </c>
      <c r="G578" s="21" t="str">
        <f t="shared" si="26"/>
        <v>B</v>
      </c>
    </row>
    <row r="579" spans="2:7" x14ac:dyDescent="0.25">
      <c r="B579" s="7" t="s">
        <v>46</v>
      </c>
      <c r="C579" s="8" t="s">
        <v>47</v>
      </c>
      <c r="D579" s="4" t="s">
        <v>24</v>
      </c>
      <c r="E579" s="20" t="str">
        <f t="shared" si="24"/>
        <v>OP</v>
      </c>
      <c r="F579" s="16" t="str">
        <f t="shared" si="25"/>
        <v>RC</v>
      </c>
      <c r="G579" s="21" t="str">
        <f t="shared" si="26"/>
        <v>B</v>
      </c>
    </row>
    <row r="580" spans="2:7" x14ac:dyDescent="0.25">
      <c r="B580" s="7" t="s">
        <v>1060</v>
      </c>
      <c r="C580" s="8" t="s">
        <v>47</v>
      </c>
      <c r="D580" s="4" t="s">
        <v>69</v>
      </c>
      <c r="E580" s="20" t="str">
        <f t="shared" si="24"/>
        <v>OP</v>
      </c>
      <c r="F580" s="16" t="str">
        <f t="shared" si="25"/>
        <v>RC</v>
      </c>
      <c r="G580" s="21" t="str">
        <f t="shared" si="26"/>
        <v>P</v>
      </c>
    </row>
    <row r="581" spans="2:7" x14ac:dyDescent="0.25">
      <c r="B581" s="7" t="s">
        <v>1061</v>
      </c>
      <c r="C581" s="8" t="s">
        <v>1062</v>
      </c>
      <c r="D581" s="4" t="s">
        <v>24</v>
      </c>
      <c r="E581" s="20" t="str">
        <f t="shared" si="24"/>
        <v>OP</v>
      </c>
      <c r="F581" s="16" t="str">
        <f t="shared" si="25"/>
        <v>SC</v>
      </c>
      <c r="G581" s="21" t="str">
        <f t="shared" si="26"/>
        <v>B</v>
      </c>
    </row>
    <row r="582" spans="2:7" x14ac:dyDescent="0.25">
      <c r="B582" s="7" t="s">
        <v>1063</v>
      </c>
      <c r="C582" s="8" t="s">
        <v>1064</v>
      </c>
      <c r="D582" s="4" t="s">
        <v>24</v>
      </c>
      <c r="E582" s="20" t="str">
        <f t="shared" si="24"/>
        <v>OP</v>
      </c>
      <c r="F582" s="16" t="str">
        <f t="shared" si="25"/>
        <v>TC</v>
      </c>
      <c r="G582" s="21" t="str">
        <f t="shared" si="26"/>
        <v>B</v>
      </c>
    </row>
    <row r="583" spans="2:7" x14ac:dyDescent="0.25">
      <c r="B583" s="7" t="s">
        <v>1065</v>
      </c>
      <c r="C583" s="8" t="s">
        <v>1066</v>
      </c>
      <c r="D583" s="4" t="s">
        <v>74</v>
      </c>
      <c r="E583" s="20" t="str">
        <f t="shared" si="24"/>
        <v>OP</v>
      </c>
      <c r="F583" s="16" t="str">
        <f t="shared" si="25"/>
        <v>TC</v>
      </c>
      <c r="G583" s="21" t="str">
        <f t="shared" si="26"/>
        <v>D</v>
      </c>
    </row>
    <row r="584" spans="2:7" x14ac:dyDescent="0.25">
      <c r="B584" s="7" t="s">
        <v>1067</v>
      </c>
      <c r="C584" s="8" t="s">
        <v>1064</v>
      </c>
      <c r="D584" s="4" t="s">
        <v>69</v>
      </c>
      <c r="E584" s="20" t="str">
        <f t="shared" si="24"/>
        <v>OP</v>
      </c>
      <c r="F584" s="16" t="str">
        <f t="shared" si="25"/>
        <v>TC</v>
      </c>
      <c r="G584" s="21" t="str">
        <f t="shared" si="26"/>
        <v>P</v>
      </c>
    </row>
    <row r="585" spans="2:7" x14ac:dyDescent="0.25">
      <c r="B585" s="7" t="s">
        <v>1068</v>
      </c>
      <c r="C585" s="8" t="s">
        <v>1069</v>
      </c>
      <c r="D585" s="4" t="s">
        <v>78</v>
      </c>
      <c r="E585" s="20" t="str">
        <f t="shared" si="24"/>
        <v>OP</v>
      </c>
      <c r="F585" s="16" t="str">
        <f t="shared" si="25"/>
        <v>TC</v>
      </c>
      <c r="G585" s="21" t="str">
        <f t="shared" si="26"/>
        <v>V</v>
      </c>
    </row>
    <row r="586" spans="2:7" x14ac:dyDescent="0.25">
      <c r="B586" s="7" t="s">
        <v>1070</v>
      </c>
      <c r="C586" s="8" t="s">
        <v>1071</v>
      </c>
      <c r="D586" s="4" t="s">
        <v>24</v>
      </c>
      <c r="E586" s="20" t="str">
        <f t="shared" si="24"/>
        <v>OP</v>
      </c>
      <c r="F586" s="16" t="str">
        <f t="shared" si="25"/>
        <v>TX</v>
      </c>
      <c r="G586" s="21" t="str">
        <f t="shared" si="26"/>
        <v>B</v>
      </c>
    </row>
    <row r="587" spans="2:7" x14ac:dyDescent="0.25">
      <c r="B587" s="7" t="s">
        <v>1072</v>
      </c>
      <c r="C587" s="8" t="s">
        <v>1073</v>
      </c>
      <c r="D587" s="4" t="s">
        <v>74</v>
      </c>
      <c r="E587" s="20" t="str">
        <f t="shared" si="24"/>
        <v>OP</v>
      </c>
      <c r="F587" s="16" t="str">
        <f t="shared" si="25"/>
        <v>TX</v>
      </c>
      <c r="G587" s="21" t="str">
        <f t="shared" si="26"/>
        <v>D</v>
      </c>
    </row>
    <row r="588" spans="2:7" x14ac:dyDescent="0.25">
      <c r="B588" s="7" t="s">
        <v>1074</v>
      </c>
      <c r="C588" s="8" t="s">
        <v>1071</v>
      </c>
      <c r="D588" s="4" t="s">
        <v>69</v>
      </c>
      <c r="E588" s="20" t="str">
        <f t="shared" si="24"/>
        <v>OP</v>
      </c>
      <c r="F588" s="16" t="str">
        <f t="shared" si="25"/>
        <v>TX</v>
      </c>
      <c r="G588" s="21" t="str">
        <f t="shared" si="26"/>
        <v>P</v>
      </c>
    </row>
    <row r="589" spans="2:7" x14ac:dyDescent="0.25">
      <c r="B589" s="7" t="s">
        <v>1075</v>
      </c>
      <c r="C589" s="8" t="s">
        <v>1076</v>
      </c>
      <c r="D589" s="4" t="s">
        <v>78</v>
      </c>
      <c r="E589" s="20" t="str">
        <f t="shared" si="24"/>
        <v>OP</v>
      </c>
      <c r="F589" s="16" t="str">
        <f t="shared" si="25"/>
        <v>TX</v>
      </c>
      <c r="G589" s="21" t="str">
        <f t="shared" si="26"/>
        <v>V</v>
      </c>
    </row>
    <row r="590" spans="2:7" x14ac:dyDescent="0.25">
      <c r="B590" s="7" t="s">
        <v>1077</v>
      </c>
      <c r="C590" s="8" t="s">
        <v>1078</v>
      </c>
      <c r="D590" s="4" t="s">
        <v>235</v>
      </c>
      <c r="E590" s="20" t="str">
        <f t="shared" si="24"/>
        <v>OT</v>
      </c>
      <c r="F590" s="16" t="str">
        <f t="shared" si="25"/>
        <v>GB</v>
      </c>
      <c r="G590" s="21" t="str">
        <f t="shared" si="26"/>
        <v>P</v>
      </c>
    </row>
    <row r="591" spans="2:7" x14ac:dyDescent="0.25">
      <c r="B591" s="7" t="s">
        <v>1079</v>
      </c>
      <c r="C591" s="8" t="s">
        <v>1080</v>
      </c>
      <c r="D591" s="4" t="s">
        <v>24</v>
      </c>
      <c r="E591" s="20" t="str">
        <f t="shared" si="24"/>
        <v>P1</v>
      </c>
      <c r="F591" s="16" t="str">
        <f t="shared" si="25"/>
        <v>IC</v>
      </c>
      <c r="G591" s="21" t="str">
        <f t="shared" si="26"/>
        <v>B</v>
      </c>
    </row>
    <row r="592" spans="2:7" x14ac:dyDescent="0.25">
      <c r="B592" s="7" t="s">
        <v>1081</v>
      </c>
      <c r="C592" s="8" t="s">
        <v>1082</v>
      </c>
      <c r="D592" s="4" t="s">
        <v>74</v>
      </c>
      <c r="E592" s="20" t="str">
        <f t="shared" ref="E592:E655" si="27">LEFT(B592,2)</f>
        <v>P1</v>
      </c>
      <c r="F592" s="16" t="str">
        <f t="shared" ref="F592:F655" si="28">MID(B592,3,2)</f>
        <v>IC</v>
      </c>
      <c r="G592" s="21" t="str">
        <f t="shared" ref="G592:G655" si="29">RIGHT(B592,1)</f>
        <v>D</v>
      </c>
    </row>
    <row r="593" spans="2:7" x14ac:dyDescent="0.25">
      <c r="B593" s="7" t="s">
        <v>1083</v>
      </c>
      <c r="C593" s="8" t="s">
        <v>1080</v>
      </c>
      <c r="D593" s="4" t="s">
        <v>69</v>
      </c>
      <c r="E593" s="20" t="str">
        <f t="shared" si="27"/>
        <v>P1</v>
      </c>
      <c r="F593" s="16" t="str">
        <f t="shared" si="28"/>
        <v>IC</v>
      </c>
      <c r="G593" s="21" t="str">
        <f t="shared" si="29"/>
        <v>P</v>
      </c>
    </row>
    <row r="594" spans="2:7" x14ac:dyDescent="0.25">
      <c r="B594" s="7" t="s">
        <v>1084</v>
      </c>
      <c r="C594" s="8" t="s">
        <v>1085</v>
      </c>
      <c r="D594" s="4" t="s">
        <v>78</v>
      </c>
      <c r="E594" s="20" t="str">
        <f t="shared" si="27"/>
        <v>P1</v>
      </c>
      <c r="F594" s="16" t="str">
        <f t="shared" si="28"/>
        <v>IC</v>
      </c>
      <c r="G594" s="21" t="str">
        <f t="shared" si="29"/>
        <v>V</v>
      </c>
    </row>
    <row r="595" spans="2:7" x14ac:dyDescent="0.25">
      <c r="B595" s="7" t="s">
        <v>1086</v>
      </c>
      <c r="C595" s="8" t="s">
        <v>1087</v>
      </c>
      <c r="D595" s="4" t="s">
        <v>24</v>
      </c>
      <c r="E595" s="20" t="str">
        <f t="shared" si="27"/>
        <v>P1</v>
      </c>
      <c r="F595" s="16" t="str">
        <f t="shared" si="28"/>
        <v>IS</v>
      </c>
      <c r="G595" s="21" t="str">
        <f t="shared" si="29"/>
        <v>B</v>
      </c>
    </row>
    <row r="596" spans="2:7" x14ac:dyDescent="0.25">
      <c r="B596" s="7" t="s">
        <v>1088</v>
      </c>
      <c r="C596" s="8" t="s">
        <v>1089</v>
      </c>
      <c r="D596" s="4" t="s">
        <v>24</v>
      </c>
      <c r="E596" s="20" t="str">
        <f t="shared" si="27"/>
        <v>P1</v>
      </c>
      <c r="F596" s="16" t="str">
        <f t="shared" si="28"/>
        <v>SC</v>
      </c>
      <c r="G596" s="21" t="str">
        <f t="shared" si="29"/>
        <v>B</v>
      </c>
    </row>
    <row r="597" spans="2:7" x14ac:dyDescent="0.25">
      <c r="B597" s="7" t="s">
        <v>1090</v>
      </c>
      <c r="C597" s="8" t="s">
        <v>1091</v>
      </c>
      <c r="D597" s="4" t="s">
        <v>24</v>
      </c>
      <c r="E597" s="20" t="str">
        <f t="shared" si="27"/>
        <v>P1</v>
      </c>
      <c r="F597" s="16" t="str">
        <f t="shared" si="28"/>
        <v>TC</v>
      </c>
      <c r="G597" s="21" t="str">
        <f t="shared" si="29"/>
        <v>B</v>
      </c>
    </row>
    <row r="598" spans="2:7" x14ac:dyDescent="0.25">
      <c r="B598" s="7" t="s">
        <v>1092</v>
      </c>
      <c r="C598" s="8" t="s">
        <v>1093</v>
      </c>
      <c r="D598" s="4" t="s">
        <v>74</v>
      </c>
      <c r="E598" s="20" t="str">
        <f t="shared" si="27"/>
        <v>P1</v>
      </c>
      <c r="F598" s="16" t="str">
        <f t="shared" si="28"/>
        <v>TC</v>
      </c>
      <c r="G598" s="21" t="str">
        <f t="shared" si="29"/>
        <v>D</v>
      </c>
    </row>
    <row r="599" spans="2:7" x14ac:dyDescent="0.25">
      <c r="B599" s="7" t="s">
        <v>1094</v>
      </c>
      <c r="C599" s="8" t="s">
        <v>1091</v>
      </c>
      <c r="D599" s="4" t="s">
        <v>69</v>
      </c>
      <c r="E599" s="20" t="str">
        <f t="shared" si="27"/>
        <v>P1</v>
      </c>
      <c r="F599" s="16" t="str">
        <f t="shared" si="28"/>
        <v>TC</v>
      </c>
      <c r="G599" s="21" t="str">
        <f t="shared" si="29"/>
        <v>P</v>
      </c>
    </row>
    <row r="600" spans="2:7" x14ac:dyDescent="0.25">
      <c r="B600" s="7" t="s">
        <v>1095</v>
      </c>
      <c r="C600" s="8" t="s">
        <v>1096</v>
      </c>
      <c r="D600" s="4" t="s">
        <v>78</v>
      </c>
      <c r="E600" s="20" t="str">
        <f t="shared" si="27"/>
        <v>P1</v>
      </c>
      <c r="F600" s="16" t="str">
        <f t="shared" si="28"/>
        <v>TC</v>
      </c>
      <c r="G600" s="21" t="str">
        <f t="shared" si="29"/>
        <v>V</v>
      </c>
    </row>
    <row r="601" spans="2:7" x14ac:dyDescent="0.25">
      <c r="B601" s="7" t="s">
        <v>1097</v>
      </c>
      <c r="C601" s="8" t="s">
        <v>1098</v>
      </c>
      <c r="D601" s="4" t="s">
        <v>24</v>
      </c>
      <c r="E601" s="20" t="str">
        <f t="shared" si="27"/>
        <v>P1</v>
      </c>
      <c r="F601" s="16" t="str">
        <f t="shared" si="28"/>
        <v>TX</v>
      </c>
      <c r="G601" s="21" t="str">
        <f t="shared" si="29"/>
        <v>B</v>
      </c>
    </row>
    <row r="602" spans="2:7" x14ac:dyDescent="0.25">
      <c r="B602" s="7" t="s">
        <v>1099</v>
      </c>
      <c r="C602" s="8" t="s">
        <v>1100</v>
      </c>
      <c r="D602" s="4" t="s">
        <v>74</v>
      </c>
      <c r="E602" s="20" t="str">
        <f t="shared" si="27"/>
        <v>P1</v>
      </c>
      <c r="F602" s="16" t="str">
        <f t="shared" si="28"/>
        <v>TX</v>
      </c>
      <c r="G602" s="21" t="str">
        <f t="shared" si="29"/>
        <v>D</v>
      </c>
    </row>
    <row r="603" spans="2:7" x14ac:dyDescent="0.25">
      <c r="B603" s="7" t="s">
        <v>1101</v>
      </c>
      <c r="C603" s="8" t="s">
        <v>1098</v>
      </c>
      <c r="D603" s="4" t="s">
        <v>69</v>
      </c>
      <c r="E603" s="20" t="str">
        <f t="shared" si="27"/>
        <v>P1</v>
      </c>
      <c r="F603" s="16" t="str">
        <f t="shared" si="28"/>
        <v>TX</v>
      </c>
      <c r="G603" s="21" t="str">
        <f t="shared" si="29"/>
        <v>P</v>
      </c>
    </row>
    <row r="604" spans="2:7" x14ac:dyDescent="0.25">
      <c r="B604" s="7" t="s">
        <v>1102</v>
      </c>
      <c r="C604" s="8" t="s">
        <v>1103</v>
      </c>
      <c r="D604" s="4" t="s">
        <v>78</v>
      </c>
      <c r="E604" s="20" t="str">
        <f t="shared" si="27"/>
        <v>P1</v>
      </c>
      <c r="F604" s="16" t="str">
        <f t="shared" si="28"/>
        <v>TX</v>
      </c>
      <c r="G604" s="21" t="str">
        <f t="shared" si="29"/>
        <v>V</v>
      </c>
    </row>
    <row r="605" spans="2:7" x14ac:dyDescent="0.25">
      <c r="B605" s="7" t="s">
        <v>1104</v>
      </c>
      <c r="C605" s="8" t="s">
        <v>1105</v>
      </c>
      <c r="D605" s="4" t="s">
        <v>24</v>
      </c>
      <c r="E605" s="20" t="str">
        <f t="shared" si="27"/>
        <v>P5</v>
      </c>
      <c r="F605" s="16" t="str">
        <f t="shared" si="28"/>
        <v>RF</v>
      </c>
      <c r="G605" s="21" t="str">
        <f t="shared" si="29"/>
        <v>B</v>
      </c>
    </row>
    <row r="606" spans="2:7" x14ac:dyDescent="0.25">
      <c r="B606" s="7" t="s">
        <v>1106</v>
      </c>
      <c r="C606" s="8" t="s">
        <v>1107</v>
      </c>
      <c r="D606" s="4" t="s">
        <v>24</v>
      </c>
      <c r="E606" s="20" t="str">
        <f t="shared" si="27"/>
        <v>PA</v>
      </c>
      <c r="F606" s="16" t="str">
        <f t="shared" si="28"/>
        <v>AC</v>
      </c>
      <c r="G606" s="21" t="str">
        <f t="shared" si="29"/>
        <v>B</v>
      </c>
    </row>
    <row r="607" spans="2:7" x14ac:dyDescent="0.25">
      <c r="B607" s="7" t="s">
        <v>1108</v>
      </c>
      <c r="C607" s="8" t="s">
        <v>1109</v>
      </c>
      <c r="D607" s="4" t="s">
        <v>74</v>
      </c>
      <c r="E607" s="20" t="str">
        <f t="shared" si="27"/>
        <v>PA</v>
      </c>
      <c r="F607" s="16" t="str">
        <f t="shared" si="28"/>
        <v>AC</v>
      </c>
      <c r="G607" s="21" t="str">
        <f t="shared" si="29"/>
        <v>D</v>
      </c>
    </row>
    <row r="608" spans="2:7" x14ac:dyDescent="0.25">
      <c r="B608" s="7" t="s">
        <v>1110</v>
      </c>
      <c r="C608" s="8" t="s">
        <v>1111</v>
      </c>
      <c r="D608" s="4" t="s">
        <v>154</v>
      </c>
      <c r="E608" s="20" t="str">
        <f t="shared" si="27"/>
        <v>PA</v>
      </c>
      <c r="F608" s="16" t="str">
        <f t="shared" si="28"/>
        <v>AC</v>
      </c>
      <c r="G608" s="21" t="str">
        <f t="shared" si="29"/>
        <v>K</v>
      </c>
    </row>
    <row r="609" spans="2:7" x14ac:dyDescent="0.25">
      <c r="B609" s="7" t="s">
        <v>1112</v>
      </c>
      <c r="C609" s="8" t="s">
        <v>1107</v>
      </c>
      <c r="D609" s="4" t="s">
        <v>69</v>
      </c>
      <c r="E609" s="20" t="str">
        <f t="shared" si="27"/>
        <v>PA</v>
      </c>
      <c r="F609" s="16" t="str">
        <f t="shared" si="28"/>
        <v>AC</v>
      </c>
      <c r="G609" s="21" t="str">
        <f t="shared" si="29"/>
        <v>P</v>
      </c>
    </row>
    <row r="610" spans="2:7" x14ac:dyDescent="0.25">
      <c r="B610" s="7" t="s">
        <v>1113</v>
      </c>
      <c r="C610" s="8" t="s">
        <v>1114</v>
      </c>
      <c r="D610" s="4" t="s">
        <v>78</v>
      </c>
      <c r="E610" s="20" t="str">
        <f t="shared" si="27"/>
        <v>PA</v>
      </c>
      <c r="F610" s="16" t="str">
        <f t="shared" si="28"/>
        <v>AC</v>
      </c>
      <c r="G610" s="21" t="str">
        <f t="shared" si="29"/>
        <v>V</v>
      </c>
    </row>
    <row r="611" spans="2:7" x14ac:dyDescent="0.25">
      <c r="B611" s="7" t="s">
        <v>1115</v>
      </c>
      <c r="C611" s="8" t="s">
        <v>1116</v>
      </c>
      <c r="D611" s="4" t="s">
        <v>24</v>
      </c>
      <c r="E611" s="20" t="str">
        <f t="shared" si="27"/>
        <v>PA</v>
      </c>
      <c r="F611" s="16" t="str">
        <f t="shared" si="28"/>
        <v>AS</v>
      </c>
      <c r="G611" s="21" t="str">
        <f t="shared" si="29"/>
        <v>B</v>
      </c>
    </row>
    <row r="612" spans="2:7" x14ac:dyDescent="0.25">
      <c r="B612" s="7" t="s">
        <v>1117</v>
      </c>
      <c r="C612" s="8" t="s">
        <v>1118</v>
      </c>
      <c r="D612" s="4" t="s">
        <v>204</v>
      </c>
      <c r="E612" s="20" t="str">
        <f t="shared" si="27"/>
        <v>PA</v>
      </c>
      <c r="F612" s="16" t="str">
        <f t="shared" si="28"/>
        <v>CA</v>
      </c>
      <c r="G612" s="21" t="str">
        <f t="shared" si="29"/>
        <v>S</v>
      </c>
    </row>
    <row r="613" spans="2:7" x14ac:dyDescent="0.25">
      <c r="B613" s="7" t="s">
        <v>1119</v>
      </c>
      <c r="C613" s="8" t="s">
        <v>1120</v>
      </c>
      <c r="D613" s="4" t="s">
        <v>24</v>
      </c>
      <c r="E613" s="20" t="str">
        <f t="shared" si="27"/>
        <v>PA</v>
      </c>
      <c r="F613" s="16" t="str">
        <f t="shared" si="28"/>
        <v>CC</v>
      </c>
      <c r="G613" s="21" t="str">
        <f t="shared" si="29"/>
        <v>B</v>
      </c>
    </row>
    <row r="614" spans="2:7" x14ac:dyDescent="0.25">
      <c r="B614" s="7" t="s">
        <v>1121</v>
      </c>
      <c r="C614" s="8" t="s">
        <v>1122</v>
      </c>
      <c r="D614" s="4" t="s">
        <v>74</v>
      </c>
      <c r="E614" s="20" t="str">
        <f t="shared" si="27"/>
        <v>PA</v>
      </c>
      <c r="F614" s="16" t="str">
        <f t="shared" si="28"/>
        <v>CC</v>
      </c>
      <c r="G614" s="21" t="str">
        <f t="shared" si="29"/>
        <v>D</v>
      </c>
    </row>
    <row r="615" spans="2:7" x14ac:dyDescent="0.25">
      <c r="B615" s="7" t="s">
        <v>1123</v>
      </c>
      <c r="C615" s="8" t="s">
        <v>1124</v>
      </c>
      <c r="D615" s="4" t="s">
        <v>154</v>
      </c>
      <c r="E615" s="20" t="str">
        <f t="shared" si="27"/>
        <v>PA</v>
      </c>
      <c r="F615" s="16" t="str">
        <f t="shared" si="28"/>
        <v>CC</v>
      </c>
      <c r="G615" s="21" t="str">
        <f t="shared" si="29"/>
        <v>K</v>
      </c>
    </row>
    <row r="616" spans="2:7" x14ac:dyDescent="0.25">
      <c r="B616" s="7" t="s">
        <v>1125</v>
      </c>
      <c r="C616" s="8" t="s">
        <v>1120</v>
      </c>
      <c r="D616" s="4" t="s">
        <v>69</v>
      </c>
      <c r="E616" s="20" t="str">
        <f t="shared" si="27"/>
        <v>PA</v>
      </c>
      <c r="F616" s="16" t="str">
        <f t="shared" si="28"/>
        <v>CC</v>
      </c>
      <c r="G616" s="21" t="str">
        <f t="shared" si="29"/>
        <v>P</v>
      </c>
    </row>
    <row r="617" spans="2:7" x14ac:dyDescent="0.25">
      <c r="B617" s="7" t="s">
        <v>1126</v>
      </c>
      <c r="C617" s="8" t="s">
        <v>1127</v>
      </c>
      <c r="D617" s="4" t="s">
        <v>78</v>
      </c>
      <c r="E617" s="20" t="str">
        <f t="shared" si="27"/>
        <v>PA</v>
      </c>
      <c r="F617" s="16" t="str">
        <f t="shared" si="28"/>
        <v>CC</v>
      </c>
      <c r="G617" s="21" t="str">
        <f t="shared" si="29"/>
        <v>V</v>
      </c>
    </row>
    <row r="618" spans="2:7" x14ac:dyDescent="0.25">
      <c r="B618" s="7" t="s">
        <v>1128</v>
      </c>
      <c r="C618" s="8" t="s">
        <v>1129</v>
      </c>
      <c r="D618" s="4" t="s">
        <v>24</v>
      </c>
      <c r="E618" s="20" t="str">
        <f t="shared" si="27"/>
        <v>PA</v>
      </c>
      <c r="F618" s="16" t="str">
        <f t="shared" si="28"/>
        <v>EI</v>
      </c>
      <c r="G618" s="21" t="str">
        <f t="shared" si="29"/>
        <v>B</v>
      </c>
    </row>
    <row r="619" spans="2:7" x14ac:dyDescent="0.25">
      <c r="B619" s="7" t="s">
        <v>1130</v>
      </c>
      <c r="C619" s="8" t="s">
        <v>1131</v>
      </c>
      <c r="D619" s="4" t="s">
        <v>74</v>
      </c>
      <c r="E619" s="20" t="str">
        <f t="shared" si="27"/>
        <v>PA</v>
      </c>
      <c r="F619" s="16" t="str">
        <f t="shared" si="28"/>
        <v>EI</v>
      </c>
      <c r="G619" s="21" t="str">
        <f t="shared" si="29"/>
        <v>D</v>
      </c>
    </row>
    <row r="620" spans="2:7" x14ac:dyDescent="0.25">
      <c r="B620" s="7" t="s">
        <v>1132</v>
      </c>
      <c r="C620" s="8" t="s">
        <v>1133</v>
      </c>
      <c r="D620" s="4" t="s">
        <v>154</v>
      </c>
      <c r="E620" s="20" t="str">
        <f t="shared" si="27"/>
        <v>PA</v>
      </c>
      <c r="F620" s="16" t="str">
        <f t="shared" si="28"/>
        <v>EI</v>
      </c>
      <c r="G620" s="21" t="str">
        <f t="shared" si="29"/>
        <v>K</v>
      </c>
    </row>
    <row r="621" spans="2:7" x14ac:dyDescent="0.25">
      <c r="B621" s="7" t="s">
        <v>1134</v>
      </c>
      <c r="C621" s="8" t="s">
        <v>1129</v>
      </c>
      <c r="D621" s="4" t="s">
        <v>69</v>
      </c>
      <c r="E621" s="20" t="str">
        <f t="shared" si="27"/>
        <v>PA</v>
      </c>
      <c r="F621" s="16" t="str">
        <f t="shared" si="28"/>
        <v>EI</v>
      </c>
      <c r="G621" s="21" t="str">
        <f t="shared" si="29"/>
        <v>P</v>
      </c>
    </row>
    <row r="622" spans="2:7" x14ac:dyDescent="0.25">
      <c r="B622" s="7" t="s">
        <v>1135</v>
      </c>
      <c r="C622" s="8" t="s">
        <v>1136</v>
      </c>
      <c r="D622" s="4" t="s">
        <v>78</v>
      </c>
      <c r="E622" s="20" t="str">
        <f t="shared" si="27"/>
        <v>PA</v>
      </c>
      <c r="F622" s="16" t="str">
        <f t="shared" si="28"/>
        <v>EI</v>
      </c>
      <c r="G622" s="21" t="str">
        <f t="shared" si="29"/>
        <v>V</v>
      </c>
    </row>
    <row r="623" spans="2:7" x14ac:dyDescent="0.25">
      <c r="B623" s="7" t="s">
        <v>1137</v>
      </c>
      <c r="C623" s="8" t="s">
        <v>1138</v>
      </c>
      <c r="D623" s="4" t="s">
        <v>235</v>
      </c>
      <c r="E623" s="20" t="str">
        <f t="shared" si="27"/>
        <v>PA</v>
      </c>
      <c r="F623" s="16" t="str">
        <f t="shared" si="28"/>
        <v>GB</v>
      </c>
      <c r="G623" s="21" t="str">
        <f t="shared" si="29"/>
        <v>P</v>
      </c>
    </row>
    <row r="624" spans="2:7" x14ac:dyDescent="0.25">
      <c r="B624" s="7" t="s">
        <v>1139</v>
      </c>
      <c r="C624" s="8" t="s">
        <v>1140</v>
      </c>
      <c r="D624" s="4" t="s">
        <v>24</v>
      </c>
      <c r="E624" s="20" t="str">
        <f t="shared" si="27"/>
        <v>PA</v>
      </c>
      <c r="F624" s="16" t="str">
        <f t="shared" si="28"/>
        <v>IC</v>
      </c>
      <c r="G624" s="21" t="str">
        <f t="shared" si="29"/>
        <v>B</v>
      </c>
    </row>
    <row r="625" spans="2:7" x14ac:dyDescent="0.25">
      <c r="B625" s="7" t="s">
        <v>1141</v>
      </c>
      <c r="C625" s="8" t="s">
        <v>1142</v>
      </c>
      <c r="D625" s="4" t="s">
        <v>74</v>
      </c>
      <c r="E625" s="20" t="str">
        <f t="shared" si="27"/>
        <v>PA</v>
      </c>
      <c r="F625" s="16" t="str">
        <f t="shared" si="28"/>
        <v>IC</v>
      </c>
      <c r="G625" s="21" t="str">
        <f t="shared" si="29"/>
        <v>D</v>
      </c>
    </row>
    <row r="626" spans="2:7" x14ac:dyDescent="0.25">
      <c r="B626" s="7" t="s">
        <v>1143</v>
      </c>
      <c r="C626" s="8" t="s">
        <v>1144</v>
      </c>
      <c r="D626" s="4" t="s">
        <v>154</v>
      </c>
      <c r="E626" s="20" t="str">
        <f t="shared" si="27"/>
        <v>PA</v>
      </c>
      <c r="F626" s="16" t="str">
        <f t="shared" si="28"/>
        <v>IC</v>
      </c>
      <c r="G626" s="21" t="str">
        <f t="shared" si="29"/>
        <v>K</v>
      </c>
    </row>
    <row r="627" spans="2:7" x14ac:dyDescent="0.25">
      <c r="B627" s="7" t="s">
        <v>1145</v>
      </c>
      <c r="C627" s="8" t="s">
        <v>1140</v>
      </c>
      <c r="D627" s="4" t="s">
        <v>69</v>
      </c>
      <c r="E627" s="20" t="str">
        <f t="shared" si="27"/>
        <v>PA</v>
      </c>
      <c r="F627" s="16" t="str">
        <f t="shared" si="28"/>
        <v>IC</v>
      </c>
      <c r="G627" s="21" t="str">
        <f t="shared" si="29"/>
        <v>P</v>
      </c>
    </row>
    <row r="628" spans="2:7" x14ac:dyDescent="0.25">
      <c r="B628" s="7" t="s">
        <v>1146</v>
      </c>
      <c r="C628" s="8" t="s">
        <v>1147</v>
      </c>
      <c r="D628" s="4" t="s">
        <v>78</v>
      </c>
      <c r="E628" s="20" t="str">
        <f t="shared" si="27"/>
        <v>PA</v>
      </c>
      <c r="F628" s="16" t="str">
        <f t="shared" si="28"/>
        <v>IC</v>
      </c>
      <c r="G628" s="21" t="str">
        <f t="shared" si="29"/>
        <v>V</v>
      </c>
    </row>
    <row r="629" spans="2:7" x14ac:dyDescent="0.25">
      <c r="B629" s="7" t="s">
        <v>1148</v>
      </c>
      <c r="C629" s="8" t="s">
        <v>1149</v>
      </c>
      <c r="D629" s="4" t="s">
        <v>24</v>
      </c>
      <c r="E629" s="20" t="str">
        <f t="shared" si="27"/>
        <v>PA</v>
      </c>
      <c r="F629" s="16" t="str">
        <f t="shared" si="28"/>
        <v>IS</v>
      </c>
      <c r="G629" s="21" t="str">
        <f t="shared" si="29"/>
        <v>B</v>
      </c>
    </row>
    <row r="630" spans="2:7" x14ac:dyDescent="0.25">
      <c r="B630" s="7" t="s">
        <v>1150</v>
      </c>
      <c r="C630" s="8" t="s">
        <v>1151</v>
      </c>
      <c r="D630" s="4" t="s">
        <v>24</v>
      </c>
      <c r="E630" s="20" t="str">
        <f t="shared" si="27"/>
        <v>PA</v>
      </c>
      <c r="F630" s="16" t="str">
        <f t="shared" si="28"/>
        <v>PR</v>
      </c>
      <c r="G630" s="21" t="str">
        <f t="shared" si="29"/>
        <v>B</v>
      </c>
    </row>
    <row r="631" spans="2:7" x14ac:dyDescent="0.25">
      <c r="B631" s="7" t="s">
        <v>1152</v>
      </c>
      <c r="C631" s="8" t="s">
        <v>1151</v>
      </c>
      <c r="D631" s="4" t="s">
        <v>69</v>
      </c>
      <c r="E631" s="20" t="str">
        <f t="shared" si="27"/>
        <v>PA</v>
      </c>
      <c r="F631" s="16" t="str">
        <f t="shared" si="28"/>
        <v>PR</v>
      </c>
      <c r="G631" s="21" t="str">
        <f t="shared" si="29"/>
        <v>P</v>
      </c>
    </row>
    <row r="632" spans="2:7" x14ac:dyDescent="0.25">
      <c r="B632" s="7" t="s">
        <v>48</v>
      </c>
      <c r="C632" s="8" t="s">
        <v>49</v>
      </c>
      <c r="D632" s="4" t="s">
        <v>24</v>
      </c>
      <c r="E632" s="20" t="str">
        <f t="shared" si="27"/>
        <v>PA</v>
      </c>
      <c r="F632" s="16" t="str">
        <f t="shared" si="28"/>
        <v>RC</v>
      </c>
      <c r="G632" s="21" t="str">
        <f t="shared" si="29"/>
        <v>B</v>
      </c>
    </row>
    <row r="633" spans="2:7" x14ac:dyDescent="0.25">
      <c r="B633" s="7" t="s">
        <v>1153</v>
      </c>
      <c r="C633" s="8" t="s">
        <v>1154</v>
      </c>
      <c r="D633" s="4" t="s">
        <v>74</v>
      </c>
      <c r="E633" s="20" t="str">
        <f t="shared" si="27"/>
        <v>PA</v>
      </c>
      <c r="F633" s="16" t="str">
        <f t="shared" si="28"/>
        <v>RC</v>
      </c>
      <c r="G633" s="21" t="str">
        <f t="shared" si="29"/>
        <v>D</v>
      </c>
    </row>
    <row r="634" spans="2:7" x14ac:dyDescent="0.25">
      <c r="B634" s="7" t="s">
        <v>1155</v>
      </c>
      <c r="C634" s="8" t="s">
        <v>1156</v>
      </c>
      <c r="D634" s="4" t="s">
        <v>154</v>
      </c>
      <c r="E634" s="20" t="str">
        <f t="shared" si="27"/>
        <v>PA</v>
      </c>
      <c r="F634" s="16" t="str">
        <f t="shared" si="28"/>
        <v>RC</v>
      </c>
      <c r="G634" s="21" t="str">
        <f t="shared" si="29"/>
        <v>K</v>
      </c>
    </row>
    <row r="635" spans="2:7" x14ac:dyDescent="0.25">
      <c r="B635" s="7" t="s">
        <v>1157</v>
      </c>
      <c r="C635" s="8" t="s">
        <v>49</v>
      </c>
      <c r="D635" s="4" t="s">
        <v>69</v>
      </c>
      <c r="E635" s="20" t="str">
        <f t="shared" si="27"/>
        <v>PA</v>
      </c>
      <c r="F635" s="16" t="str">
        <f t="shared" si="28"/>
        <v>RC</v>
      </c>
      <c r="G635" s="21" t="str">
        <f t="shared" si="29"/>
        <v>P</v>
      </c>
    </row>
    <row r="636" spans="2:7" x14ac:dyDescent="0.25">
      <c r="B636" s="7" t="s">
        <v>1158</v>
      </c>
      <c r="C636" s="8" t="s">
        <v>1159</v>
      </c>
      <c r="D636" s="4" t="s">
        <v>78</v>
      </c>
      <c r="E636" s="20" t="str">
        <f t="shared" si="27"/>
        <v>PA</v>
      </c>
      <c r="F636" s="16" t="str">
        <f t="shared" si="28"/>
        <v>RC</v>
      </c>
      <c r="G636" s="21" t="str">
        <f t="shared" si="29"/>
        <v>V</v>
      </c>
    </row>
    <row r="637" spans="2:7" x14ac:dyDescent="0.25">
      <c r="B637" s="7" t="s">
        <v>1160</v>
      </c>
      <c r="C637" s="8" t="s">
        <v>1161</v>
      </c>
      <c r="D637" s="4" t="s">
        <v>24</v>
      </c>
      <c r="E637" s="20" t="str">
        <f t="shared" si="27"/>
        <v>PA</v>
      </c>
      <c r="F637" s="16" t="str">
        <f t="shared" si="28"/>
        <v>SC</v>
      </c>
      <c r="G637" s="21" t="str">
        <f t="shared" si="29"/>
        <v>B</v>
      </c>
    </row>
    <row r="638" spans="2:7" x14ac:dyDescent="0.25">
      <c r="B638" s="7" t="s">
        <v>1162</v>
      </c>
      <c r="C638" s="8" t="s">
        <v>1163</v>
      </c>
      <c r="D638" s="4" t="s">
        <v>24</v>
      </c>
      <c r="E638" s="20" t="str">
        <f t="shared" si="27"/>
        <v>PA</v>
      </c>
      <c r="F638" s="16" t="str">
        <f t="shared" si="28"/>
        <v>TC</v>
      </c>
      <c r="G638" s="21" t="str">
        <f t="shared" si="29"/>
        <v>B</v>
      </c>
    </row>
    <row r="639" spans="2:7" x14ac:dyDescent="0.25">
      <c r="B639" s="7" t="s">
        <v>1164</v>
      </c>
      <c r="C639" s="8" t="s">
        <v>1165</v>
      </c>
      <c r="D639" s="4" t="s">
        <v>74</v>
      </c>
      <c r="E639" s="20" t="str">
        <f t="shared" si="27"/>
        <v>PA</v>
      </c>
      <c r="F639" s="16" t="str">
        <f t="shared" si="28"/>
        <v>TC</v>
      </c>
      <c r="G639" s="21" t="str">
        <f t="shared" si="29"/>
        <v>D</v>
      </c>
    </row>
    <row r="640" spans="2:7" x14ac:dyDescent="0.25">
      <c r="B640" s="7" t="s">
        <v>1166</v>
      </c>
      <c r="C640" s="8" t="s">
        <v>1167</v>
      </c>
      <c r="D640" s="4" t="s">
        <v>154</v>
      </c>
      <c r="E640" s="20" t="str">
        <f t="shared" si="27"/>
        <v>PA</v>
      </c>
      <c r="F640" s="16" t="str">
        <f t="shared" si="28"/>
        <v>TC</v>
      </c>
      <c r="G640" s="21" t="str">
        <f t="shared" si="29"/>
        <v>K</v>
      </c>
    </row>
    <row r="641" spans="2:7" x14ac:dyDescent="0.25">
      <c r="B641" s="7" t="s">
        <v>1168</v>
      </c>
      <c r="C641" s="8" t="s">
        <v>1163</v>
      </c>
      <c r="D641" s="4" t="s">
        <v>69</v>
      </c>
      <c r="E641" s="20" t="str">
        <f t="shared" si="27"/>
        <v>PA</v>
      </c>
      <c r="F641" s="16" t="str">
        <f t="shared" si="28"/>
        <v>TC</v>
      </c>
      <c r="G641" s="21" t="str">
        <f t="shared" si="29"/>
        <v>P</v>
      </c>
    </row>
    <row r="642" spans="2:7" x14ac:dyDescent="0.25">
      <c r="B642" s="7" t="s">
        <v>1169</v>
      </c>
      <c r="C642" s="8" t="s">
        <v>1170</v>
      </c>
      <c r="D642" s="4" t="s">
        <v>78</v>
      </c>
      <c r="E642" s="20" t="str">
        <f t="shared" si="27"/>
        <v>PA</v>
      </c>
      <c r="F642" s="16" t="str">
        <f t="shared" si="28"/>
        <v>TC</v>
      </c>
      <c r="G642" s="21" t="str">
        <f t="shared" si="29"/>
        <v>V</v>
      </c>
    </row>
    <row r="643" spans="2:7" x14ac:dyDescent="0.25">
      <c r="B643" s="7" t="s">
        <v>1171</v>
      </c>
      <c r="C643" s="8" t="s">
        <v>1172</v>
      </c>
      <c r="D643" s="4" t="s">
        <v>992</v>
      </c>
      <c r="E643" s="20" t="str">
        <f t="shared" si="27"/>
        <v>PA</v>
      </c>
      <c r="F643" s="16" t="str">
        <f t="shared" si="28"/>
        <v>TP</v>
      </c>
      <c r="G643" s="21" t="str">
        <f t="shared" si="29"/>
        <v>B</v>
      </c>
    </row>
    <row r="644" spans="2:7" x14ac:dyDescent="0.25">
      <c r="B644" s="7" t="s">
        <v>1173</v>
      </c>
      <c r="C644" s="8" t="s">
        <v>1172</v>
      </c>
      <c r="D644" s="4" t="s">
        <v>1174</v>
      </c>
      <c r="E644" s="20" t="str">
        <f t="shared" si="27"/>
        <v>PA</v>
      </c>
      <c r="F644" s="16" t="str">
        <f t="shared" si="28"/>
        <v>TP</v>
      </c>
      <c r="G644" s="21" t="str">
        <f t="shared" si="29"/>
        <v>P</v>
      </c>
    </row>
    <row r="645" spans="2:7" x14ac:dyDescent="0.25">
      <c r="B645" s="7" t="s">
        <v>1175</v>
      </c>
      <c r="C645" s="8" t="s">
        <v>1176</v>
      </c>
      <c r="D645" s="4" t="s">
        <v>24</v>
      </c>
      <c r="E645" s="20" t="str">
        <f t="shared" si="27"/>
        <v>PA</v>
      </c>
      <c r="F645" s="16" t="str">
        <f t="shared" si="28"/>
        <v>TX</v>
      </c>
      <c r="G645" s="21" t="str">
        <f t="shared" si="29"/>
        <v>B</v>
      </c>
    </row>
    <row r="646" spans="2:7" x14ac:dyDescent="0.25">
      <c r="B646" s="7" t="s">
        <v>1177</v>
      </c>
      <c r="C646" s="8" t="s">
        <v>1178</v>
      </c>
      <c r="D646" s="4" t="s">
        <v>74</v>
      </c>
      <c r="E646" s="20" t="str">
        <f t="shared" si="27"/>
        <v>PA</v>
      </c>
      <c r="F646" s="16" t="str">
        <f t="shared" si="28"/>
        <v>TX</v>
      </c>
      <c r="G646" s="21" t="str">
        <f t="shared" si="29"/>
        <v>D</v>
      </c>
    </row>
    <row r="647" spans="2:7" x14ac:dyDescent="0.25">
      <c r="B647" s="7" t="s">
        <v>1179</v>
      </c>
      <c r="C647" s="8" t="s">
        <v>1176</v>
      </c>
      <c r="D647" s="4" t="s">
        <v>69</v>
      </c>
      <c r="E647" s="20" t="str">
        <f t="shared" si="27"/>
        <v>PA</v>
      </c>
      <c r="F647" s="16" t="str">
        <f t="shared" si="28"/>
        <v>TX</v>
      </c>
      <c r="G647" s="21" t="str">
        <f t="shared" si="29"/>
        <v>P</v>
      </c>
    </row>
    <row r="648" spans="2:7" x14ac:dyDescent="0.25">
      <c r="B648" s="7" t="s">
        <v>1180</v>
      </c>
      <c r="C648" s="8" t="s">
        <v>1181</v>
      </c>
      <c r="D648" s="4" t="s">
        <v>78</v>
      </c>
      <c r="E648" s="20" t="str">
        <f t="shared" si="27"/>
        <v>PA</v>
      </c>
      <c r="F648" s="16" t="str">
        <f t="shared" si="28"/>
        <v>TX</v>
      </c>
      <c r="G648" s="21" t="str">
        <f t="shared" si="29"/>
        <v>V</v>
      </c>
    </row>
    <row r="649" spans="2:7" x14ac:dyDescent="0.25">
      <c r="B649" s="7" t="s">
        <v>1182</v>
      </c>
      <c r="C649" s="8" t="s">
        <v>1183</v>
      </c>
      <c r="D649" s="4" t="s">
        <v>24</v>
      </c>
      <c r="E649" s="20" t="str">
        <f t="shared" si="27"/>
        <v>PC</v>
      </c>
      <c r="F649" s="16" t="str">
        <f t="shared" si="28"/>
        <v>CC</v>
      </c>
      <c r="G649" s="21" t="str">
        <f t="shared" si="29"/>
        <v>B</v>
      </c>
    </row>
    <row r="650" spans="2:7" x14ac:dyDescent="0.25">
      <c r="B650" s="7" t="s">
        <v>1184</v>
      </c>
      <c r="C650" s="8" t="s">
        <v>1185</v>
      </c>
      <c r="D650" s="4" t="s">
        <v>74</v>
      </c>
      <c r="E650" s="20" t="str">
        <f t="shared" si="27"/>
        <v>PC</v>
      </c>
      <c r="F650" s="16" t="str">
        <f t="shared" si="28"/>
        <v>CC</v>
      </c>
      <c r="G650" s="21" t="str">
        <f t="shared" si="29"/>
        <v>D</v>
      </c>
    </row>
    <row r="651" spans="2:7" x14ac:dyDescent="0.25">
      <c r="B651" s="7" t="s">
        <v>1186</v>
      </c>
      <c r="C651" s="8" t="s">
        <v>1183</v>
      </c>
      <c r="D651" s="4" t="s">
        <v>69</v>
      </c>
      <c r="E651" s="20" t="str">
        <f t="shared" si="27"/>
        <v>PC</v>
      </c>
      <c r="F651" s="16" t="str">
        <f t="shared" si="28"/>
        <v>CC</v>
      </c>
      <c r="G651" s="21" t="str">
        <f t="shared" si="29"/>
        <v>P</v>
      </c>
    </row>
    <row r="652" spans="2:7" x14ac:dyDescent="0.25">
      <c r="B652" s="7" t="s">
        <v>1187</v>
      </c>
      <c r="C652" s="8" t="s">
        <v>1188</v>
      </c>
      <c r="D652" s="4" t="s">
        <v>78</v>
      </c>
      <c r="E652" s="20" t="str">
        <f t="shared" si="27"/>
        <v>PC</v>
      </c>
      <c r="F652" s="16" t="str">
        <f t="shared" si="28"/>
        <v>CC</v>
      </c>
      <c r="G652" s="21" t="str">
        <f t="shared" si="29"/>
        <v>V</v>
      </c>
    </row>
    <row r="653" spans="2:7" x14ac:dyDescent="0.25">
      <c r="B653" s="7" t="s">
        <v>1189</v>
      </c>
      <c r="C653" s="8" t="s">
        <v>1190</v>
      </c>
      <c r="D653" s="4" t="s">
        <v>154</v>
      </c>
      <c r="E653" s="20" t="str">
        <f t="shared" si="27"/>
        <v>PC</v>
      </c>
      <c r="F653" s="16" t="str">
        <f t="shared" si="28"/>
        <v>CT</v>
      </c>
      <c r="G653" s="21" t="str">
        <f t="shared" si="29"/>
        <v>K</v>
      </c>
    </row>
    <row r="654" spans="2:7" x14ac:dyDescent="0.25">
      <c r="B654" s="7" t="s">
        <v>1191</v>
      </c>
      <c r="C654" s="8" t="s">
        <v>1192</v>
      </c>
      <c r="D654" s="4" t="s">
        <v>24</v>
      </c>
      <c r="E654" s="20" t="str">
        <f t="shared" si="27"/>
        <v>PC</v>
      </c>
      <c r="F654" s="16" t="str">
        <f t="shared" si="28"/>
        <v>EI</v>
      </c>
      <c r="G654" s="21" t="str">
        <f t="shared" si="29"/>
        <v>B</v>
      </c>
    </row>
    <row r="655" spans="2:7" x14ac:dyDescent="0.25">
      <c r="B655" s="7" t="s">
        <v>1193</v>
      </c>
      <c r="C655" s="8" t="s">
        <v>1194</v>
      </c>
      <c r="D655" s="4" t="s">
        <v>74</v>
      </c>
      <c r="E655" s="20" t="str">
        <f t="shared" si="27"/>
        <v>PC</v>
      </c>
      <c r="F655" s="16" t="str">
        <f t="shared" si="28"/>
        <v>EI</v>
      </c>
      <c r="G655" s="21" t="str">
        <f t="shared" si="29"/>
        <v>D</v>
      </c>
    </row>
    <row r="656" spans="2:7" x14ac:dyDescent="0.25">
      <c r="B656" s="7" t="s">
        <v>1195</v>
      </c>
      <c r="C656" s="8" t="s">
        <v>1192</v>
      </c>
      <c r="D656" s="4" t="s">
        <v>69</v>
      </c>
      <c r="E656" s="20" t="str">
        <f t="shared" ref="E656:E719" si="30">LEFT(B656,2)</f>
        <v>PC</v>
      </c>
      <c r="F656" s="16" t="str">
        <f t="shared" ref="F656:F719" si="31">MID(B656,3,2)</f>
        <v>EI</v>
      </c>
      <c r="G656" s="21" t="str">
        <f t="shared" ref="G656:G719" si="32">RIGHT(B656,1)</f>
        <v>P</v>
      </c>
    </row>
    <row r="657" spans="2:7" x14ac:dyDescent="0.25">
      <c r="B657" s="7" t="s">
        <v>1196</v>
      </c>
      <c r="C657" s="8" t="s">
        <v>1197</v>
      </c>
      <c r="D657" s="4" t="s">
        <v>78</v>
      </c>
      <c r="E657" s="20" t="str">
        <f t="shared" si="30"/>
        <v>PC</v>
      </c>
      <c r="F657" s="16" t="str">
        <f t="shared" si="31"/>
        <v>EI</v>
      </c>
      <c r="G657" s="21" t="str">
        <f t="shared" si="32"/>
        <v>V</v>
      </c>
    </row>
    <row r="658" spans="2:7" x14ac:dyDescent="0.25">
      <c r="B658" s="7" t="s">
        <v>1198</v>
      </c>
      <c r="C658" s="8" t="s">
        <v>1199</v>
      </c>
      <c r="D658" s="4" t="s">
        <v>24</v>
      </c>
      <c r="E658" s="20" t="str">
        <f t="shared" si="30"/>
        <v>PC</v>
      </c>
      <c r="F658" s="16" t="str">
        <f t="shared" si="31"/>
        <v>IC</v>
      </c>
      <c r="G658" s="21" t="str">
        <f t="shared" si="32"/>
        <v>B</v>
      </c>
    </row>
    <row r="659" spans="2:7" x14ac:dyDescent="0.25">
      <c r="B659" s="7" t="s">
        <v>1200</v>
      </c>
      <c r="C659" s="8" t="s">
        <v>1201</v>
      </c>
      <c r="D659" s="4" t="s">
        <v>74</v>
      </c>
      <c r="E659" s="20" t="str">
        <f t="shared" si="30"/>
        <v>PC</v>
      </c>
      <c r="F659" s="16" t="str">
        <f t="shared" si="31"/>
        <v>IC</v>
      </c>
      <c r="G659" s="21" t="str">
        <f t="shared" si="32"/>
        <v>D</v>
      </c>
    </row>
    <row r="660" spans="2:7" x14ac:dyDescent="0.25">
      <c r="B660" s="7" t="s">
        <v>1202</v>
      </c>
      <c r="C660" s="8" t="s">
        <v>1199</v>
      </c>
      <c r="D660" s="4" t="s">
        <v>69</v>
      </c>
      <c r="E660" s="20" t="str">
        <f t="shared" si="30"/>
        <v>PC</v>
      </c>
      <c r="F660" s="16" t="str">
        <f t="shared" si="31"/>
        <v>IC</v>
      </c>
      <c r="G660" s="21" t="str">
        <f t="shared" si="32"/>
        <v>P</v>
      </c>
    </row>
    <row r="661" spans="2:7" x14ac:dyDescent="0.25">
      <c r="B661" s="7" t="s">
        <v>1203</v>
      </c>
      <c r="C661" s="8" t="s">
        <v>1204</v>
      </c>
      <c r="D661" s="4" t="s">
        <v>78</v>
      </c>
      <c r="E661" s="20" t="str">
        <f t="shared" si="30"/>
        <v>PC</v>
      </c>
      <c r="F661" s="16" t="str">
        <f t="shared" si="31"/>
        <v>IC</v>
      </c>
      <c r="G661" s="21" t="str">
        <f t="shared" si="32"/>
        <v>V</v>
      </c>
    </row>
    <row r="662" spans="2:7" x14ac:dyDescent="0.25">
      <c r="B662" s="7" t="s">
        <v>1205</v>
      </c>
      <c r="C662" s="8" t="s">
        <v>1206</v>
      </c>
      <c r="D662" s="4" t="s">
        <v>24</v>
      </c>
      <c r="E662" s="20" t="str">
        <f t="shared" si="30"/>
        <v>PC</v>
      </c>
      <c r="F662" s="16" t="str">
        <f t="shared" si="31"/>
        <v>IS</v>
      </c>
      <c r="G662" s="21" t="str">
        <f t="shared" si="32"/>
        <v>B</v>
      </c>
    </row>
    <row r="663" spans="2:7" x14ac:dyDescent="0.25">
      <c r="B663" s="7" t="s">
        <v>1207</v>
      </c>
      <c r="C663" s="8" t="s">
        <v>1208</v>
      </c>
      <c r="D663" s="4" t="s">
        <v>154</v>
      </c>
      <c r="E663" s="20" t="str">
        <f t="shared" si="30"/>
        <v>PC</v>
      </c>
      <c r="F663" s="16" t="str">
        <f t="shared" si="31"/>
        <v>MK</v>
      </c>
      <c r="G663" s="21" t="str">
        <f t="shared" si="32"/>
        <v>K</v>
      </c>
    </row>
    <row r="664" spans="2:7" x14ac:dyDescent="0.25">
      <c r="B664" s="7" t="s">
        <v>1209</v>
      </c>
      <c r="C664" s="8" t="s">
        <v>1210</v>
      </c>
      <c r="D664" s="4" t="s">
        <v>24</v>
      </c>
      <c r="E664" s="20" t="str">
        <f t="shared" si="30"/>
        <v>PC</v>
      </c>
      <c r="F664" s="16" t="str">
        <f t="shared" si="31"/>
        <v>RF</v>
      </c>
      <c r="G664" s="21" t="str">
        <f t="shared" si="32"/>
        <v>B</v>
      </c>
    </row>
    <row r="665" spans="2:7" x14ac:dyDescent="0.25">
      <c r="B665" s="7" t="s">
        <v>1211</v>
      </c>
      <c r="C665" s="8" t="s">
        <v>1212</v>
      </c>
      <c r="D665" s="4" t="s">
        <v>24</v>
      </c>
      <c r="E665" s="20" t="str">
        <f t="shared" si="30"/>
        <v>PC</v>
      </c>
      <c r="F665" s="16" t="str">
        <f t="shared" si="31"/>
        <v>SC</v>
      </c>
      <c r="G665" s="21" t="str">
        <f t="shared" si="32"/>
        <v>B</v>
      </c>
    </row>
    <row r="666" spans="2:7" x14ac:dyDescent="0.25">
      <c r="B666" s="7" t="s">
        <v>1213</v>
      </c>
      <c r="C666" s="8" t="s">
        <v>1214</v>
      </c>
      <c r="D666" s="4" t="s">
        <v>24</v>
      </c>
      <c r="E666" s="20" t="str">
        <f t="shared" si="30"/>
        <v>PC</v>
      </c>
      <c r="F666" s="16" t="str">
        <f t="shared" si="31"/>
        <v>TC</v>
      </c>
      <c r="G666" s="21" t="str">
        <f t="shared" si="32"/>
        <v>B</v>
      </c>
    </row>
    <row r="667" spans="2:7" x14ac:dyDescent="0.25">
      <c r="B667" s="7" t="s">
        <v>1215</v>
      </c>
      <c r="C667" s="8" t="s">
        <v>1216</v>
      </c>
      <c r="D667" s="4" t="s">
        <v>74</v>
      </c>
      <c r="E667" s="20" t="str">
        <f t="shared" si="30"/>
        <v>PC</v>
      </c>
      <c r="F667" s="16" t="str">
        <f t="shared" si="31"/>
        <v>TC</v>
      </c>
      <c r="G667" s="21" t="str">
        <f t="shared" si="32"/>
        <v>D</v>
      </c>
    </row>
    <row r="668" spans="2:7" x14ac:dyDescent="0.25">
      <c r="B668" s="7" t="s">
        <v>1217</v>
      </c>
      <c r="C668" s="8" t="s">
        <v>1214</v>
      </c>
      <c r="D668" s="4" t="s">
        <v>69</v>
      </c>
      <c r="E668" s="20" t="str">
        <f t="shared" si="30"/>
        <v>PC</v>
      </c>
      <c r="F668" s="16" t="str">
        <f t="shared" si="31"/>
        <v>TC</v>
      </c>
      <c r="G668" s="21" t="str">
        <f t="shared" si="32"/>
        <v>P</v>
      </c>
    </row>
    <row r="669" spans="2:7" x14ac:dyDescent="0.25">
      <c r="B669" s="7" t="s">
        <v>1218</v>
      </c>
      <c r="C669" s="8" t="s">
        <v>1219</v>
      </c>
      <c r="D669" s="4" t="s">
        <v>78</v>
      </c>
      <c r="E669" s="20" t="str">
        <f t="shared" si="30"/>
        <v>PC</v>
      </c>
      <c r="F669" s="16" t="str">
        <f t="shared" si="31"/>
        <v>TC</v>
      </c>
      <c r="G669" s="21" t="str">
        <f t="shared" si="32"/>
        <v>V</v>
      </c>
    </row>
    <row r="670" spans="2:7" x14ac:dyDescent="0.25">
      <c r="B670" s="7" t="s">
        <v>1220</v>
      </c>
      <c r="C670" s="8" t="s">
        <v>1221</v>
      </c>
      <c r="D670" s="4" t="s">
        <v>24</v>
      </c>
      <c r="E670" s="20" t="str">
        <f t="shared" si="30"/>
        <v>PC</v>
      </c>
      <c r="F670" s="16" t="str">
        <f t="shared" si="31"/>
        <v>TX</v>
      </c>
      <c r="G670" s="21" t="str">
        <f t="shared" si="32"/>
        <v>B</v>
      </c>
    </row>
    <row r="671" spans="2:7" x14ac:dyDescent="0.25">
      <c r="B671" s="7" t="s">
        <v>1222</v>
      </c>
      <c r="C671" s="8" t="s">
        <v>1223</v>
      </c>
      <c r="D671" s="4" t="s">
        <v>74</v>
      </c>
      <c r="E671" s="20" t="str">
        <f t="shared" si="30"/>
        <v>PC</v>
      </c>
      <c r="F671" s="16" t="str">
        <f t="shared" si="31"/>
        <v>TX</v>
      </c>
      <c r="G671" s="21" t="str">
        <f t="shared" si="32"/>
        <v>D</v>
      </c>
    </row>
    <row r="672" spans="2:7" x14ac:dyDescent="0.25">
      <c r="B672" s="7" t="s">
        <v>1224</v>
      </c>
      <c r="C672" s="8" t="s">
        <v>1221</v>
      </c>
      <c r="D672" s="4" t="s">
        <v>69</v>
      </c>
      <c r="E672" s="20" t="str">
        <f t="shared" si="30"/>
        <v>PC</v>
      </c>
      <c r="F672" s="16" t="str">
        <f t="shared" si="31"/>
        <v>TX</v>
      </c>
      <c r="G672" s="21" t="str">
        <f t="shared" si="32"/>
        <v>P</v>
      </c>
    </row>
    <row r="673" spans="2:7" x14ac:dyDescent="0.25">
      <c r="B673" s="7" t="s">
        <v>1225</v>
      </c>
      <c r="C673" s="8" t="s">
        <v>1226</v>
      </c>
      <c r="D673" s="4" t="s">
        <v>78</v>
      </c>
      <c r="E673" s="20" t="str">
        <f t="shared" si="30"/>
        <v>PC</v>
      </c>
      <c r="F673" s="16" t="str">
        <f t="shared" si="31"/>
        <v>TX</v>
      </c>
      <c r="G673" s="21" t="str">
        <f t="shared" si="32"/>
        <v>V</v>
      </c>
    </row>
    <row r="674" spans="2:7" x14ac:dyDescent="0.25">
      <c r="B674" s="7" t="s">
        <v>1227</v>
      </c>
      <c r="C674" s="8" t="s">
        <v>1228</v>
      </c>
      <c r="D674" s="4" t="s">
        <v>74</v>
      </c>
      <c r="E674" s="20" t="str">
        <f t="shared" si="30"/>
        <v>PE</v>
      </c>
      <c r="F674" s="16" t="str">
        <f t="shared" si="31"/>
        <v>AC</v>
      </c>
      <c r="G674" s="21" t="str">
        <f t="shared" si="32"/>
        <v>D</v>
      </c>
    </row>
    <row r="675" spans="2:7" x14ac:dyDescent="0.25">
      <c r="B675" s="7" t="s">
        <v>1229</v>
      </c>
      <c r="C675" s="8" t="s">
        <v>1230</v>
      </c>
      <c r="D675" s="4" t="s">
        <v>78</v>
      </c>
      <c r="E675" s="20" t="str">
        <f t="shared" si="30"/>
        <v>PE</v>
      </c>
      <c r="F675" s="16" t="str">
        <f t="shared" si="31"/>
        <v>AC</v>
      </c>
      <c r="G675" s="21" t="str">
        <f t="shared" si="32"/>
        <v>V</v>
      </c>
    </row>
    <row r="676" spans="2:7" x14ac:dyDescent="0.25">
      <c r="B676" s="7" t="s">
        <v>1231</v>
      </c>
      <c r="C676" s="8" t="s">
        <v>1232</v>
      </c>
      <c r="D676" s="4" t="s">
        <v>24</v>
      </c>
      <c r="E676" s="20" t="str">
        <f t="shared" si="30"/>
        <v>PE</v>
      </c>
      <c r="F676" s="16" t="str">
        <f t="shared" si="31"/>
        <v>AS</v>
      </c>
      <c r="G676" s="21" t="str">
        <f t="shared" si="32"/>
        <v>B</v>
      </c>
    </row>
    <row r="677" spans="2:7" x14ac:dyDescent="0.25">
      <c r="B677" s="7" t="s">
        <v>1233</v>
      </c>
      <c r="C677" s="8" t="s">
        <v>1234</v>
      </c>
      <c r="D677" s="4" t="s">
        <v>74</v>
      </c>
      <c r="E677" s="20" t="str">
        <f t="shared" si="30"/>
        <v>PE</v>
      </c>
      <c r="F677" s="16" t="str">
        <f t="shared" si="31"/>
        <v>CC</v>
      </c>
      <c r="G677" s="21" t="str">
        <f t="shared" si="32"/>
        <v>D</v>
      </c>
    </row>
    <row r="678" spans="2:7" x14ac:dyDescent="0.25">
      <c r="B678" s="7" t="s">
        <v>1235</v>
      </c>
      <c r="C678" s="8" t="s">
        <v>1236</v>
      </c>
      <c r="D678" s="4" t="s">
        <v>78</v>
      </c>
      <c r="E678" s="20" t="str">
        <f t="shared" si="30"/>
        <v>PE</v>
      </c>
      <c r="F678" s="16" t="str">
        <f t="shared" si="31"/>
        <v>CC</v>
      </c>
      <c r="G678" s="21" t="str">
        <f t="shared" si="32"/>
        <v>V</v>
      </c>
    </row>
    <row r="679" spans="2:7" x14ac:dyDescent="0.25">
      <c r="B679" s="7" t="s">
        <v>1237</v>
      </c>
      <c r="C679" s="8" t="s">
        <v>1238</v>
      </c>
      <c r="D679" s="4" t="s">
        <v>24</v>
      </c>
      <c r="E679" s="20" t="str">
        <f t="shared" si="30"/>
        <v>PE</v>
      </c>
      <c r="F679" s="16" t="str">
        <f t="shared" si="31"/>
        <v>CS</v>
      </c>
      <c r="G679" s="21" t="str">
        <f t="shared" si="32"/>
        <v>B</v>
      </c>
    </row>
    <row r="680" spans="2:7" x14ac:dyDescent="0.25">
      <c r="B680" s="7" t="s">
        <v>1239</v>
      </c>
      <c r="C680" s="8" t="s">
        <v>1240</v>
      </c>
      <c r="D680" s="4" t="s">
        <v>74</v>
      </c>
      <c r="E680" s="20" t="str">
        <f t="shared" si="30"/>
        <v>PE</v>
      </c>
      <c r="F680" s="16" t="str">
        <f t="shared" si="31"/>
        <v>EI</v>
      </c>
      <c r="G680" s="21" t="str">
        <f t="shared" si="32"/>
        <v>D</v>
      </c>
    </row>
    <row r="681" spans="2:7" x14ac:dyDescent="0.25">
      <c r="B681" s="7" t="s">
        <v>1241</v>
      </c>
      <c r="C681" s="8" t="s">
        <v>1242</v>
      </c>
      <c r="D681" s="4" t="s">
        <v>78</v>
      </c>
      <c r="E681" s="20" t="str">
        <f t="shared" si="30"/>
        <v>PE</v>
      </c>
      <c r="F681" s="16" t="str">
        <f t="shared" si="31"/>
        <v>EI</v>
      </c>
      <c r="G681" s="21" t="str">
        <f t="shared" si="32"/>
        <v>V</v>
      </c>
    </row>
    <row r="682" spans="2:7" x14ac:dyDescent="0.25">
      <c r="B682" s="7" t="s">
        <v>1243</v>
      </c>
      <c r="C682" s="8" t="s">
        <v>1244</v>
      </c>
      <c r="D682" s="4" t="s">
        <v>74</v>
      </c>
      <c r="E682" s="20" t="str">
        <f t="shared" si="30"/>
        <v>PE</v>
      </c>
      <c r="F682" s="16" t="str">
        <f t="shared" si="31"/>
        <v>IC</v>
      </c>
      <c r="G682" s="21" t="str">
        <f t="shared" si="32"/>
        <v>D</v>
      </c>
    </row>
    <row r="683" spans="2:7" x14ac:dyDescent="0.25">
      <c r="B683" s="7" t="s">
        <v>1245</v>
      </c>
      <c r="C683" s="8" t="s">
        <v>1246</v>
      </c>
      <c r="D683" s="4" t="s">
        <v>78</v>
      </c>
      <c r="E683" s="20" t="str">
        <f t="shared" si="30"/>
        <v>PE</v>
      </c>
      <c r="F683" s="16" t="str">
        <f t="shared" si="31"/>
        <v>IC</v>
      </c>
      <c r="G683" s="21" t="str">
        <f t="shared" si="32"/>
        <v>V</v>
      </c>
    </row>
    <row r="684" spans="2:7" x14ac:dyDescent="0.25">
      <c r="B684" s="7" t="s">
        <v>1247</v>
      </c>
      <c r="C684" s="8" t="s">
        <v>1248</v>
      </c>
      <c r="D684" s="4" t="s">
        <v>24</v>
      </c>
      <c r="E684" s="20" t="str">
        <f t="shared" si="30"/>
        <v>PE</v>
      </c>
      <c r="F684" s="16" t="str">
        <f t="shared" si="31"/>
        <v>IS</v>
      </c>
      <c r="G684" s="21" t="str">
        <f t="shared" si="32"/>
        <v>B</v>
      </c>
    </row>
    <row r="685" spans="2:7" x14ac:dyDescent="0.25">
      <c r="B685" s="7" t="s">
        <v>1249</v>
      </c>
      <c r="C685" s="8" t="s">
        <v>1250</v>
      </c>
      <c r="D685" s="4" t="s">
        <v>74</v>
      </c>
      <c r="E685" s="20" t="str">
        <f t="shared" si="30"/>
        <v>PE</v>
      </c>
      <c r="F685" s="16" t="str">
        <f t="shared" si="31"/>
        <v>RC</v>
      </c>
      <c r="G685" s="21" t="str">
        <f t="shared" si="32"/>
        <v>D</v>
      </c>
    </row>
    <row r="686" spans="2:7" x14ac:dyDescent="0.25">
      <c r="B686" s="7" t="s">
        <v>1251</v>
      </c>
      <c r="C686" s="8" t="s">
        <v>1252</v>
      </c>
      <c r="D686" s="4" t="s">
        <v>78</v>
      </c>
      <c r="E686" s="20" t="str">
        <f t="shared" si="30"/>
        <v>PE</v>
      </c>
      <c r="F686" s="16" t="str">
        <f t="shared" si="31"/>
        <v>RC</v>
      </c>
      <c r="G686" s="21" t="str">
        <f t="shared" si="32"/>
        <v>V</v>
      </c>
    </row>
    <row r="687" spans="2:7" x14ac:dyDescent="0.25">
      <c r="B687" s="7" t="s">
        <v>1253</v>
      </c>
      <c r="C687" s="8" t="s">
        <v>1254</v>
      </c>
      <c r="D687" s="4" t="s">
        <v>24</v>
      </c>
      <c r="E687" s="20" t="str">
        <f t="shared" si="30"/>
        <v>PE</v>
      </c>
      <c r="F687" s="16" t="str">
        <f t="shared" si="31"/>
        <v>RS</v>
      </c>
      <c r="G687" s="21" t="str">
        <f t="shared" si="32"/>
        <v>B</v>
      </c>
    </row>
    <row r="688" spans="2:7" x14ac:dyDescent="0.25">
      <c r="B688" s="7" t="s">
        <v>1255</v>
      </c>
      <c r="C688" s="8" t="s">
        <v>1256</v>
      </c>
      <c r="D688" s="4" t="s">
        <v>24</v>
      </c>
      <c r="E688" s="20" t="str">
        <f t="shared" si="30"/>
        <v>PE</v>
      </c>
      <c r="F688" s="16" t="str">
        <f t="shared" si="31"/>
        <v>SC</v>
      </c>
      <c r="G688" s="21" t="str">
        <f t="shared" si="32"/>
        <v>B</v>
      </c>
    </row>
    <row r="689" spans="2:7" x14ac:dyDescent="0.25">
      <c r="B689" s="7" t="s">
        <v>1257</v>
      </c>
      <c r="C689" s="8" t="s">
        <v>1258</v>
      </c>
      <c r="D689" s="4" t="s">
        <v>74</v>
      </c>
      <c r="E689" s="20" t="str">
        <f t="shared" si="30"/>
        <v>PE</v>
      </c>
      <c r="F689" s="16" t="str">
        <f t="shared" si="31"/>
        <v>TC</v>
      </c>
      <c r="G689" s="21" t="str">
        <f t="shared" si="32"/>
        <v>D</v>
      </c>
    </row>
    <row r="690" spans="2:7" x14ac:dyDescent="0.25">
      <c r="B690" s="7" t="s">
        <v>1259</v>
      </c>
      <c r="C690" s="8" t="s">
        <v>1260</v>
      </c>
      <c r="D690" s="4" t="s">
        <v>78</v>
      </c>
      <c r="E690" s="20" t="str">
        <f t="shared" si="30"/>
        <v>PE</v>
      </c>
      <c r="F690" s="16" t="str">
        <f t="shared" si="31"/>
        <v>TC</v>
      </c>
      <c r="G690" s="21" t="str">
        <f t="shared" si="32"/>
        <v>V</v>
      </c>
    </row>
    <row r="691" spans="2:7" x14ac:dyDescent="0.25">
      <c r="B691" s="7" t="s">
        <v>1261</v>
      </c>
      <c r="C691" s="8" t="s">
        <v>1262</v>
      </c>
      <c r="D691" s="4" t="s">
        <v>74</v>
      </c>
      <c r="E691" s="20" t="str">
        <f t="shared" si="30"/>
        <v>PE</v>
      </c>
      <c r="F691" s="16" t="str">
        <f t="shared" si="31"/>
        <v>TX</v>
      </c>
      <c r="G691" s="21" t="str">
        <f t="shared" si="32"/>
        <v>D</v>
      </c>
    </row>
    <row r="692" spans="2:7" x14ac:dyDescent="0.25">
      <c r="B692" s="7" t="s">
        <v>1263</v>
      </c>
      <c r="C692" s="8" t="s">
        <v>1264</v>
      </c>
      <c r="D692" s="4" t="s">
        <v>78</v>
      </c>
      <c r="E692" s="20" t="str">
        <f t="shared" si="30"/>
        <v>PE</v>
      </c>
      <c r="F692" s="16" t="str">
        <f t="shared" si="31"/>
        <v>TX</v>
      </c>
      <c r="G692" s="21" t="str">
        <f t="shared" si="32"/>
        <v>V</v>
      </c>
    </row>
    <row r="693" spans="2:7" x14ac:dyDescent="0.25">
      <c r="B693" s="7" t="s">
        <v>1265</v>
      </c>
      <c r="C693" s="8" t="s">
        <v>1266</v>
      </c>
      <c r="D693" s="4" t="s">
        <v>238</v>
      </c>
      <c r="E693" s="20" t="str">
        <f t="shared" si="30"/>
        <v>PH</v>
      </c>
      <c r="F693" s="16" t="str">
        <f t="shared" si="31"/>
        <v>VH</v>
      </c>
      <c r="G693" s="21" t="str">
        <f t="shared" si="32"/>
        <v>N</v>
      </c>
    </row>
    <row r="694" spans="2:7" x14ac:dyDescent="0.25">
      <c r="B694" s="7" t="s">
        <v>1267</v>
      </c>
      <c r="C694" s="8" t="s">
        <v>1268</v>
      </c>
      <c r="D694" s="4" t="s">
        <v>241</v>
      </c>
      <c r="E694" s="20" t="str">
        <f t="shared" si="30"/>
        <v>PH</v>
      </c>
      <c r="F694" s="16" t="str">
        <f t="shared" si="31"/>
        <v>VH</v>
      </c>
      <c r="G694" s="21" t="str">
        <f t="shared" si="32"/>
        <v>P</v>
      </c>
    </row>
    <row r="695" spans="2:7" x14ac:dyDescent="0.25">
      <c r="B695" s="7" t="s">
        <v>1269</v>
      </c>
      <c r="C695" s="8" t="s">
        <v>1270</v>
      </c>
      <c r="D695" s="4" t="s">
        <v>24</v>
      </c>
      <c r="E695" s="20" t="str">
        <f t="shared" si="30"/>
        <v>PL</v>
      </c>
      <c r="F695" s="16" t="str">
        <f t="shared" si="31"/>
        <v>IC</v>
      </c>
      <c r="G695" s="21" t="str">
        <f t="shared" si="32"/>
        <v>B</v>
      </c>
    </row>
    <row r="696" spans="2:7" x14ac:dyDescent="0.25">
      <c r="B696" s="7" t="s">
        <v>1271</v>
      </c>
      <c r="C696" s="8" t="s">
        <v>1270</v>
      </c>
      <c r="D696" s="4" t="s">
        <v>69</v>
      </c>
      <c r="E696" s="20" t="str">
        <f t="shared" si="30"/>
        <v>PL</v>
      </c>
      <c r="F696" s="16" t="str">
        <f t="shared" si="31"/>
        <v>IC</v>
      </c>
      <c r="G696" s="21" t="str">
        <f t="shared" si="32"/>
        <v>P</v>
      </c>
    </row>
    <row r="697" spans="2:7" x14ac:dyDescent="0.25">
      <c r="B697" s="7" t="s">
        <v>1272</v>
      </c>
      <c r="C697" s="8" t="s">
        <v>1273</v>
      </c>
      <c r="D697" s="4" t="s">
        <v>24</v>
      </c>
      <c r="E697" s="20" t="str">
        <f t="shared" si="30"/>
        <v>PM</v>
      </c>
      <c r="F697" s="16" t="str">
        <f t="shared" si="31"/>
        <v>AC</v>
      </c>
      <c r="G697" s="21" t="str">
        <f t="shared" si="32"/>
        <v>B</v>
      </c>
    </row>
    <row r="698" spans="2:7" x14ac:dyDescent="0.25">
      <c r="B698" s="7" t="s">
        <v>1274</v>
      </c>
      <c r="C698" s="8" t="s">
        <v>1275</v>
      </c>
      <c r="D698" s="4" t="s">
        <v>24</v>
      </c>
      <c r="E698" s="20" t="str">
        <f t="shared" si="30"/>
        <v>PM</v>
      </c>
      <c r="F698" s="16" t="str">
        <f t="shared" si="31"/>
        <v>CC</v>
      </c>
      <c r="G698" s="21" t="str">
        <f t="shared" si="32"/>
        <v>B</v>
      </c>
    </row>
    <row r="699" spans="2:7" x14ac:dyDescent="0.25">
      <c r="B699" s="7" t="s">
        <v>1276</v>
      </c>
      <c r="C699" s="8" t="s">
        <v>1277</v>
      </c>
      <c r="D699" s="4" t="s">
        <v>24</v>
      </c>
      <c r="E699" s="20" t="str">
        <f t="shared" si="30"/>
        <v>PM</v>
      </c>
      <c r="F699" s="16" t="str">
        <f t="shared" si="31"/>
        <v>EI</v>
      </c>
      <c r="G699" s="21" t="str">
        <f t="shared" si="32"/>
        <v>B</v>
      </c>
    </row>
    <row r="700" spans="2:7" x14ac:dyDescent="0.25">
      <c r="B700" s="7" t="s">
        <v>1278</v>
      </c>
      <c r="C700" s="8" t="s">
        <v>1279</v>
      </c>
      <c r="D700" s="4" t="s">
        <v>24</v>
      </c>
      <c r="E700" s="20" t="str">
        <f t="shared" si="30"/>
        <v>PM</v>
      </c>
      <c r="F700" s="16" t="str">
        <f t="shared" si="31"/>
        <v>IC</v>
      </c>
      <c r="G700" s="21" t="str">
        <f t="shared" si="32"/>
        <v>B</v>
      </c>
    </row>
    <row r="701" spans="2:7" x14ac:dyDescent="0.25">
      <c r="B701" s="7" t="s">
        <v>50</v>
      </c>
      <c r="C701" s="8" t="s">
        <v>51</v>
      </c>
      <c r="D701" s="4" t="s">
        <v>24</v>
      </c>
      <c r="E701" s="20" t="str">
        <f t="shared" si="30"/>
        <v>PM</v>
      </c>
      <c r="F701" s="16" t="str">
        <f t="shared" si="31"/>
        <v>RC</v>
      </c>
      <c r="G701" s="21" t="str">
        <f t="shared" si="32"/>
        <v>B</v>
      </c>
    </row>
    <row r="702" spans="2:7" x14ac:dyDescent="0.25">
      <c r="B702" s="7" t="s">
        <v>1280</v>
      </c>
      <c r="C702" s="8" t="s">
        <v>1281</v>
      </c>
      <c r="D702" s="4" t="s">
        <v>24</v>
      </c>
      <c r="E702" s="20" t="str">
        <f t="shared" si="30"/>
        <v>PM</v>
      </c>
      <c r="F702" s="16" t="str">
        <f t="shared" si="31"/>
        <v>TC</v>
      </c>
      <c r="G702" s="21" t="str">
        <f t="shared" si="32"/>
        <v>B</v>
      </c>
    </row>
    <row r="703" spans="2:7" x14ac:dyDescent="0.25">
      <c r="B703" s="7" t="s">
        <v>1282</v>
      </c>
      <c r="C703" s="8" t="s">
        <v>1283</v>
      </c>
      <c r="D703" s="4" t="s">
        <v>24</v>
      </c>
      <c r="E703" s="20" t="str">
        <f t="shared" si="30"/>
        <v>PP</v>
      </c>
      <c r="F703" s="16" t="str">
        <f t="shared" si="31"/>
        <v>IC</v>
      </c>
      <c r="G703" s="21" t="str">
        <f t="shared" si="32"/>
        <v>B</v>
      </c>
    </row>
    <row r="704" spans="2:7" x14ac:dyDescent="0.25">
      <c r="B704" s="7" t="s">
        <v>1284</v>
      </c>
      <c r="C704" s="8" t="s">
        <v>1283</v>
      </c>
      <c r="D704" s="4" t="s">
        <v>69</v>
      </c>
      <c r="E704" s="20" t="str">
        <f t="shared" si="30"/>
        <v>PP</v>
      </c>
      <c r="F704" s="16" t="str">
        <f t="shared" si="31"/>
        <v>IC</v>
      </c>
      <c r="G704" s="21" t="str">
        <f t="shared" si="32"/>
        <v>P</v>
      </c>
    </row>
    <row r="705" spans="2:7" x14ac:dyDescent="0.25">
      <c r="B705" s="7" t="s">
        <v>1285</v>
      </c>
      <c r="C705" s="8" t="s">
        <v>1286</v>
      </c>
      <c r="D705" s="4" t="s">
        <v>24</v>
      </c>
      <c r="E705" s="20" t="str">
        <f t="shared" si="30"/>
        <v>PP</v>
      </c>
      <c r="F705" s="16" t="str">
        <f t="shared" si="31"/>
        <v>TC</v>
      </c>
      <c r="G705" s="21" t="str">
        <f t="shared" si="32"/>
        <v>B</v>
      </c>
    </row>
    <row r="706" spans="2:7" x14ac:dyDescent="0.25">
      <c r="B706" s="7" t="s">
        <v>1287</v>
      </c>
      <c r="C706" s="8" t="s">
        <v>1286</v>
      </c>
      <c r="D706" s="4" t="s">
        <v>69</v>
      </c>
      <c r="E706" s="20" t="str">
        <f t="shared" si="30"/>
        <v>PP</v>
      </c>
      <c r="F706" s="16" t="str">
        <f t="shared" si="31"/>
        <v>TC</v>
      </c>
      <c r="G706" s="21" t="str">
        <f t="shared" si="32"/>
        <v>P</v>
      </c>
    </row>
    <row r="707" spans="2:7" x14ac:dyDescent="0.25">
      <c r="B707" s="7" t="s">
        <v>1288</v>
      </c>
      <c r="C707" s="8" t="s">
        <v>1289</v>
      </c>
      <c r="D707" s="4" t="s">
        <v>24</v>
      </c>
      <c r="E707" s="20" t="str">
        <f t="shared" si="30"/>
        <v>PQ</v>
      </c>
      <c r="F707" s="16" t="str">
        <f t="shared" si="31"/>
        <v>AC</v>
      </c>
      <c r="G707" s="21" t="str">
        <f t="shared" si="32"/>
        <v>B</v>
      </c>
    </row>
    <row r="708" spans="2:7" x14ac:dyDescent="0.25">
      <c r="B708" s="7" t="s">
        <v>1290</v>
      </c>
      <c r="C708" s="8" t="s">
        <v>1291</v>
      </c>
      <c r="D708" s="4" t="s">
        <v>74</v>
      </c>
      <c r="E708" s="20" t="str">
        <f t="shared" si="30"/>
        <v>PQ</v>
      </c>
      <c r="F708" s="16" t="str">
        <f t="shared" si="31"/>
        <v>AC</v>
      </c>
      <c r="G708" s="21" t="str">
        <f t="shared" si="32"/>
        <v>D</v>
      </c>
    </row>
    <row r="709" spans="2:7" x14ac:dyDescent="0.25">
      <c r="B709" s="7" t="s">
        <v>1292</v>
      </c>
      <c r="C709" s="8" t="s">
        <v>1289</v>
      </c>
      <c r="D709" s="4" t="s">
        <v>69</v>
      </c>
      <c r="E709" s="20" t="str">
        <f t="shared" si="30"/>
        <v>PQ</v>
      </c>
      <c r="F709" s="16" t="str">
        <f t="shared" si="31"/>
        <v>AC</v>
      </c>
      <c r="G709" s="21" t="str">
        <f t="shared" si="32"/>
        <v>P</v>
      </c>
    </row>
    <row r="710" spans="2:7" x14ac:dyDescent="0.25">
      <c r="B710" s="7" t="s">
        <v>1293</v>
      </c>
      <c r="C710" s="8" t="s">
        <v>1294</v>
      </c>
      <c r="D710" s="4" t="s">
        <v>78</v>
      </c>
      <c r="E710" s="20" t="str">
        <f t="shared" si="30"/>
        <v>PQ</v>
      </c>
      <c r="F710" s="16" t="str">
        <f t="shared" si="31"/>
        <v>AC</v>
      </c>
      <c r="G710" s="21" t="str">
        <f t="shared" si="32"/>
        <v>V</v>
      </c>
    </row>
    <row r="711" spans="2:7" x14ac:dyDescent="0.25">
      <c r="B711" s="7" t="s">
        <v>1295</v>
      </c>
      <c r="C711" s="8" t="s">
        <v>1296</v>
      </c>
      <c r="D711" s="4" t="s">
        <v>24</v>
      </c>
      <c r="E711" s="20" t="str">
        <f t="shared" si="30"/>
        <v>PQ</v>
      </c>
      <c r="F711" s="16" t="str">
        <f t="shared" si="31"/>
        <v>CC</v>
      </c>
      <c r="G711" s="21" t="str">
        <f t="shared" si="32"/>
        <v>B</v>
      </c>
    </row>
    <row r="712" spans="2:7" x14ac:dyDescent="0.25">
      <c r="B712" s="7" t="s">
        <v>1297</v>
      </c>
      <c r="C712" s="8" t="s">
        <v>1298</v>
      </c>
      <c r="D712" s="4" t="s">
        <v>74</v>
      </c>
      <c r="E712" s="20" t="str">
        <f t="shared" si="30"/>
        <v>PQ</v>
      </c>
      <c r="F712" s="16" t="str">
        <f t="shared" si="31"/>
        <v>CC</v>
      </c>
      <c r="G712" s="21" t="str">
        <f t="shared" si="32"/>
        <v>D</v>
      </c>
    </row>
    <row r="713" spans="2:7" x14ac:dyDescent="0.25">
      <c r="B713" s="7" t="s">
        <v>1299</v>
      </c>
      <c r="C713" s="8" t="s">
        <v>1296</v>
      </c>
      <c r="D713" s="4" t="s">
        <v>69</v>
      </c>
      <c r="E713" s="20" t="str">
        <f t="shared" si="30"/>
        <v>PQ</v>
      </c>
      <c r="F713" s="16" t="str">
        <f t="shared" si="31"/>
        <v>CC</v>
      </c>
      <c r="G713" s="21" t="str">
        <f t="shared" si="32"/>
        <v>P</v>
      </c>
    </row>
    <row r="714" spans="2:7" x14ac:dyDescent="0.25">
      <c r="B714" s="7" t="s">
        <v>1300</v>
      </c>
      <c r="C714" s="8" t="s">
        <v>1301</v>
      </c>
      <c r="D714" s="4" t="s">
        <v>78</v>
      </c>
      <c r="E714" s="20" t="str">
        <f t="shared" si="30"/>
        <v>PQ</v>
      </c>
      <c r="F714" s="16" t="str">
        <f t="shared" si="31"/>
        <v>CC</v>
      </c>
      <c r="G714" s="21" t="str">
        <f t="shared" si="32"/>
        <v>V</v>
      </c>
    </row>
    <row r="715" spans="2:7" x14ac:dyDescent="0.25">
      <c r="B715" s="7" t="s">
        <v>1302</v>
      </c>
      <c r="C715" s="8" t="s">
        <v>1303</v>
      </c>
      <c r="D715" s="4" t="s">
        <v>24</v>
      </c>
      <c r="E715" s="20" t="str">
        <f t="shared" si="30"/>
        <v>PQ</v>
      </c>
      <c r="F715" s="16" t="str">
        <f t="shared" si="31"/>
        <v>IC</v>
      </c>
      <c r="G715" s="21" t="str">
        <f t="shared" si="32"/>
        <v>B</v>
      </c>
    </row>
    <row r="716" spans="2:7" x14ac:dyDescent="0.25">
      <c r="B716" s="7" t="s">
        <v>1304</v>
      </c>
      <c r="C716" s="8" t="s">
        <v>1305</v>
      </c>
      <c r="D716" s="4" t="s">
        <v>74</v>
      </c>
      <c r="E716" s="20" t="str">
        <f t="shared" si="30"/>
        <v>PQ</v>
      </c>
      <c r="F716" s="16" t="str">
        <f t="shared" si="31"/>
        <v>IC</v>
      </c>
      <c r="G716" s="21" t="str">
        <f t="shared" si="32"/>
        <v>D</v>
      </c>
    </row>
    <row r="717" spans="2:7" x14ac:dyDescent="0.25">
      <c r="B717" s="7" t="s">
        <v>1306</v>
      </c>
      <c r="C717" s="8" t="s">
        <v>1303</v>
      </c>
      <c r="D717" s="4" t="s">
        <v>69</v>
      </c>
      <c r="E717" s="20" t="str">
        <f t="shared" si="30"/>
        <v>PQ</v>
      </c>
      <c r="F717" s="16" t="str">
        <f t="shared" si="31"/>
        <v>IC</v>
      </c>
      <c r="G717" s="21" t="str">
        <f t="shared" si="32"/>
        <v>P</v>
      </c>
    </row>
    <row r="718" spans="2:7" x14ac:dyDescent="0.25">
      <c r="B718" s="7" t="s">
        <v>1307</v>
      </c>
      <c r="C718" s="8" t="s">
        <v>1308</v>
      </c>
      <c r="D718" s="4" t="s">
        <v>78</v>
      </c>
      <c r="E718" s="20" t="str">
        <f t="shared" si="30"/>
        <v>PQ</v>
      </c>
      <c r="F718" s="16" t="str">
        <f t="shared" si="31"/>
        <v>IC</v>
      </c>
      <c r="G718" s="21" t="str">
        <f t="shared" si="32"/>
        <v>V</v>
      </c>
    </row>
    <row r="719" spans="2:7" x14ac:dyDescent="0.25">
      <c r="B719" s="7" t="s">
        <v>1309</v>
      </c>
      <c r="C719" s="8" t="s">
        <v>1310</v>
      </c>
      <c r="D719" s="4" t="s">
        <v>24</v>
      </c>
      <c r="E719" s="20" t="str">
        <f t="shared" si="30"/>
        <v>PQ</v>
      </c>
      <c r="F719" s="16" t="str">
        <f t="shared" si="31"/>
        <v>IS</v>
      </c>
      <c r="G719" s="21" t="str">
        <f t="shared" si="32"/>
        <v>B</v>
      </c>
    </row>
    <row r="720" spans="2:7" x14ac:dyDescent="0.25">
      <c r="B720" s="7" t="s">
        <v>52</v>
      </c>
      <c r="C720" s="8" t="s">
        <v>53</v>
      </c>
      <c r="D720" s="4" t="s">
        <v>24</v>
      </c>
      <c r="E720" s="20" t="str">
        <f t="shared" ref="E720:E783" si="33">LEFT(B720,2)</f>
        <v>PQ</v>
      </c>
      <c r="F720" s="16" t="str">
        <f t="shared" ref="F720:F783" si="34">MID(B720,3,2)</f>
        <v>RC</v>
      </c>
      <c r="G720" s="21" t="str">
        <f t="shared" ref="G720:G783" si="35">RIGHT(B720,1)</f>
        <v>B</v>
      </c>
    </row>
    <row r="721" spans="2:7" x14ac:dyDescent="0.25">
      <c r="B721" s="7" t="s">
        <v>1311</v>
      </c>
      <c r="C721" s="8" t="s">
        <v>1312</v>
      </c>
      <c r="D721" s="4" t="s">
        <v>74</v>
      </c>
      <c r="E721" s="20" t="str">
        <f t="shared" si="33"/>
        <v>PQ</v>
      </c>
      <c r="F721" s="16" t="str">
        <f t="shared" si="34"/>
        <v>RC</v>
      </c>
      <c r="G721" s="21" t="str">
        <f t="shared" si="35"/>
        <v>D</v>
      </c>
    </row>
    <row r="722" spans="2:7" x14ac:dyDescent="0.25">
      <c r="B722" s="7" t="s">
        <v>1313</v>
      </c>
      <c r="C722" s="8" t="s">
        <v>53</v>
      </c>
      <c r="D722" s="4" t="s">
        <v>69</v>
      </c>
      <c r="E722" s="20" t="str">
        <f t="shared" si="33"/>
        <v>PQ</v>
      </c>
      <c r="F722" s="16" t="str">
        <f t="shared" si="34"/>
        <v>RC</v>
      </c>
      <c r="G722" s="21" t="str">
        <f t="shared" si="35"/>
        <v>P</v>
      </c>
    </row>
    <row r="723" spans="2:7" x14ac:dyDescent="0.25">
      <c r="B723" s="7" t="s">
        <v>1314</v>
      </c>
      <c r="C723" s="8" t="s">
        <v>1315</v>
      </c>
      <c r="D723" s="4" t="s">
        <v>78</v>
      </c>
      <c r="E723" s="20" t="str">
        <f t="shared" si="33"/>
        <v>PQ</v>
      </c>
      <c r="F723" s="16" t="str">
        <f t="shared" si="34"/>
        <v>RC</v>
      </c>
      <c r="G723" s="21" t="str">
        <f t="shared" si="35"/>
        <v>V</v>
      </c>
    </row>
    <row r="724" spans="2:7" x14ac:dyDescent="0.25">
      <c r="B724" s="7" t="s">
        <v>1316</v>
      </c>
      <c r="C724" s="8" t="s">
        <v>1317</v>
      </c>
      <c r="D724" s="4" t="s">
        <v>24</v>
      </c>
      <c r="E724" s="20" t="str">
        <f t="shared" si="33"/>
        <v>PQ</v>
      </c>
      <c r="F724" s="16" t="str">
        <f t="shared" si="34"/>
        <v>RF</v>
      </c>
      <c r="G724" s="21" t="str">
        <f t="shared" si="35"/>
        <v>B</v>
      </c>
    </row>
    <row r="725" spans="2:7" x14ac:dyDescent="0.25">
      <c r="B725" s="7" t="s">
        <v>1318</v>
      </c>
      <c r="C725" s="8" t="s">
        <v>1319</v>
      </c>
      <c r="D725" s="4" t="s">
        <v>24</v>
      </c>
      <c r="E725" s="20" t="str">
        <f t="shared" si="33"/>
        <v>PQ</v>
      </c>
      <c r="F725" s="16" t="str">
        <f t="shared" si="34"/>
        <v>SC</v>
      </c>
      <c r="G725" s="21" t="str">
        <f t="shared" si="35"/>
        <v>B</v>
      </c>
    </row>
    <row r="726" spans="2:7" x14ac:dyDescent="0.25">
      <c r="B726" s="7" t="s">
        <v>1320</v>
      </c>
      <c r="C726" s="8" t="s">
        <v>1321</v>
      </c>
      <c r="D726" s="4" t="s">
        <v>24</v>
      </c>
      <c r="E726" s="20" t="str">
        <f t="shared" si="33"/>
        <v>PQ</v>
      </c>
      <c r="F726" s="16" t="str">
        <f t="shared" si="34"/>
        <v>TC</v>
      </c>
      <c r="G726" s="21" t="str">
        <f t="shared" si="35"/>
        <v>B</v>
      </c>
    </row>
    <row r="727" spans="2:7" x14ac:dyDescent="0.25">
      <c r="B727" s="7" t="s">
        <v>1322</v>
      </c>
      <c r="C727" s="8" t="s">
        <v>1323</v>
      </c>
      <c r="D727" s="4" t="s">
        <v>74</v>
      </c>
      <c r="E727" s="20" t="str">
        <f t="shared" si="33"/>
        <v>PQ</v>
      </c>
      <c r="F727" s="16" t="str">
        <f t="shared" si="34"/>
        <v>TC</v>
      </c>
      <c r="G727" s="21" t="str">
        <f t="shared" si="35"/>
        <v>D</v>
      </c>
    </row>
    <row r="728" spans="2:7" x14ac:dyDescent="0.25">
      <c r="B728" s="7" t="s">
        <v>1324</v>
      </c>
      <c r="C728" s="8" t="s">
        <v>1321</v>
      </c>
      <c r="D728" s="4" t="s">
        <v>69</v>
      </c>
      <c r="E728" s="20" t="str">
        <f t="shared" si="33"/>
        <v>PQ</v>
      </c>
      <c r="F728" s="16" t="str">
        <f t="shared" si="34"/>
        <v>TC</v>
      </c>
      <c r="G728" s="21" t="str">
        <f t="shared" si="35"/>
        <v>P</v>
      </c>
    </row>
    <row r="729" spans="2:7" x14ac:dyDescent="0.25">
      <c r="B729" s="7" t="s">
        <v>1325</v>
      </c>
      <c r="C729" s="8" t="s">
        <v>1326</v>
      </c>
      <c r="D729" s="4" t="s">
        <v>78</v>
      </c>
      <c r="E729" s="20" t="str">
        <f t="shared" si="33"/>
        <v>PQ</v>
      </c>
      <c r="F729" s="16" t="str">
        <f t="shared" si="34"/>
        <v>TC</v>
      </c>
      <c r="G729" s="21" t="str">
        <f t="shared" si="35"/>
        <v>V</v>
      </c>
    </row>
    <row r="730" spans="2:7" x14ac:dyDescent="0.25">
      <c r="B730" s="7" t="s">
        <v>1327</v>
      </c>
      <c r="C730" s="8" t="s">
        <v>1328</v>
      </c>
      <c r="D730" s="4" t="s">
        <v>24</v>
      </c>
      <c r="E730" s="20" t="str">
        <f t="shared" si="33"/>
        <v>PQ</v>
      </c>
      <c r="F730" s="16" t="str">
        <f t="shared" si="34"/>
        <v>TX</v>
      </c>
      <c r="G730" s="21" t="str">
        <f t="shared" si="35"/>
        <v>B</v>
      </c>
    </row>
    <row r="731" spans="2:7" x14ac:dyDescent="0.25">
      <c r="B731" s="7" t="s">
        <v>1329</v>
      </c>
      <c r="C731" s="8" t="s">
        <v>1330</v>
      </c>
      <c r="D731" s="4" t="s">
        <v>74</v>
      </c>
      <c r="E731" s="20" t="str">
        <f t="shared" si="33"/>
        <v>PQ</v>
      </c>
      <c r="F731" s="16" t="str">
        <f t="shared" si="34"/>
        <v>TX</v>
      </c>
      <c r="G731" s="21" t="str">
        <f t="shared" si="35"/>
        <v>D</v>
      </c>
    </row>
    <row r="732" spans="2:7" x14ac:dyDescent="0.25">
      <c r="B732" s="7" t="s">
        <v>1331</v>
      </c>
      <c r="C732" s="8" t="s">
        <v>1328</v>
      </c>
      <c r="D732" s="4" t="s">
        <v>69</v>
      </c>
      <c r="E732" s="20" t="str">
        <f t="shared" si="33"/>
        <v>PQ</v>
      </c>
      <c r="F732" s="16" t="str">
        <f t="shared" si="34"/>
        <v>TX</v>
      </c>
      <c r="G732" s="21" t="str">
        <f t="shared" si="35"/>
        <v>P</v>
      </c>
    </row>
    <row r="733" spans="2:7" x14ac:dyDescent="0.25">
      <c r="B733" s="7" t="s">
        <v>1332</v>
      </c>
      <c r="C733" s="8" t="s">
        <v>1333</v>
      </c>
      <c r="D733" s="4" t="s">
        <v>78</v>
      </c>
      <c r="E733" s="20" t="str">
        <f t="shared" si="33"/>
        <v>PQ</v>
      </c>
      <c r="F733" s="16" t="str">
        <f t="shared" si="34"/>
        <v>TX</v>
      </c>
      <c r="G733" s="21" t="str">
        <f t="shared" si="35"/>
        <v>V</v>
      </c>
    </row>
    <row r="734" spans="2:7" x14ac:dyDescent="0.25">
      <c r="B734" s="7" t="s">
        <v>1334</v>
      </c>
      <c r="C734" s="8" t="s">
        <v>1335</v>
      </c>
      <c r="D734" s="4" t="s">
        <v>24</v>
      </c>
      <c r="E734" s="20" t="str">
        <f t="shared" si="33"/>
        <v>PY</v>
      </c>
      <c r="F734" s="16" t="str">
        <f t="shared" si="34"/>
        <v>IC</v>
      </c>
      <c r="G734" s="21" t="str">
        <f t="shared" si="35"/>
        <v>B</v>
      </c>
    </row>
    <row r="735" spans="2:7" x14ac:dyDescent="0.25">
      <c r="B735" s="7" t="s">
        <v>1336</v>
      </c>
      <c r="C735" s="8" t="s">
        <v>1335</v>
      </c>
      <c r="D735" s="4" t="s">
        <v>69</v>
      </c>
      <c r="E735" s="20" t="str">
        <f t="shared" si="33"/>
        <v>PY</v>
      </c>
      <c r="F735" s="16" t="str">
        <f t="shared" si="34"/>
        <v>IC</v>
      </c>
      <c r="G735" s="21" t="str">
        <f t="shared" si="35"/>
        <v>P</v>
      </c>
    </row>
    <row r="736" spans="2:7" x14ac:dyDescent="0.25">
      <c r="B736" s="7" t="s">
        <v>1337</v>
      </c>
      <c r="C736" s="8" t="s">
        <v>1338</v>
      </c>
      <c r="D736" s="4" t="s">
        <v>24</v>
      </c>
      <c r="E736" s="20" t="str">
        <f t="shared" si="33"/>
        <v>PY</v>
      </c>
      <c r="F736" s="16" t="str">
        <f t="shared" si="34"/>
        <v>TC</v>
      </c>
      <c r="G736" s="21" t="str">
        <f t="shared" si="35"/>
        <v>B</v>
      </c>
    </row>
    <row r="737" spans="2:7" x14ac:dyDescent="0.25">
      <c r="B737" s="7" t="s">
        <v>1339</v>
      </c>
      <c r="C737" s="8" t="s">
        <v>1338</v>
      </c>
      <c r="D737" s="4" t="s">
        <v>69</v>
      </c>
      <c r="E737" s="20" t="str">
        <f t="shared" si="33"/>
        <v>PY</v>
      </c>
      <c r="F737" s="16" t="str">
        <f t="shared" si="34"/>
        <v>TC</v>
      </c>
      <c r="G737" s="21" t="str">
        <f t="shared" si="35"/>
        <v>P</v>
      </c>
    </row>
    <row r="738" spans="2:7" x14ac:dyDescent="0.25">
      <c r="B738" s="7" t="s">
        <v>1340</v>
      </c>
      <c r="C738" s="8" t="s">
        <v>1341</v>
      </c>
      <c r="D738" s="4" t="s">
        <v>24</v>
      </c>
      <c r="E738" s="20" t="str">
        <f t="shared" si="33"/>
        <v>RE</v>
      </c>
      <c r="F738" s="16" t="str">
        <f t="shared" si="34"/>
        <v>AC</v>
      </c>
      <c r="G738" s="21" t="str">
        <f t="shared" si="35"/>
        <v>B</v>
      </c>
    </row>
    <row r="739" spans="2:7" x14ac:dyDescent="0.25">
      <c r="B739" s="7" t="s">
        <v>1342</v>
      </c>
      <c r="C739" s="8" t="s">
        <v>1343</v>
      </c>
      <c r="D739" s="4" t="s">
        <v>24</v>
      </c>
      <c r="E739" s="20" t="str">
        <f t="shared" si="33"/>
        <v>RE</v>
      </c>
      <c r="F739" s="16" t="str">
        <f t="shared" si="34"/>
        <v>CC</v>
      </c>
      <c r="G739" s="21" t="str">
        <f t="shared" si="35"/>
        <v>B</v>
      </c>
    </row>
    <row r="740" spans="2:7" x14ac:dyDescent="0.25">
      <c r="B740" s="7" t="s">
        <v>1344</v>
      </c>
      <c r="C740" s="8" t="s">
        <v>1345</v>
      </c>
      <c r="D740" s="4" t="s">
        <v>24</v>
      </c>
      <c r="E740" s="20" t="str">
        <f t="shared" si="33"/>
        <v>RE</v>
      </c>
      <c r="F740" s="16" t="str">
        <f t="shared" si="34"/>
        <v>EI</v>
      </c>
      <c r="G740" s="21" t="str">
        <f t="shared" si="35"/>
        <v>B</v>
      </c>
    </row>
    <row r="741" spans="2:7" x14ac:dyDescent="0.25">
      <c r="B741" s="7" t="s">
        <v>1346</v>
      </c>
      <c r="C741" s="8" t="s">
        <v>1347</v>
      </c>
      <c r="D741" s="4" t="s">
        <v>235</v>
      </c>
      <c r="E741" s="20" t="str">
        <f t="shared" si="33"/>
        <v>RE</v>
      </c>
      <c r="F741" s="16" t="str">
        <f t="shared" si="34"/>
        <v>GB</v>
      </c>
      <c r="G741" s="21" t="str">
        <f t="shared" si="35"/>
        <v>P</v>
      </c>
    </row>
    <row r="742" spans="2:7" x14ac:dyDescent="0.25">
      <c r="B742" s="7" t="s">
        <v>1348</v>
      </c>
      <c r="C742" s="8" t="s">
        <v>1349</v>
      </c>
      <c r="D742" s="4" t="s">
        <v>24</v>
      </c>
      <c r="E742" s="20" t="str">
        <f t="shared" si="33"/>
        <v>RE</v>
      </c>
      <c r="F742" s="16" t="str">
        <f t="shared" si="34"/>
        <v>IC</v>
      </c>
      <c r="G742" s="21" t="str">
        <f t="shared" si="35"/>
        <v>B</v>
      </c>
    </row>
    <row r="743" spans="2:7" x14ac:dyDescent="0.25">
      <c r="B743" s="7" t="s">
        <v>1350</v>
      </c>
      <c r="C743" s="8" t="s">
        <v>1351</v>
      </c>
      <c r="D743" s="4" t="s">
        <v>24</v>
      </c>
      <c r="E743" s="20" t="str">
        <f t="shared" si="33"/>
        <v>RE</v>
      </c>
      <c r="F743" s="16" t="str">
        <f t="shared" si="34"/>
        <v>PR</v>
      </c>
      <c r="G743" s="21" t="str">
        <f t="shared" si="35"/>
        <v>B</v>
      </c>
    </row>
    <row r="744" spans="2:7" x14ac:dyDescent="0.25">
      <c r="B744" s="7" t="s">
        <v>54</v>
      </c>
      <c r="C744" s="8" t="s">
        <v>55</v>
      </c>
      <c r="D744" s="4" t="s">
        <v>24</v>
      </c>
      <c r="E744" s="20" t="str">
        <f t="shared" si="33"/>
        <v>RE</v>
      </c>
      <c r="F744" s="16" t="str">
        <f t="shared" si="34"/>
        <v>RC</v>
      </c>
      <c r="G744" s="21" t="str">
        <f t="shared" si="35"/>
        <v>B</v>
      </c>
    </row>
    <row r="745" spans="2:7" x14ac:dyDescent="0.25">
      <c r="B745" s="7" t="s">
        <v>1352</v>
      </c>
      <c r="C745" s="8" t="s">
        <v>1353</v>
      </c>
      <c r="D745" s="4" t="s">
        <v>24</v>
      </c>
      <c r="E745" s="20" t="str">
        <f t="shared" si="33"/>
        <v>RE</v>
      </c>
      <c r="F745" s="16" t="str">
        <f t="shared" si="34"/>
        <v>TC</v>
      </c>
      <c r="G745" s="21" t="str">
        <f t="shared" si="35"/>
        <v>B</v>
      </c>
    </row>
    <row r="746" spans="2:7" x14ac:dyDescent="0.25">
      <c r="B746" s="7" t="s">
        <v>1354</v>
      </c>
      <c r="C746" s="8" t="s">
        <v>1355</v>
      </c>
      <c r="D746" s="4" t="s">
        <v>24</v>
      </c>
      <c r="E746" s="20" t="str">
        <f t="shared" si="33"/>
        <v>RF</v>
      </c>
      <c r="F746" s="16" t="str">
        <f t="shared" si="34"/>
        <v>AC</v>
      </c>
      <c r="G746" s="21" t="str">
        <f t="shared" si="35"/>
        <v>B</v>
      </c>
    </row>
    <row r="747" spans="2:7" x14ac:dyDescent="0.25">
      <c r="B747" s="7" t="s">
        <v>1356</v>
      </c>
      <c r="C747" s="8" t="s">
        <v>1357</v>
      </c>
      <c r="D747" s="4" t="s">
        <v>74</v>
      </c>
      <c r="E747" s="20" t="str">
        <f t="shared" si="33"/>
        <v>RF</v>
      </c>
      <c r="F747" s="16" t="str">
        <f t="shared" si="34"/>
        <v>AC</v>
      </c>
      <c r="G747" s="21" t="str">
        <f t="shared" si="35"/>
        <v>D</v>
      </c>
    </row>
    <row r="748" spans="2:7" x14ac:dyDescent="0.25">
      <c r="B748" s="7" t="s">
        <v>1358</v>
      </c>
      <c r="C748" s="8" t="s">
        <v>1355</v>
      </c>
      <c r="D748" s="4" t="s">
        <v>69</v>
      </c>
      <c r="E748" s="20" t="str">
        <f t="shared" si="33"/>
        <v>RF</v>
      </c>
      <c r="F748" s="16" t="str">
        <f t="shared" si="34"/>
        <v>AC</v>
      </c>
      <c r="G748" s="21" t="str">
        <f t="shared" si="35"/>
        <v>P</v>
      </c>
    </row>
    <row r="749" spans="2:7" x14ac:dyDescent="0.25">
      <c r="B749" s="7" t="s">
        <v>1359</v>
      </c>
      <c r="C749" s="8" t="s">
        <v>1360</v>
      </c>
      <c r="D749" s="4" t="s">
        <v>78</v>
      </c>
      <c r="E749" s="20" t="str">
        <f t="shared" si="33"/>
        <v>RF</v>
      </c>
      <c r="F749" s="16" t="str">
        <f t="shared" si="34"/>
        <v>AC</v>
      </c>
      <c r="G749" s="21" t="str">
        <f t="shared" si="35"/>
        <v>V</v>
      </c>
    </row>
    <row r="750" spans="2:7" x14ac:dyDescent="0.25">
      <c r="B750" s="7" t="s">
        <v>1361</v>
      </c>
      <c r="C750" s="8" t="s">
        <v>1362</v>
      </c>
      <c r="D750" s="4" t="s">
        <v>24</v>
      </c>
      <c r="E750" s="20" t="str">
        <f t="shared" si="33"/>
        <v>RF</v>
      </c>
      <c r="F750" s="16" t="str">
        <f t="shared" si="34"/>
        <v>CC</v>
      </c>
      <c r="G750" s="21" t="str">
        <f t="shared" si="35"/>
        <v>B</v>
      </c>
    </row>
    <row r="751" spans="2:7" x14ac:dyDescent="0.25">
      <c r="B751" s="7" t="s">
        <v>1363</v>
      </c>
      <c r="C751" s="8" t="s">
        <v>1364</v>
      </c>
      <c r="D751" s="4" t="s">
        <v>74</v>
      </c>
      <c r="E751" s="20" t="str">
        <f t="shared" si="33"/>
        <v>RF</v>
      </c>
      <c r="F751" s="16" t="str">
        <f t="shared" si="34"/>
        <v>CC</v>
      </c>
      <c r="G751" s="21" t="str">
        <f t="shared" si="35"/>
        <v>D</v>
      </c>
    </row>
    <row r="752" spans="2:7" x14ac:dyDescent="0.25">
      <c r="B752" s="7" t="s">
        <v>1365</v>
      </c>
      <c r="C752" s="8" t="s">
        <v>1362</v>
      </c>
      <c r="D752" s="4" t="s">
        <v>69</v>
      </c>
      <c r="E752" s="20" t="str">
        <f t="shared" si="33"/>
        <v>RF</v>
      </c>
      <c r="F752" s="16" t="str">
        <f t="shared" si="34"/>
        <v>CC</v>
      </c>
      <c r="G752" s="21" t="str">
        <f t="shared" si="35"/>
        <v>P</v>
      </c>
    </row>
    <row r="753" spans="2:7" x14ac:dyDescent="0.25">
      <c r="B753" s="7" t="s">
        <v>1366</v>
      </c>
      <c r="C753" s="8" t="s">
        <v>1367</v>
      </c>
      <c r="D753" s="4" t="s">
        <v>78</v>
      </c>
      <c r="E753" s="20" t="str">
        <f t="shared" si="33"/>
        <v>RF</v>
      </c>
      <c r="F753" s="16" t="str">
        <f t="shared" si="34"/>
        <v>CC</v>
      </c>
      <c r="G753" s="21" t="str">
        <f t="shared" si="35"/>
        <v>V</v>
      </c>
    </row>
    <row r="754" spans="2:7" x14ac:dyDescent="0.25">
      <c r="B754" s="7" t="s">
        <v>1368</v>
      </c>
      <c r="C754" s="8" t="s">
        <v>1369</v>
      </c>
      <c r="D754" s="4" t="s">
        <v>24</v>
      </c>
      <c r="E754" s="20" t="str">
        <f t="shared" si="33"/>
        <v>RF</v>
      </c>
      <c r="F754" s="16" t="str">
        <f t="shared" si="34"/>
        <v>EI</v>
      </c>
      <c r="G754" s="21" t="str">
        <f t="shared" si="35"/>
        <v>B</v>
      </c>
    </row>
    <row r="755" spans="2:7" x14ac:dyDescent="0.25">
      <c r="B755" s="7" t="s">
        <v>1370</v>
      </c>
      <c r="C755" s="8" t="s">
        <v>1371</v>
      </c>
      <c r="D755" s="4" t="s">
        <v>74</v>
      </c>
      <c r="E755" s="20" t="str">
        <f t="shared" si="33"/>
        <v>RF</v>
      </c>
      <c r="F755" s="16" t="str">
        <f t="shared" si="34"/>
        <v>EI</v>
      </c>
      <c r="G755" s="21" t="str">
        <f t="shared" si="35"/>
        <v>D</v>
      </c>
    </row>
    <row r="756" spans="2:7" x14ac:dyDescent="0.25">
      <c r="B756" s="7" t="s">
        <v>1372</v>
      </c>
      <c r="C756" s="8" t="s">
        <v>1369</v>
      </c>
      <c r="D756" s="4" t="s">
        <v>69</v>
      </c>
      <c r="E756" s="20" t="str">
        <f t="shared" si="33"/>
        <v>RF</v>
      </c>
      <c r="F756" s="16" t="str">
        <f t="shared" si="34"/>
        <v>EI</v>
      </c>
      <c r="G756" s="21" t="str">
        <f t="shared" si="35"/>
        <v>P</v>
      </c>
    </row>
    <row r="757" spans="2:7" x14ac:dyDescent="0.25">
      <c r="B757" s="7" t="s">
        <v>1373</v>
      </c>
      <c r="C757" s="8" t="s">
        <v>1374</v>
      </c>
      <c r="D757" s="4" t="s">
        <v>78</v>
      </c>
      <c r="E757" s="20" t="str">
        <f t="shared" si="33"/>
        <v>RF</v>
      </c>
      <c r="F757" s="16" t="str">
        <f t="shared" si="34"/>
        <v>EI</v>
      </c>
      <c r="G757" s="21" t="str">
        <f t="shared" si="35"/>
        <v>V</v>
      </c>
    </row>
    <row r="758" spans="2:7" x14ac:dyDescent="0.25">
      <c r="B758" s="7" t="s">
        <v>1375</v>
      </c>
      <c r="C758" s="8" t="s">
        <v>1376</v>
      </c>
      <c r="D758" s="4" t="s">
        <v>24</v>
      </c>
      <c r="E758" s="20" t="str">
        <f t="shared" si="33"/>
        <v>RF</v>
      </c>
      <c r="F758" s="16" t="str">
        <f t="shared" si="34"/>
        <v>IC</v>
      </c>
      <c r="G758" s="21" t="str">
        <f t="shared" si="35"/>
        <v>B</v>
      </c>
    </row>
    <row r="759" spans="2:7" x14ac:dyDescent="0.25">
      <c r="B759" s="7" t="s">
        <v>1377</v>
      </c>
      <c r="C759" s="8" t="s">
        <v>1378</v>
      </c>
      <c r="D759" s="4" t="s">
        <v>74</v>
      </c>
      <c r="E759" s="20" t="str">
        <f t="shared" si="33"/>
        <v>RF</v>
      </c>
      <c r="F759" s="16" t="str">
        <f t="shared" si="34"/>
        <v>IC</v>
      </c>
      <c r="G759" s="21" t="str">
        <f t="shared" si="35"/>
        <v>D</v>
      </c>
    </row>
    <row r="760" spans="2:7" x14ac:dyDescent="0.25">
      <c r="B760" s="7" t="s">
        <v>1379</v>
      </c>
      <c r="C760" s="8" t="s">
        <v>1376</v>
      </c>
      <c r="D760" s="4" t="s">
        <v>69</v>
      </c>
      <c r="E760" s="20" t="str">
        <f t="shared" si="33"/>
        <v>RF</v>
      </c>
      <c r="F760" s="16" t="str">
        <f t="shared" si="34"/>
        <v>IC</v>
      </c>
      <c r="G760" s="21" t="str">
        <f t="shared" si="35"/>
        <v>P</v>
      </c>
    </row>
    <row r="761" spans="2:7" x14ac:dyDescent="0.25">
      <c r="B761" s="7" t="s">
        <v>1380</v>
      </c>
      <c r="C761" s="8" t="s">
        <v>1381</v>
      </c>
      <c r="D761" s="4" t="s">
        <v>78</v>
      </c>
      <c r="E761" s="20" t="str">
        <f t="shared" si="33"/>
        <v>RF</v>
      </c>
      <c r="F761" s="16" t="str">
        <f t="shared" si="34"/>
        <v>IC</v>
      </c>
      <c r="G761" s="21" t="str">
        <f t="shared" si="35"/>
        <v>V</v>
      </c>
    </row>
    <row r="762" spans="2:7" x14ac:dyDescent="0.25">
      <c r="B762" s="7" t="s">
        <v>1382</v>
      </c>
      <c r="C762" s="8" t="s">
        <v>1383</v>
      </c>
      <c r="D762" s="4" t="s">
        <v>24</v>
      </c>
      <c r="E762" s="20" t="str">
        <f t="shared" si="33"/>
        <v>RF</v>
      </c>
      <c r="F762" s="16" t="str">
        <f t="shared" si="34"/>
        <v>IS</v>
      </c>
      <c r="G762" s="21" t="str">
        <f t="shared" si="35"/>
        <v>B</v>
      </c>
    </row>
    <row r="763" spans="2:7" x14ac:dyDescent="0.25">
      <c r="B763" s="7" t="s">
        <v>1384</v>
      </c>
      <c r="C763" s="8" t="s">
        <v>1385</v>
      </c>
      <c r="D763" s="4" t="s">
        <v>24</v>
      </c>
      <c r="E763" s="20" t="str">
        <f t="shared" si="33"/>
        <v>RF</v>
      </c>
      <c r="F763" s="16" t="str">
        <f t="shared" si="34"/>
        <v>RF</v>
      </c>
      <c r="G763" s="21" t="str">
        <f t="shared" si="35"/>
        <v>B</v>
      </c>
    </row>
    <row r="764" spans="2:7" x14ac:dyDescent="0.25">
      <c r="B764" s="7" t="s">
        <v>1386</v>
      </c>
      <c r="C764" s="8" t="s">
        <v>1387</v>
      </c>
      <c r="D764" s="4" t="s">
        <v>24</v>
      </c>
      <c r="E764" s="20" t="str">
        <f t="shared" si="33"/>
        <v>RF</v>
      </c>
      <c r="F764" s="16" t="str">
        <f t="shared" si="34"/>
        <v>SC</v>
      </c>
      <c r="G764" s="21" t="str">
        <f t="shared" si="35"/>
        <v>B</v>
      </c>
    </row>
    <row r="765" spans="2:7" x14ac:dyDescent="0.25">
      <c r="B765" s="7" t="s">
        <v>1388</v>
      </c>
      <c r="C765" s="8" t="s">
        <v>1389</v>
      </c>
      <c r="D765" s="4" t="s">
        <v>24</v>
      </c>
      <c r="E765" s="20" t="str">
        <f t="shared" si="33"/>
        <v>RF</v>
      </c>
      <c r="F765" s="16" t="str">
        <f t="shared" si="34"/>
        <v>TC</v>
      </c>
      <c r="G765" s="21" t="str">
        <f t="shared" si="35"/>
        <v>B</v>
      </c>
    </row>
    <row r="766" spans="2:7" x14ac:dyDescent="0.25">
      <c r="B766" s="7" t="s">
        <v>1390</v>
      </c>
      <c r="C766" s="8" t="s">
        <v>1391</v>
      </c>
      <c r="D766" s="4" t="s">
        <v>74</v>
      </c>
      <c r="E766" s="20" t="str">
        <f t="shared" si="33"/>
        <v>RF</v>
      </c>
      <c r="F766" s="16" t="str">
        <f t="shared" si="34"/>
        <v>TC</v>
      </c>
      <c r="G766" s="21" t="str">
        <f t="shared" si="35"/>
        <v>D</v>
      </c>
    </row>
    <row r="767" spans="2:7" x14ac:dyDescent="0.25">
      <c r="B767" s="7" t="s">
        <v>1392</v>
      </c>
      <c r="C767" s="8" t="s">
        <v>1389</v>
      </c>
      <c r="D767" s="4" t="s">
        <v>69</v>
      </c>
      <c r="E767" s="20" t="str">
        <f t="shared" si="33"/>
        <v>RF</v>
      </c>
      <c r="F767" s="16" t="str">
        <f t="shared" si="34"/>
        <v>TC</v>
      </c>
      <c r="G767" s="21" t="str">
        <f t="shared" si="35"/>
        <v>P</v>
      </c>
    </row>
    <row r="768" spans="2:7" x14ac:dyDescent="0.25">
      <c r="B768" s="7" t="s">
        <v>1393</v>
      </c>
      <c r="C768" s="8" t="s">
        <v>1394</v>
      </c>
      <c r="D768" s="4" t="s">
        <v>78</v>
      </c>
      <c r="E768" s="20" t="str">
        <f t="shared" si="33"/>
        <v>RF</v>
      </c>
      <c r="F768" s="16" t="str">
        <f t="shared" si="34"/>
        <v>TC</v>
      </c>
      <c r="G768" s="21" t="str">
        <f t="shared" si="35"/>
        <v>V</v>
      </c>
    </row>
    <row r="769" spans="2:7" x14ac:dyDescent="0.25">
      <c r="B769" s="7" t="s">
        <v>1395</v>
      </c>
      <c r="C769" s="8" t="s">
        <v>1396</v>
      </c>
      <c r="D769" s="4" t="s">
        <v>24</v>
      </c>
      <c r="E769" s="20" t="str">
        <f t="shared" si="33"/>
        <v>RF</v>
      </c>
      <c r="F769" s="16" t="str">
        <f t="shared" si="34"/>
        <v>TX</v>
      </c>
      <c r="G769" s="21" t="str">
        <f t="shared" si="35"/>
        <v>B</v>
      </c>
    </row>
    <row r="770" spans="2:7" x14ac:dyDescent="0.25">
      <c r="B770" s="7" t="s">
        <v>1397</v>
      </c>
      <c r="C770" s="8" t="s">
        <v>1398</v>
      </c>
      <c r="D770" s="4" t="s">
        <v>74</v>
      </c>
      <c r="E770" s="20" t="str">
        <f t="shared" si="33"/>
        <v>RF</v>
      </c>
      <c r="F770" s="16" t="str">
        <f t="shared" si="34"/>
        <v>TX</v>
      </c>
      <c r="G770" s="21" t="str">
        <f t="shared" si="35"/>
        <v>D</v>
      </c>
    </row>
    <row r="771" spans="2:7" x14ac:dyDescent="0.25">
      <c r="B771" s="7" t="s">
        <v>1399</v>
      </c>
      <c r="C771" s="8" t="s">
        <v>1396</v>
      </c>
      <c r="D771" s="4" t="s">
        <v>69</v>
      </c>
      <c r="E771" s="20" t="str">
        <f t="shared" si="33"/>
        <v>RF</v>
      </c>
      <c r="F771" s="16" t="str">
        <f t="shared" si="34"/>
        <v>TX</v>
      </c>
      <c r="G771" s="21" t="str">
        <f t="shared" si="35"/>
        <v>P</v>
      </c>
    </row>
    <row r="772" spans="2:7" x14ac:dyDescent="0.25">
      <c r="B772" s="7" t="s">
        <v>1400</v>
      </c>
      <c r="C772" s="8" t="s">
        <v>1401</v>
      </c>
      <c r="D772" s="4" t="s">
        <v>78</v>
      </c>
      <c r="E772" s="20" t="str">
        <f t="shared" si="33"/>
        <v>RF</v>
      </c>
      <c r="F772" s="16" t="str">
        <f t="shared" si="34"/>
        <v>TX</v>
      </c>
      <c r="G772" s="21" t="str">
        <f t="shared" si="35"/>
        <v>V</v>
      </c>
    </row>
    <row r="773" spans="2:7" x14ac:dyDescent="0.25">
      <c r="B773" s="7" t="s">
        <v>1402</v>
      </c>
      <c r="C773" s="8" t="s">
        <v>1403</v>
      </c>
      <c r="D773" s="4" t="s">
        <v>24</v>
      </c>
      <c r="E773" s="20" t="str">
        <f t="shared" si="33"/>
        <v>SF</v>
      </c>
      <c r="F773" s="16" t="str">
        <f t="shared" si="34"/>
        <v>CC</v>
      </c>
      <c r="G773" s="21" t="str">
        <f t="shared" si="35"/>
        <v>B</v>
      </c>
    </row>
    <row r="774" spans="2:7" x14ac:dyDescent="0.25">
      <c r="B774" s="7" t="s">
        <v>1404</v>
      </c>
      <c r="C774" s="8" t="s">
        <v>1405</v>
      </c>
      <c r="D774" s="4" t="s">
        <v>24</v>
      </c>
      <c r="E774" s="20" t="str">
        <f t="shared" si="33"/>
        <v>SF</v>
      </c>
      <c r="F774" s="16" t="str">
        <f t="shared" si="34"/>
        <v>EI</v>
      </c>
      <c r="G774" s="21" t="str">
        <f t="shared" si="35"/>
        <v>B</v>
      </c>
    </row>
    <row r="775" spans="2:7" x14ac:dyDescent="0.25">
      <c r="B775" s="7" t="s">
        <v>1406</v>
      </c>
      <c r="C775" s="8" t="s">
        <v>1407</v>
      </c>
      <c r="D775" s="4" t="s">
        <v>24</v>
      </c>
      <c r="E775" s="20" t="str">
        <f t="shared" si="33"/>
        <v>SF</v>
      </c>
      <c r="F775" s="16" t="str">
        <f t="shared" si="34"/>
        <v>IN</v>
      </c>
      <c r="G775" s="21" t="str">
        <f t="shared" si="35"/>
        <v>B</v>
      </c>
    </row>
    <row r="776" spans="2:7" x14ac:dyDescent="0.25">
      <c r="B776" s="7" t="s">
        <v>56</v>
      </c>
      <c r="C776" s="8" t="s">
        <v>57</v>
      </c>
      <c r="D776" s="4" t="s">
        <v>24</v>
      </c>
      <c r="E776" s="20" t="str">
        <f t="shared" si="33"/>
        <v>SF</v>
      </c>
      <c r="F776" s="16" t="str">
        <f t="shared" si="34"/>
        <v>RC</v>
      </c>
      <c r="G776" s="21" t="str">
        <f t="shared" si="35"/>
        <v>B</v>
      </c>
    </row>
    <row r="777" spans="2:7" x14ac:dyDescent="0.25">
      <c r="B777" s="7" t="s">
        <v>1408</v>
      </c>
      <c r="C777" s="8" t="s">
        <v>1409</v>
      </c>
      <c r="D777" s="4" t="s">
        <v>24</v>
      </c>
      <c r="E777" s="20" t="str">
        <f t="shared" si="33"/>
        <v>SF</v>
      </c>
      <c r="F777" s="16" t="str">
        <f t="shared" si="34"/>
        <v>TC</v>
      </c>
      <c r="G777" s="21" t="str">
        <f t="shared" si="35"/>
        <v>B</v>
      </c>
    </row>
    <row r="778" spans="2:7" x14ac:dyDescent="0.25">
      <c r="B778" s="7" t="s">
        <v>1410</v>
      </c>
      <c r="C778" s="8" t="s">
        <v>1411</v>
      </c>
      <c r="D778" s="4" t="s">
        <v>24</v>
      </c>
      <c r="E778" s="20" t="str">
        <f t="shared" si="33"/>
        <v>SG</v>
      </c>
      <c r="F778" s="16" t="str">
        <f t="shared" si="34"/>
        <v>IC</v>
      </c>
      <c r="G778" s="21" t="str">
        <f t="shared" si="35"/>
        <v>B</v>
      </c>
    </row>
    <row r="779" spans="2:7" x14ac:dyDescent="0.25">
      <c r="B779" s="7" t="s">
        <v>1412</v>
      </c>
      <c r="C779" s="8" t="s">
        <v>1411</v>
      </c>
      <c r="D779" s="4" t="s">
        <v>69</v>
      </c>
      <c r="E779" s="20" t="str">
        <f t="shared" si="33"/>
        <v>SG</v>
      </c>
      <c r="F779" s="16" t="str">
        <f t="shared" si="34"/>
        <v>IC</v>
      </c>
      <c r="G779" s="21" t="str">
        <f t="shared" si="35"/>
        <v>P</v>
      </c>
    </row>
    <row r="780" spans="2:7" x14ac:dyDescent="0.25">
      <c r="B780" s="7" t="s">
        <v>1413</v>
      </c>
      <c r="C780" s="8" t="s">
        <v>1414</v>
      </c>
      <c r="D780" s="4" t="s">
        <v>204</v>
      </c>
      <c r="E780" s="20" t="str">
        <f t="shared" si="33"/>
        <v>SH</v>
      </c>
      <c r="F780" s="16" t="str">
        <f t="shared" si="34"/>
        <v>CA</v>
      </c>
      <c r="G780" s="21" t="str">
        <f t="shared" si="35"/>
        <v>S</v>
      </c>
    </row>
    <row r="781" spans="2:7" x14ac:dyDescent="0.25">
      <c r="B781" s="7" t="s">
        <v>1415</v>
      </c>
      <c r="C781" s="8" t="s">
        <v>1416</v>
      </c>
      <c r="D781" s="4" t="s">
        <v>24</v>
      </c>
      <c r="E781" s="20" t="str">
        <f t="shared" si="33"/>
        <v>SN</v>
      </c>
      <c r="F781" s="16" t="str">
        <f t="shared" si="34"/>
        <v>IC</v>
      </c>
      <c r="G781" s="21" t="str">
        <f t="shared" si="35"/>
        <v>B</v>
      </c>
    </row>
    <row r="782" spans="2:7" x14ac:dyDescent="0.25">
      <c r="B782" s="7" t="s">
        <v>1417</v>
      </c>
      <c r="C782" s="8" t="s">
        <v>1418</v>
      </c>
      <c r="D782" s="4" t="s">
        <v>74</v>
      </c>
      <c r="E782" s="20" t="str">
        <f t="shared" si="33"/>
        <v>SN</v>
      </c>
      <c r="F782" s="16" t="str">
        <f t="shared" si="34"/>
        <v>IC</v>
      </c>
      <c r="G782" s="21" t="str">
        <f t="shared" si="35"/>
        <v>D</v>
      </c>
    </row>
    <row r="783" spans="2:7" x14ac:dyDescent="0.25">
      <c r="B783" s="7" t="s">
        <v>1419</v>
      </c>
      <c r="C783" s="8" t="s">
        <v>1416</v>
      </c>
      <c r="D783" s="4" t="s">
        <v>69</v>
      </c>
      <c r="E783" s="20" t="str">
        <f t="shared" si="33"/>
        <v>SN</v>
      </c>
      <c r="F783" s="16" t="str">
        <f t="shared" si="34"/>
        <v>IC</v>
      </c>
      <c r="G783" s="21" t="str">
        <f t="shared" si="35"/>
        <v>P</v>
      </c>
    </row>
    <row r="784" spans="2:7" x14ac:dyDescent="0.25">
      <c r="B784" s="7" t="s">
        <v>1420</v>
      </c>
      <c r="C784" s="8" t="s">
        <v>1421</v>
      </c>
      <c r="D784" s="4" t="s">
        <v>78</v>
      </c>
      <c r="E784" s="20" t="str">
        <f t="shared" ref="E784:E847" si="36">LEFT(B784,2)</f>
        <v>SN</v>
      </c>
      <c r="F784" s="16" t="str">
        <f t="shared" ref="F784:F847" si="37">MID(B784,3,2)</f>
        <v>IC</v>
      </c>
      <c r="G784" s="21" t="str">
        <f t="shared" ref="G784:G847" si="38">RIGHT(B784,1)</f>
        <v>V</v>
      </c>
    </row>
    <row r="785" spans="2:7" x14ac:dyDescent="0.25">
      <c r="B785" s="7" t="s">
        <v>1422</v>
      </c>
      <c r="C785" s="8" t="s">
        <v>1423</v>
      </c>
      <c r="D785" s="4" t="s">
        <v>24</v>
      </c>
      <c r="E785" s="20" t="str">
        <f t="shared" si="36"/>
        <v>SO</v>
      </c>
      <c r="F785" s="16" t="str">
        <f t="shared" si="37"/>
        <v>CC</v>
      </c>
      <c r="G785" s="21" t="str">
        <f t="shared" si="38"/>
        <v>B</v>
      </c>
    </row>
    <row r="786" spans="2:7" x14ac:dyDescent="0.25">
      <c r="B786" s="7" t="s">
        <v>1424</v>
      </c>
      <c r="C786" s="8" t="s">
        <v>1425</v>
      </c>
      <c r="D786" s="4" t="s">
        <v>241</v>
      </c>
      <c r="E786" s="20" t="str">
        <f t="shared" si="36"/>
        <v>SO</v>
      </c>
      <c r="F786" s="16" t="str">
        <f t="shared" si="37"/>
        <v>CC</v>
      </c>
      <c r="G786" s="21" t="str">
        <f t="shared" si="38"/>
        <v>P</v>
      </c>
    </row>
    <row r="787" spans="2:7" x14ac:dyDescent="0.25">
      <c r="B787" s="7" t="s">
        <v>1426</v>
      </c>
      <c r="C787" s="8" t="s">
        <v>1427</v>
      </c>
      <c r="D787" s="4" t="s">
        <v>24</v>
      </c>
      <c r="E787" s="20" t="str">
        <f t="shared" si="36"/>
        <v>SO</v>
      </c>
      <c r="F787" s="16" t="str">
        <f t="shared" si="37"/>
        <v>EG</v>
      </c>
      <c r="G787" s="21" t="str">
        <f t="shared" si="38"/>
        <v>B</v>
      </c>
    </row>
    <row r="788" spans="2:7" x14ac:dyDescent="0.25">
      <c r="B788" s="7" t="s">
        <v>1428</v>
      </c>
      <c r="C788" s="8" t="s">
        <v>1429</v>
      </c>
      <c r="D788" s="4" t="s">
        <v>241</v>
      </c>
      <c r="E788" s="20" t="str">
        <f t="shared" si="36"/>
        <v>SO</v>
      </c>
      <c r="F788" s="16" t="str">
        <f t="shared" si="37"/>
        <v>EG</v>
      </c>
      <c r="G788" s="21" t="str">
        <f t="shared" si="38"/>
        <v>P</v>
      </c>
    </row>
    <row r="789" spans="2:7" x14ac:dyDescent="0.25">
      <c r="B789" s="7" t="s">
        <v>1430</v>
      </c>
      <c r="C789" s="8" t="s">
        <v>1431</v>
      </c>
      <c r="D789" s="4" t="s">
        <v>235</v>
      </c>
      <c r="E789" s="20" t="str">
        <f t="shared" si="36"/>
        <v>SO</v>
      </c>
      <c r="F789" s="16" t="str">
        <f t="shared" si="37"/>
        <v>GB</v>
      </c>
      <c r="G789" s="21" t="str">
        <f t="shared" si="38"/>
        <v>P</v>
      </c>
    </row>
    <row r="790" spans="2:7" x14ac:dyDescent="0.25">
      <c r="B790" s="7" t="s">
        <v>1432</v>
      </c>
      <c r="C790" s="8" t="s">
        <v>1433</v>
      </c>
      <c r="D790" s="4" t="s">
        <v>24</v>
      </c>
      <c r="E790" s="20" t="str">
        <f t="shared" si="36"/>
        <v>SO</v>
      </c>
      <c r="F790" s="16" t="str">
        <f t="shared" si="37"/>
        <v>IC</v>
      </c>
      <c r="G790" s="21" t="str">
        <f t="shared" si="38"/>
        <v>B</v>
      </c>
    </row>
    <row r="791" spans="2:7" x14ac:dyDescent="0.25">
      <c r="B791" s="7" t="s">
        <v>1434</v>
      </c>
      <c r="C791" s="8" t="s">
        <v>1435</v>
      </c>
      <c r="D791" s="4" t="s">
        <v>241</v>
      </c>
      <c r="E791" s="20" t="str">
        <f t="shared" si="36"/>
        <v>SO</v>
      </c>
      <c r="F791" s="16" t="str">
        <f t="shared" si="37"/>
        <v>IC</v>
      </c>
      <c r="G791" s="21" t="str">
        <f t="shared" si="38"/>
        <v>P</v>
      </c>
    </row>
    <row r="792" spans="2:7" x14ac:dyDescent="0.25">
      <c r="B792" s="7" t="s">
        <v>1436</v>
      </c>
      <c r="C792" s="8" t="s">
        <v>1437</v>
      </c>
      <c r="D792" s="4" t="s">
        <v>241</v>
      </c>
      <c r="E792" s="20" t="str">
        <f t="shared" si="36"/>
        <v>SO</v>
      </c>
      <c r="F792" s="16" t="str">
        <f t="shared" si="37"/>
        <v>R7</v>
      </c>
      <c r="G792" s="21" t="str">
        <f t="shared" si="38"/>
        <v>P</v>
      </c>
    </row>
    <row r="793" spans="2:7" x14ac:dyDescent="0.25">
      <c r="B793" s="7" t="s">
        <v>58</v>
      </c>
      <c r="C793" s="8" t="s">
        <v>59</v>
      </c>
      <c r="D793" s="4" t="s">
        <v>24</v>
      </c>
      <c r="E793" s="20" t="str">
        <f t="shared" si="36"/>
        <v>SO</v>
      </c>
      <c r="F793" s="16" t="str">
        <f t="shared" si="37"/>
        <v>RC</v>
      </c>
      <c r="G793" s="21" t="str">
        <f t="shared" si="38"/>
        <v>B</v>
      </c>
    </row>
    <row r="794" spans="2:7" x14ac:dyDescent="0.25">
      <c r="B794" s="7" t="s">
        <v>1438</v>
      </c>
      <c r="C794" s="8" t="s">
        <v>1439</v>
      </c>
      <c r="D794" s="4" t="s">
        <v>24</v>
      </c>
      <c r="E794" s="20" t="str">
        <f t="shared" si="36"/>
        <v>SO</v>
      </c>
      <c r="F794" s="16" t="str">
        <f t="shared" si="37"/>
        <v>TC</v>
      </c>
      <c r="G794" s="21" t="str">
        <f t="shared" si="38"/>
        <v>B</v>
      </c>
    </row>
    <row r="795" spans="2:7" x14ac:dyDescent="0.25">
      <c r="B795" s="7" t="s">
        <v>1440</v>
      </c>
      <c r="C795" s="8" t="s">
        <v>1441</v>
      </c>
      <c r="D795" s="4" t="s">
        <v>241</v>
      </c>
      <c r="E795" s="20" t="str">
        <f t="shared" si="36"/>
        <v>SO</v>
      </c>
      <c r="F795" s="16" t="str">
        <f t="shared" si="37"/>
        <v>TG</v>
      </c>
      <c r="G795" s="21" t="str">
        <f t="shared" si="38"/>
        <v>P</v>
      </c>
    </row>
    <row r="796" spans="2:7" x14ac:dyDescent="0.25">
      <c r="B796" s="7" t="s">
        <v>1442</v>
      </c>
      <c r="C796" s="8" t="s">
        <v>1443</v>
      </c>
      <c r="D796" s="4" t="s">
        <v>24</v>
      </c>
      <c r="E796" s="20" t="str">
        <f t="shared" si="36"/>
        <v>SO</v>
      </c>
      <c r="F796" s="16" t="str">
        <f t="shared" si="37"/>
        <v>TX</v>
      </c>
      <c r="G796" s="21" t="str">
        <f t="shared" si="38"/>
        <v>B</v>
      </c>
    </row>
    <row r="797" spans="2:7" x14ac:dyDescent="0.25">
      <c r="B797" s="7" t="s">
        <v>1444</v>
      </c>
      <c r="C797" s="8" t="s">
        <v>1445</v>
      </c>
      <c r="D797" s="4" t="s">
        <v>204</v>
      </c>
      <c r="E797" s="20" t="str">
        <f t="shared" si="36"/>
        <v>SP</v>
      </c>
      <c r="F797" s="16" t="str">
        <f t="shared" si="37"/>
        <v>CA</v>
      </c>
      <c r="G797" s="21" t="str">
        <f t="shared" si="38"/>
        <v>S</v>
      </c>
    </row>
    <row r="798" spans="2:7" x14ac:dyDescent="0.25">
      <c r="B798" s="7" t="s">
        <v>1446</v>
      </c>
      <c r="C798" s="8" t="s">
        <v>1447</v>
      </c>
      <c r="D798" s="4" t="s">
        <v>24</v>
      </c>
      <c r="E798" s="20" t="str">
        <f t="shared" si="36"/>
        <v>TE</v>
      </c>
      <c r="F798" s="16" t="str">
        <f t="shared" si="37"/>
        <v>AC</v>
      </c>
      <c r="G798" s="21" t="str">
        <f t="shared" si="38"/>
        <v>B</v>
      </c>
    </row>
    <row r="799" spans="2:7" x14ac:dyDescent="0.25">
      <c r="B799" s="7" t="s">
        <v>1448</v>
      </c>
      <c r="C799" s="8" t="s">
        <v>1449</v>
      </c>
      <c r="D799" s="4" t="s">
        <v>74</v>
      </c>
      <c r="E799" s="20" t="str">
        <f t="shared" si="36"/>
        <v>TE</v>
      </c>
      <c r="F799" s="16" t="str">
        <f t="shared" si="37"/>
        <v>AC</v>
      </c>
      <c r="G799" s="21" t="str">
        <f t="shared" si="38"/>
        <v>D</v>
      </c>
    </row>
    <row r="800" spans="2:7" x14ac:dyDescent="0.25">
      <c r="B800" s="7" t="s">
        <v>1450</v>
      </c>
      <c r="C800" s="8" t="s">
        <v>1451</v>
      </c>
      <c r="D800" s="4" t="s">
        <v>78</v>
      </c>
      <c r="E800" s="20" t="str">
        <f t="shared" si="36"/>
        <v>TE</v>
      </c>
      <c r="F800" s="16" t="str">
        <f t="shared" si="37"/>
        <v>AC</v>
      </c>
      <c r="G800" s="21" t="str">
        <f t="shared" si="38"/>
        <v>V</v>
      </c>
    </row>
    <row r="801" spans="2:7" x14ac:dyDescent="0.25">
      <c r="B801" s="7" t="s">
        <v>1452</v>
      </c>
      <c r="C801" s="8" t="s">
        <v>1453</v>
      </c>
      <c r="D801" s="4" t="s">
        <v>992</v>
      </c>
      <c r="E801" s="20" t="str">
        <f t="shared" si="36"/>
        <v>TE</v>
      </c>
      <c r="F801" s="16" t="str">
        <f t="shared" si="37"/>
        <v>AP</v>
      </c>
      <c r="G801" s="21" t="str">
        <f t="shared" si="38"/>
        <v>B</v>
      </c>
    </row>
    <row r="802" spans="2:7" x14ac:dyDescent="0.25">
      <c r="B802" s="7" t="s">
        <v>1454</v>
      </c>
      <c r="C802" s="8" t="s">
        <v>1455</v>
      </c>
      <c r="D802" s="4" t="s">
        <v>24</v>
      </c>
      <c r="E802" s="20" t="str">
        <f t="shared" si="36"/>
        <v>TE</v>
      </c>
      <c r="F802" s="16" t="str">
        <f t="shared" si="37"/>
        <v>CC</v>
      </c>
      <c r="G802" s="21" t="str">
        <f t="shared" si="38"/>
        <v>B</v>
      </c>
    </row>
    <row r="803" spans="2:7" x14ac:dyDescent="0.25">
      <c r="B803" s="7" t="s">
        <v>1456</v>
      </c>
      <c r="C803" s="8" t="s">
        <v>1457</v>
      </c>
      <c r="D803" s="4" t="s">
        <v>74</v>
      </c>
      <c r="E803" s="20" t="str">
        <f t="shared" si="36"/>
        <v>TE</v>
      </c>
      <c r="F803" s="16" t="str">
        <f t="shared" si="37"/>
        <v>CC</v>
      </c>
      <c r="G803" s="21" t="str">
        <f t="shared" si="38"/>
        <v>D</v>
      </c>
    </row>
    <row r="804" spans="2:7" x14ac:dyDescent="0.25">
      <c r="B804" s="7" t="s">
        <v>1458</v>
      </c>
      <c r="C804" s="8" t="s">
        <v>1459</v>
      </c>
      <c r="D804" s="4" t="s">
        <v>78</v>
      </c>
      <c r="E804" s="20" t="str">
        <f t="shared" si="36"/>
        <v>TE</v>
      </c>
      <c r="F804" s="16" t="str">
        <f t="shared" si="37"/>
        <v>CC</v>
      </c>
      <c r="G804" s="21" t="str">
        <f t="shared" si="38"/>
        <v>V</v>
      </c>
    </row>
    <row r="805" spans="2:7" x14ac:dyDescent="0.25">
      <c r="B805" s="7" t="s">
        <v>1460</v>
      </c>
      <c r="C805" s="8" t="s">
        <v>1461</v>
      </c>
      <c r="D805" s="4" t="s">
        <v>992</v>
      </c>
      <c r="E805" s="20" t="str">
        <f t="shared" si="36"/>
        <v>TE</v>
      </c>
      <c r="F805" s="16" t="str">
        <f t="shared" si="37"/>
        <v>CP</v>
      </c>
      <c r="G805" s="21" t="str">
        <f t="shared" si="38"/>
        <v>B</v>
      </c>
    </row>
    <row r="806" spans="2:7" x14ac:dyDescent="0.25">
      <c r="B806" s="7" t="s">
        <v>1462</v>
      </c>
      <c r="C806" s="8" t="s">
        <v>1463</v>
      </c>
      <c r="D806" s="4" t="s">
        <v>24</v>
      </c>
      <c r="E806" s="20" t="str">
        <f t="shared" si="36"/>
        <v>TE</v>
      </c>
      <c r="F806" s="16" t="str">
        <f t="shared" si="37"/>
        <v>EI</v>
      </c>
      <c r="G806" s="21" t="str">
        <f t="shared" si="38"/>
        <v>B</v>
      </c>
    </row>
    <row r="807" spans="2:7" x14ac:dyDescent="0.25">
      <c r="B807" s="7" t="s">
        <v>1464</v>
      </c>
      <c r="C807" s="8" t="s">
        <v>1465</v>
      </c>
      <c r="D807" s="4" t="s">
        <v>204</v>
      </c>
      <c r="E807" s="20" t="str">
        <f t="shared" si="36"/>
        <v>TE</v>
      </c>
      <c r="F807" s="16" t="str">
        <f t="shared" si="37"/>
        <v>GD</v>
      </c>
      <c r="G807" s="21" t="str">
        <f t="shared" si="38"/>
        <v>S</v>
      </c>
    </row>
    <row r="808" spans="2:7" x14ac:dyDescent="0.25">
      <c r="B808" s="7" t="s">
        <v>1466</v>
      </c>
      <c r="C808" s="8" t="s">
        <v>1467</v>
      </c>
      <c r="D808" s="4" t="s">
        <v>24</v>
      </c>
      <c r="E808" s="20" t="str">
        <f t="shared" si="36"/>
        <v>TE</v>
      </c>
      <c r="F808" s="16" t="str">
        <f t="shared" si="37"/>
        <v>IC</v>
      </c>
      <c r="G808" s="21" t="str">
        <f t="shared" si="38"/>
        <v>B</v>
      </c>
    </row>
    <row r="809" spans="2:7" x14ac:dyDescent="0.25">
      <c r="B809" s="7" t="s">
        <v>1468</v>
      </c>
      <c r="C809" s="8" t="s">
        <v>1469</v>
      </c>
      <c r="D809" s="4" t="s">
        <v>74</v>
      </c>
      <c r="E809" s="20" t="str">
        <f t="shared" si="36"/>
        <v>TE</v>
      </c>
      <c r="F809" s="16" t="str">
        <f t="shared" si="37"/>
        <v>IC</v>
      </c>
      <c r="G809" s="21" t="str">
        <f t="shared" si="38"/>
        <v>D</v>
      </c>
    </row>
    <row r="810" spans="2:7" x14ac:dyDescent="0.25">
      <c r="B810" s="7" t="s">
        <v>1470</v>
      </c>
      <c r="C810" s="8" t="s">
        <v>1471</v>
      </c>
      <c r="D810" s="4" t="s">
        <v>78</v>
      </c>
      <c r="E810" s="20" t="str">
        <f t="shared" si="36"/>
        <v>TE</v>
      </c>
      <c r="F810" s="16" t="str">
        <f t="shared" si="37"/>
        <v>IC</v>
      </c>
      <c r="G810" s="21" t="str">
        <f t="shared" si="38"/>
        <v>V</v>
      </c>
    </row>
    <row r="811" spans="2:7" x14ac:dyDescent="0.25">
      <c r="B811" s="7" t="s">
        <v>1472</v>
      </c>
      <c r="C811" s="8" t="s">
        <v>1473</v>
      </c>
      <c r="D811" s="4" t="s">
        <v>992</v>
      </c>
      <c r="E811" s="20" t="str">
        <f t="shared" si="36"/>
        <v>TE</v>
      </c>
      <c r="F811" s="16" t="str">
        <f t="shared" si="37"/>
        <v>IP</v>
      </c>
      <c r="G811" s="21" t="str">
        <f t="shared" si="38"/>
        <v>B</v>
      </c>
    </row>
    <row r="812" spans="2:7" x14ac:dyDescent="0.25">
      <c r="B812" s="7" t="s">
        <v>1474</v>
      </c>
      <c r="C812" s="8" t="s">
        <v>1475</v>
      </c>
      <c r="D812" s="4" t="s">
        <v>24</v>
      </c>
      <c r="E812" s="20" t="str">
        <f t="shared" si="36"/>
        <v>TE</v>
      </c>
      <c r="F812" s="16" t="str">
        <f t="shared" si="37"/>
        <v>PF</v>
      </c>
      <c r="G812" s="21" t="str">
        <f t="shared" si="38"/>
        <v>B</v>
      </c>
    </row>
    <row r="813" spans="2:7" x14ac:dyDescent="0.25">
      <c r="B813" s="7" t="s">
        <v>1476</v>
      </c>
      <c r="C813" s="8" t="s">
        <v>1477</v>
      </c>
      <c r="D813" s="4" t="s">
        <v>24</v>
      </c>
      <c r="E813" s="20" t="str">
        <f t="shared" si="36"/>
        <v>TE</v>
      </c>
      <c r="F813" s="16" t="str">
        <f t="shared" si="37"/>
        <v>PR</v>
      </c>
      <c r="G813" s="21" t="str">
        <f t="shared" si="38"/>
        <v>B</v>
      </c>
    </row>
    <row r="814" spans="2:7" x14ac:dyDescent="0.25">
      <c r="B814" s="7" t="s">
        <v>60</v>
      </c>
      <c r="C814" s="8" t="s">
        <v>61</v>
      </c>
      <c r="D814" s="4" t="s">
        <v>24</v>
      </c>
      <c r="E814" s="20" t="str">
        <f t="shared" si="36"/>
        <v>TE</v>
      </c>
      <c r="F814" s="16" t="str">
        <f t="shared" si="37"/>
        <v>RC</v>
      </c>
      <c r="G814" s="21" t="str">
        <f t="shared" si="38"/>
        <v>B</v>
      </c>
    </row>
    <row r="815" spans="2:7" x14ac:dyDescent="0.25">
      <c r="B815" s="7" t="s">
        <v>1478</v>
      </c>
      <c r="C815" s="8" t="s">
        <v>1479</v>
      </c>
      <c r="D815" s="4" t="s">
        <v>74</v>
      </c>
      <c r="E815" s="20" t="str">
        <f t="shared" si="36"/>
        <v>TE</v>
      </c>
      <c r="F815" s="16" t="str">
        <f t="shared" si="37"/>
        <v>RC</v>
      </c>
      <c r="G815" s="21" t="str">
        <f t="shared" si="38"/>
        <v>D</v>
      </c>
    </row>
    <row r="816" spans="2:7" x14ac:dyDescent="0.25">
      <c r="B816" s="7" t="s">
        <v>1480</v>
      </c>
      <c r="C816" s="8" t="s">
        <v>1481</v>
      </c>
      <c r="D816" s="4" t="s">
        <v>78</v>
      </c>
      <c r="E816" s="20" t="str">
        <f t="shared" si="36"/>
        <v>TE</v>
      </c>
      <c r="F816" s="16" t="str">
        <f t="shared" si="37"/>
        <v>RC</v>
      </c>
      <c r="G816" s="21" t="str">
        <f t="shared" si="38"/>
        <v>V</v>
      </c>
    </row>
    <row r="817" spans="2:7" x14ac:dyDescent="0.25">
      <c r="B817" s="7" t="s">
        <v>1482</v>
      </c>
      <c r="C817" s="8" t="s">
        <v>1483</v>
      </c>
      <c r="D817" s="4" t="s">
        <v>24</v>
      </c>
      <c r="E817" s="20" t="str">
        <f t="shared" si="36"/>
        <v>TE</v>
      </c>
      <c r="F817" s="16" t="str">
        <f t="shared" si="37"/>
        <v>RF</v>
      </c>
      <c r="G817" s="21" t="str">
        <f t="shared" si="38"/>
        <v>B</v>
      </c>
    </row>
    <row r="818" spans="2:7" x14ac:dyDescent="0.25">
      <c r="B818" s="7" t="s">
        <v>1484</v>
      </c>
      <c r="C818" s="8" t="s">
        <v>1485</v>
      </c>
      <c r="D818" s="4" t="s">
        <v>992</v>
      </c>
      <c r="E818" s="20" t="str">
        <f t="shared" si="36"/>
        <v>TE</v>
      </c>
      <c r="F818" s="16" t="str">
        <f t="shared" si="37"/>
        <v>RP</v>
      </c>
      <c r="G818" s="21" t="str">
        <f t="shared" si="38"/>
        <v>B</v>
      </c>
    </row>
    <row r="819" spans="2:7" x14ac:dyDescent="0.25">
      <c r="B819" s="7" t="s">
        <v>1486</v>
      </c>
      <c r="C819" s="8" t="s">
        <v>1487</v>
      </c>
      <c r="D819" s="4" t="s">
        <v>24</v>
      </c>
      <c r="E819" s="20" t="str">
        <f t="shared" si="36"/>
        <v>TE</v>
      </c>
      <c r="F819" s="16" t="str">
        <f t="shared" si="37"/>
        <v>TC</v>
      </c>
      <c r="G819" s="21" t="str">
        <f t="shared" si="38"/>
        <v>B</v>
      </c>
    </row>
    <row r="820" spans="2:7" x14ac:dyDescent="0.25">
      <c r="B820" s="7" t="s">
        <v>1488</v>
      </c>
      <c r="C820" s="8" t="s">
        <v>1489</v>
      </c>
      <c r="D820" s="4" t="s">
        <v>74</v>
      </c>
      <c r="E820" s="20" t="str">
        <f t="shared" si="36"/>
        <v>TE</v>
      </c>
      <c r="F820" s="16" t="str">
        <f t="shared" si="37"/>
        <v>TC</v>
      </c>
      <c r="G820" s="21" t="str">
        <f t="shared" si="38"/>
        <v>D</v>
      </c>
    </row>
    <row r="821" spans="2:7" x14ac:dyDescent="0.25">
      <c r="B821" s="7" t="s">
        <v>1490</v>
      </c>
      <c r="C821" s="8" t="s">
        <v>1491</v>
      </c>
      <c r="D821" s="4" t="s">
        <v>78</v>
      </c>
      <c r="E821" s="20" t="str">
        <f t="shared" si="36"/>
        <v>TE</v>
      </c>
      <c r="F821" s="16" t="str">
        <f t="shared" si="37"/>
        <v>TC</v>
      </c>
      <c r="G821" s="21" t="str">
        <f t="shared" si="38"/>
        <v>V</v>
      </c>
    </row>
    <row r="822" spans="2:7" x14ac:dyDescent="0.25">
      <c r="B822" s="7" t="s">
        <v>1492</v>
      </c>
      <c r="C822" s="8" t="s">
        <v>1493</v>
      </c>
      <c r="D822" s="4" t="s">
        <v>1494</v>
      </c>
      <c r="E822" s="20" t="str">
        <f t="shared" si="36"/>
        <v>TE</v>
      </c>
      <c r="F822" s="16" t="str">
        <f t="shared" si="37"/>
        <v>TG</v>
      </c>
      <c r="G822" s="21" t="str">
        <f t="shared" si="38"/>
        <v>R</v>
      </c>
    </row>
    <row r="823" spans="2:7" x14ac:dyDescent="0.25">
      <c r="B823" s="7" t="s">
        <v>1495</v>
      </c>
      <c r="C823" s="8" t="s">
        <v>1496</v>
      </c>
      <c r="D823" s="4" t="s">
        <v>992</v>
      </c>
      <c r="E823" s="20" t="str">
        <f t="shared" si="36"/>
        <v>TE</v>
      </c>
      <c r="F823" s="16" t="str">
        <f t="shared" si="37"/>
        <v>TP</v>
      </c>
      <c r="G823" s="21" t="str">
        <f t="shared" si="38"/>
        <v>B</v>
      </c>
    </row>
    <row r="824" spans="2:7" x14ac:dyDescent="0.25">
      <c r="B824" s="7" t="s">
        <v>1497</v>
      </c>
      <c r="C824" s="8" t="s">
        <v>1498</v>
      </c>
      <c r="D824" s="4" t="s">
        <v>895</v>
      </c>
      <c r="E824" s="20" t="str">
        <f t="shared" si="36"/>
        <v>TE</v>
      </c>
      <c r="F824" s="16" t="str">
        <f t="shared" si="37"/>
        <v>TP</v>
      </c>
      <c r="G824" s="21" t="str">
        <f t="shared" si="38"/>
        <v>V</v>
      </c>
    </row>
    <row r="825" spans="2:7" x14ac:dyDescent="0.25">
      <c r="B825" s="7" t="s">
        <v>1499</v>
      </c>
      <c r="C825" s="8" t="s">
        <v>1500</v>
      </c>
      <c r="D825" s="4" t="s">
        <v>24</v>
      </c>
      <c r="E825" s="20" t="str">
        <f t="shared" si="36"/>
        <v>TE</v>
      </c>
      <c r="F825" s="16" t="str">
        <f t="shared" si="37"/>
        <v>TX</v>
      </c>
      <c r="G825" s="21" t="str">
        <f t="shared" si="38"/>
        <v>B</v>
      </c>
    </row>
    <row r="826" spans="2:7" x14ac:dyDescent="0.25">
      <c r="B826" s="7" t="s">
        <v>1501</v>
      </c>
      <c r="C826" s="8" t="s">
        <v>1502</v>
      </c>
      <c r="D826" s="4" t="s">
        <v>74</v>
      </c>
      <c r="E826" s="20" t="str">
        <f t="shared" si="36"/>
        <v>TE</v>
      </c>
      <c r="F826" s="16" t="str">
        <f t="shared" si="37"/>
        <v>TX</v>
      </c>
      <c r="G826" s="21" t="str">
        <f t="shared" si="38"/>
        <v>D</v>
      </c>
    </row>
    <row r="827" spans="2:7" x14ac:dyDescent="0.25">
      <c r="B827" s="7" t="s">
        <v>1503</v>
      </c>
      <c r="C827" s="8" t="s">
        <v>1504</v>
      </c>
      <c r="D827" s="4" t="s">
        <v>78</v>
      </c>
      <c r="E827" s="20" t="str">
        <f t="shared" si="36"/>
        <v>TE</v>
      </c>
      <c r="F827" s="16" t="str">
        <f t="shared" si="37"/>
        <v>TX</v>
      </c>
      <c r="G827" s="21" t="str">
        <f t="shared" si="38"/>
        <v>V</v>
      </c>
    </row>
    <row r="828" spans="2:7" x14ac:dyDescent="0.25">
      <c r="B828" s="7" t="s">
        <v>1505</v>
      </c>
      <c r="C828" s="8" t="s">
        <v>1506</v>
      </c>
      <c r="D828" s="4" t="s">
        <v>24</v>
      </c>
      <c r="E828" s="20" t="str">
        <f t="shared" si="36"/>
        <v>TN</v>
      </c>
      <c r="F828" s="16" t="str">
        <f t="shared" si="37"/>
        <v>AC</v>
      </c>
      <c r="G828" s="21" t="str">
        <f t="shared" si="38"/>
        <v>B</v>
      </c>
    </row>
    <row r="829" spans="2:7" x14ac:dyDescent="0.25">
      <c r="B829" s="7" t="s">
        <v>1507</v>
      </c>
      <c r="C829" s="8" t="s">
        <v>1508</v>
      </c>
      <c r="D829" s="4" t="s">
        <v>24</v>
      </c>
      <c r="E829" s="20" t="str">
        <f t="shared" si="36"/>
        <v>TN</v>
      </c>
      <c r="F829" s="16" t="str">
        <f t="shared" si="37"/>
        <v>AS</v>
      </c>
      <c r="G829" s="21" t="str">
        <f t="shared" si="38"/>
        <v>B</v>
      </c>
    </row>
    <row r="830" spans="2:7" x14ac:dyDescent="0.25">
      <c r="B830" s="7" t="s">
        <v>1509</v>
      </c>
      <c r="C830" s="8" t="s">
        <v>1510</v>
      </c>
      <c r="D830" s="4" t="s">
        <v>24</v>
      </c>
      <c r="E830" s="20" t="str">
        <f t="shared" si="36"/>
        <v>TN</v>
      </c>
      <c r="F830" s="16" t="str">
        <f t="shared" si="37"/>
        <v>CC</v>
      </c>
      <c r="G830" s="21" t="str">
        <f t="shared" si="38"/>
        <v>B</v>
      </c>
    </row>
    <row r="831" spans="2:7" x14ac:dyDescent="0.25">
      <c r="B831" s="7" t="s">
        <v>1511</v>
      </c>
      <c r="C831" s="8" t="s">
        <v>1512</v>
      </c>
      <c r="D831" s="4" t="s">
        <v>24</v>
      </c>
      <c r="E831" s="20" t="str">
        <f t="shared" si="36"/>
        <v>TN</v>
      </c>
      <c r="F831" s="16" t="str">
        <f t="shared" si="37"/>
        <v>CS</v>
      </c>
      <c r="G831" s="21" t="str">
        <f t="shared" si="38"/>
        <v>B</v>
      </c>
    </row>
    <row r="832" spans="2:7" x14ac:dyDescent="0.25">
      <c r="B832" s="7" t="s">
        <v>1513</v>
      </c>
      <c r="C832" s="8" t="s">
        <v>1514</v>
      </c>
      <c r="D832" s="4" t="s">
        <v>24</v>
      </c>
      <c r="E832" s="20" t="str">
        <f t="shared" si="36"/>
        <v>TN</v>
      </c>
      <c r="F832" s="16" t="str">
        <f t="shared" si="37"/>
        <v>IC</v>
      </c>
      <c r="G832" s="21" t="str">
        <f t="shared" si="38"/>
        <v>B</v>
      </c>
    </row>
    <row r="833" spans="2:7" x14ac:dyDescent="0.25">
      <c r="B833" s="7" t="s">
        <v>1515</v>
      </c>
      <c r="C833" s="8" t="s">
        <v>1516</v>
      </c>
      <c r="D833" s="4" t="s">
        <v>24</v>
      </c>
      <c r="E833" s="20" t="str">
        <f t="shared" si="36"/>
        <v>TN</v>
      </c>
      <c r="F833" s="16" t="str">
        <f t="shared" si="37"/>
        <v>IS</v>
      </c>
      <c r="G833" s="21" t="str">
        <f t="shared" si="38"/>
        <v>B</v>
      </c>
    </row>
    <row r="834" spans="2:7" x14ac:dyDescent="0.25">
      <c r="B834" s="7" t="s">
        <v>62</v>
      </c>
      <c r="C834" s="8" t="s">
        <v>63</v>
      </c>
      <c r="D834" s="4" t="s">
        <v>24</v>
      </c>
      <c r="E834" s="20" t="str">
        <f t="shared" si="36"/>
        <v>TN</v>
      </c>
      <c r="F834" s="16" t="str">
        <f t="shared" si="37"/>
        <v>RC</v>
      </c>
      <c r="G834" s="21" t="str">
        <f t="shared" si="38"/>
        <v>B</v>
      </c>
    </row>
    <row r="835" spans="2:7" x14ac:dyDescent="0.25">
      <c r="B835" s="7" t="s">
        <v>1517</v>
      </c>
      <c r="C835" s="8" t="s">
        <v>1518</v>
      </c>
      <c r="D835" s="4" t="s">
        <v>24</v>
      </c>
      <c r="E835" s="20" t="str">
        <f t="shared" si="36"/>
        <v>TN</v>
      </c>
      <c r="F835" s="16" t="str">
        <f t="shared" si="37"/>
        <v>RS</v>
      </c>
      <c r="G835" s="21" t="str">
        <f t="shared" si="38"/>
        <v>B</v>
      </c>
    </row>
    <row r="836" spans="2:7" x14ac:dyDescent="0.25">
      <c r="B836" s="7" t="s">
        <v>1519</v>
      </c>
      <c r="C836" s="8" t="s">
        <v>1520</v>
      </c>
      <c r="D836" s="4" t="s">
        <v>24</v>
      </c>
      <c r="E836" s="20" t="str">
        <f t="shared" si="36"/>
        <v>TN</v>
      </c>
      <c r="F836" s="16" t="str">
        <f t="shared" si="37"/>
        <v>SC</v>
      </c>
      <c r="G836" s="21" t="str">
        <f t="shared" si="38"/>
        <v>B</v>
      </c>
    </row>
    <row r="837" spans="2:7" x14ac:dyDescent="0.25">
      <c r="B837" s="7" t="s">
        <v>1521</v>
      </c>
      <c r="C837" s="8" t="s">
        <v>1522</v>
      </c>
      <c r="D837" s="4" t="s">
        <v>24</v>
      </c>
      <c r="E837" s="20" t="str">
        <f t="shared" si="36"/>
        <v>TN</v>
      </c>
      <c r="F837" s="16" t="str">
        <f t="shared" si="37"/>
        <v>TC</v>
      </c>
      <c r="G837" s="21" t="str">
        <f t="shared" si="38"/>
        <v>B</v>
      </c>
    </row>
    <row r="838" spans="2:7" x14ac:dyDescent="0.25">
      <c r="B838" s="7" t="s">
        <v>1523</v>
      </c>
      <c r="C838" s="8" t="s">
        <v>1524</v>
      </c>
      <c r="D838" s="4" t="s">
        <v>1525</v>
      </c>
      <c r="E838" s="20" t="str">
        <f t="shared" si="36"/>
        <v>TP</v>
      </c>
      <c r="F838" s="16" t="str">
        <f t="shared" si="37"/>
        <v>OP</v>
      </c>
      <c r="G838" s="21" t="str">
        <f t="shared" si="38"/>
        <v>P</v>
      </c>
    </row>
    <row r="839" spans="2:7" x14ac:dyDescent="0.25">
      <c r="B839" s="7" t="s">
        <v>1526</v>
      </c>
      <c r="C839" s="8" t="s">
        <v>1527</v>
      </c>
      <c r="D839" s="4" t="s">
        <v>24</v>
      </c>
      <c r="E839" s="20" t="str">
        <f t="shared" si="36"/>
        <v>UO</v>
      </c>
      <c r="F839" s="16" t="str">
        <f t="shared" si="37"/>
        <v>IC</v>
      </c>
      <c r="G839" s="21" t="str">
        <f t="shared" si="38"/>
        <v>B</v>
      </c>
    </row>
    <row r="840" spans="2:7" x14ac:dyDescent="0.25">
      <c r="B840" s="7" t="s">
        <v>1528</v>
      </c>
      <c r="C840" s="8" t="s">
        <v>1527</v>
      </c>
      <c r="D840" s="4" t="s">
        <v>69</v>
      </c>
      <c r="E840" s="20" t="str">
        <f t="shared" si="36"/>
        <v>UO</v>
      </c>
      <c r="F840" s="16" t="str">
        <f t="shared" si="37"/>
        <v>IC</v>
      </c>
      <c r="G840" s="21" t="str">
        <f t="shared" si="38"/>
        <v>P</v>
      </c>
    </row>
    <row r="841" spans="2:7" x14ac:dyDescent="0.25">
      <c r="B841" s="7" t="s">
        <v>1529</v>
      </c>
      <c r="C841" s="8" t="s">
        <v>1530</v>
      </c>
      <c r="D841" s="4" t="s">
        <v>24</v>
      </c>
      <c r="E841" s="20" t="str">
        <f t="shared" si="36"/>
        <v>US</v>
      </c>
      <c r="F841" s="16" t="str">
        <f t="shared" si="37"/>
        <v>IC</v>
      </c>
      <c r="G841" s="21" t="str">
        <f t="shared" si="38"/>
        <v>B</v>
      </c>
    </row>
    <row r="842" spans="2:7" x14ac:dyDescent="0.25">
      <c r="B842" s="7" t="s">
        <v>1531</v>
      </c>
      <c r="C842" s="8" t="s">
        <v>1530</v>
      </c>
      <c r="D842" s="4" t="s">
        <v>69</v>
      </c>
      <c r="E842" s="20" t="str">
        <f t="shared" si="36"/>
        <v>US</v>
      </c>
      <c r="F842" s="16" t="str">
        <f t="shared" si="37"/>
        <v>IC</v>
      </c>
      <c r="G842" s="21" t="str">
        <f t="shared" si="38"/>
        <v>P</v>
      </c>
    </row>
    <row r="843" spans="2:7" x14ac:dyDescent="0.25">
      <c r="B843" s="7" t="s">
        <v>1532</v>
      </c>
      <c r="C843" s="8" t="s">
        <v>1533</v>
      </c>
      <c r="D843" s="4" t="s">
        <v>24</v>
      </c>
      <c r="E843" s="20" t="str">
        <f t="shared" si="36"/>
        <v>WD</v>
      </c>
      <c r="F843" s="16" t="str">
        <f t="shared" si="37"/>
        <v>CC</v>
      </c>
      <c r="G843" s="21" t="str">
        <f t="shared" si="38"/>
        <v>B</v>
      </c>
    </row>
    <row r="844" spans="2:7" x14ac:dyDescent="0.25">
      <c r="B844" s="7" t="s">
        <v>1534</v>
      </c>
      <c r="C844" s="8" t="s">
        <v>1535</v>
      </c>
      <c r="D844" s="4" t="s">
        <v>24</v>
      </c>
      <c r="E844" s="20" t="str">
        <f t="shared" si="36"/>
        <v>WD</v>
      </c>
      <c r="F844" s="16" t="str">
        <f t="shared" si="37"/>
        <v>EI</v>
      </c>
      <c r="G844" s="21" t="str">
        <f t="shared" si="38"/>
        <v>B</v>
      </c>
    </row>
    <row r="845" spans="2:7" x14ac:dyDescent="0.25">
      <c r="B845" s="7" t="s">
        <v>1536</v>
      </c>
      <c r="C845" s="8" t="s">
        <v>1537</v>
      </c>
      <c r="D845" s="4" t="s">
        <v>24</v>
      </c>
      <c r="E845" s="20" t="str">
        <f t="shared" si="36"/>
        <v>WD</v>
      </c>
      <c r="F845" s="16" t="str">
        <f t="shared" si="37"/>
        <v>EX</v>
      </c>
      <c r="G845" s="21" t="str">
        <f t="shared" si="38"/>
        <v>B</v>
      </c>
    </row>
    <row r="846" spans="2:7" x14ac:dyDescent="0.25">
      <c r="B846" s="7" t="s">
        <v>1538</v>
      </c>
      <c r="C846" s="8" t="s">
        <v>1539</v>
      </c>
      <c r="D846" s="4" t="s">
        <v>235</v>
      </c>
      <c r="E846" s="20" t="str">
        <f t="shared" si="36"/>
        <v>WD</v>
      </c>
      <c r="F846" s="16" t="str">
        <f t="shared" si="37"/>
        <v>GB</v>
      </c>
      <c r="G846" s="21" t="str">
        <f t="shared" si="38"/>
        <v>P</v>
      </c>
    </row>
    <row r="847" spans="2:7" x14ac:dyDescent="0.25">
      <c r="B847" s="7" t="s">
        <v>1540</v>
      </c>
      <c r="C847" s="8" t="s">
        <v>1541</v>
      </c>
      <c r="D847" s="4" t="s">
        <v>24</v>
      </c>
      <c r="E847" s="20" t="str">
        <f t="shared" si="36"/>
        <v>WD</v>
      </c>
      <c r="F847" s="16" t="str">
        <f t="shared" si="37"/>
        <v>IC</v>
      </c>
      <c r="G847" s="21" t="str">
        <f t="shared" si="38"/>
        <v>B</v>
      </c>
    </row>
    <row r="848" spans="2:7" x14ac:dyDescent="0.25">
      <c r="B848" s="7" t="s">
        <v>1542</v>
      </c>
      <c r="C848" s="8" t="s">
        <v>1543</v>
      </c>
      <c r="D848" s="4" t="s">
        <v>24</v>
      </c>
      <c r="E848" s="20" t="str">
        <f t="shared" ref="E848:E900" si="39">LEFT(B848,2)</f>
        <v>WD</v>
      </c>
      <c r="F848" s="16" t="str">
        <f t="shared" ref="F848:F900" si="40">MID(B848,3,2)</f>
        <v>PR</v>
      </c>
      <c r="G848" s="21" t="str">
        <f t="shared" ref="G848:G900" si="41">RIGHT(B848,1)</f>
        <v>B</v>
      </c>
    </row>
    <row r="849" spans="2:7" x14ac:dyDescent="0.25">
      <c r="B849" s="7" t="s">
        <v>64</v>
      </c>
      <c r="C849" s="8" t="s">
        <v>65</v>
      </c>
      <c r="D849" s="4" t="s">
        <v>24</v>
      </c>
      <c r="E849" s="20" t="str">
        <f t="shared" si="39"/>
        <v>WD</v>
      </c>
      <c r="F849" s="16" t="str">
        <f t="shared" si="40"/>
        <v>RC</v>
      </c>
      <c r="G849" s="21" t="str">
        <f t="shared" si="41"/>
        <v>B</v>
      </c>
    </row>
    <row r="850" spans="2:7" x14ac:dyDescent="0.25">
      <c r="B850" s="7" t="s">
        <v>1544</v>
      </c>
      <c r="C850" s="8" t="s">
        <v>1545</v>
      </c>
      <c r="D850" s="4" t="s">
        <v>74</v>
      </c>
      <c r="E850" s="20" t="str">
        <f t="shared" si="39"/>
        <v>WD</v>
      </c>
      <c r="F850" s="16" t="str">
        <f t="shared" si="40"/>
        <v>RC</v>
      </c>
      <c r="G850" s="21" t="str">
        <f t="shared" si="41"/>
        <v>D</v>
      </c>
    </row>
    <row r="851" spans="2:7" x14ac:dyDescent="0.25">
      <c r="B851" s="7" t="s">
        <v>1546</v>
      </c>
      <c r="C851" s="8" t="s">
        <v>1547</v>
      </c>
      <c r="D851" s="4" t="s">
        <v>78</v>
      </c>
      <c r="E851" s="20" t="str">
        <f t="shared" si="39"/>
        <v>WD</v>
      </c>
      <c r="F851" s="16" t="str">
        <f t="shared" si="40"/>
        <v>RC</v>
      </c>
      <c r="G851" s="21" t="str">
        <f t="shared" si="41"/>
        <v>V</v>
      </c>
    </row>
    <row r="852" spans="2:7" x14ac:dyDescent="0.25">
      <c r="B852" s="7" t="s">
        <v>1548</v>
      </c>
      <c r="C852" s="8" t="s">
        <v>1549</v>
      </c>
      <c r="D852" s="4" t="s">
        <v>24</v>
      </c>
      <c r="E852" s="20" t="str">
        <f t="shared" si="39"/>
        <v>WD</v>
      </c>
      <c r="F852" s="16" t="str">
        <f t="shared" si="40"/>
        <v>RS</v>
      </c>
      <c r="G852" s="21" t="str">
        <f t="shared" si="41"/>
        <v>B</v>
      </c>
    </row>
    <row r="853" spans="2:7" x14ac:dyDescent="0.25">
      <c r="B853" s="7" t="s">
        <v>1550</v>
      </c>
      <c r="C853" s="8" t="s">
        <v>1551</v>
      </c>
      <c r="D853" s="4" t="s">
        <v>24</v>
      </c>
      <c r="E853" s="20" t="str">
        <f t="shared" si="39"/>
        <v>WD</v>
      </c>
      <c r="F853" s="16" t="str">
        <f t="shared" si="40"/>
        <v>RX</v>
      </c>
      <c r="G853" s="21" t="str">
        <f t="shared" si="41"/>
        <v>B</v>
      </c>
    </row>
    <row r="854" spans="2:7" x14ac:dyDescent="0.25">
      <c r="B854" s="7" t="s">
        <v>1552</v>
      </c>
      <c r="C854" s="8" t="s">
        <v>1553</v>
      </c>
      <c r="D854" s="4" t="s">
        <v>24</v>
      </c>
      <c r="E854" s="20" t="str">
        <f t="shared" si="39"/>
        <v>WD</v>
      </c>
      <c r="F854" s="16" t="str">
        <f t="shared" si="40"/>
        <v>TC</v>
      </c>
      <c r="G854" s="21" t="str">
        <f t="shared" si="41"/>
        <v>B</v>
      </c>
    </row>
    <row r="855" spans="2:7" x14ac:dyDescent="0.25">
      <c r="B855" s="7" t="s">
        <v>1554</v>
      </c>
      <c r="C855" s="8" t="s">
        <v>1555</v>
      </c>
      <c r="D855" s="4" t="s">
        <v>24</v>
      </c>
      <c r="E855" s="20" t="str">
        <f t="shared" si="39"/>
        <v>WS</v>
      </c>
      <c r="F855" s="16" t="str">
        <f t="shared" si="40"/>
        <v>CC</v>
      </c>
      <c r="G855" s="21" t="str">
        <f t="shared" si="41"/>
        <v>B</v>
      </c>
    </row>
    <row r="856" spans="2:7" x14ac:dyDescent="0.25">
      <c r="B856" s="7" t="s">
        <v>1556</v>
      </c>
      <c r="C856" s="8" t="s">
        <v>1557</v>
      </c>
      <c r="D856" s="4" t="s">
        <v>24</v>
      </c>
      <c r="E856" s="20" t="str">
        <f t="shared" si="39"/>
        <v>WS</v>
      </c>
      <c r="F856" s="16" t="str">
        <f t="shared" si="40"/>
        <v>EI</v>
      </c>
      <c r="G856" s="21" t="str">
        <f t="shared" si="41"/>
        <v>B</v>
      </c>
    </row>
    <row r="857" spans="2:7" x14ac:dyDescent="0.25">
      <c r="B857" s="7" t="s">
        <v>1558</v>
      </c>
      <c r="C857" s="8" t="s">
        <v>1559</v>
      </c>
      <c r="D857" s="4" t="s">
        <v>235</v>
      </c>
      <c r="E857" s="20" t="str">
        <f t="shared" si="39"/>
        <v>WS</v>
      </c>
      <c r="F857" s="16" t="str">
        <f t="shared" si="40"/>
        <v>GB</v>
      </c>
      <c r="G857" s="21" t="str">
        <f t="shared" si="41"/>
        <v>P</v>
      </c>
    </row>
    <row r="858" spans="2:7" x14ac:dyDescent="0.25">
      <c r="B858" s="7" t="s">
        <v>1560</v>
      </c>
      <c r="C858" s="8" t="s">
        <v>1561</v>
      </c>
      <c r="D858" s="4" t="s">
        <v>24</v>
      </c>
      <c r="E858" s="20" t="str">
        <f t="shared" si="39"/>
        <v>WS</v>
      </c>
      <c r="F858" s="16" t="str">
        <f t="shared" si="40"/>
        <v>IC</v>
      </c>
      <c r="G858" s="21" t="str">
        <f t="shared" si="41"/>
        <v>B</v>
      </c>
    </row>
    <row r="859" spans="2:7" x14ac:dyDescent="0.25">
      <c r="B859" s="7" t="s">
        <v>1562</v>
      </c>
      <c r="C859" s="8" t="s">
        <v>1563</v>
      </c>
      <c r="D859" s="4" t="s">
        <v>24</v>
      </c>
      <c r="E859" s="20" t="str">
        <f t="shared" si="39"/>
        <v>WS</v>
      </c>
      <c r="F859" s="16" t="str">
        <f t="shared" si="40"/>
        <v>TC</v>
      </c>
      <c r="G859" s="21" t="str">
        <f t="shared" si="41"/>
        <v>B</v>
      </c>
    </row>
    <row r="860" spans="2:7" x14ac:dyDescent="0.25">
      <c r="B860" s="7" t="s">
        <v>1564</v>
      </c>
      <c r="C860" s="8" t="s">
        <v>1565</v>
      </c>
      <c r="D860" s="4" t="s">
        <v>24</v>
      </c>
      <c r="E860" s="20" t="str">
        <f t="shared" si="39"/>
        <v>WW</v>
      </c>
      <c r="F860" s="16" t="str">
        <f t="shared" si="40"/>
        <v>CC</v>
      </c>
      <c r="G860" s="21" t="str">
        <f t="shared" si="41"/>
        <v>B</v>
      </c>
    </row>
    <row r="861" spans="2:7" x14ac:dyDescent="0.25">
      <c r="B861" s="7" t="s">
        <v>1566</v>
      </c>
      <c r="C861" s="8" t="s">
        <v>1567</v>
      </c>
      <c r="D861" s="4" t="s">
        <v>74</v>
      </c>
      <c r="E861" s="20" t="str">
        <f t="shared" si="39"/>
        <v>WW</v>
      </c>
      <c r="F861" s="16" t="str">
        <f t="shared" si="40"/>
        <v>CC</v>
      </c>
      <c r="G861" s="21" t="str">
        <f t="shared" si="41"/>
        <v>D</v>
      </c>
    </row>
    <row r="862" spans="2:7" x14ac:dyDescent="0.25">
      <c r="B862" s="7" t="s">
        <v>1568</v>
      </c>
      <c r="C862" s="8" t="s">
        <v>1569</v>
      </c>
      <c r="D862" s="4" t="s">
        <v>78</v>
      </c>
      <c r="E862" s="20" t="str">
        <f t="shared" si="39"/>
        <v>WW</v>
      </c>
      <c r="F862" s="16" t="str">
        <f t="shared" si="40"/>
        <v>CC</v>
      </c>
      <c r="G862" s="21" t="str">
        <f t="shared" si="41"/>
        <v>V</v>
      </c>
    </row>
    <row r="863" spans="2:7" x14ac:dyDescent="0.25">
      <c r="B863" s="7" t="s">
        <v>1570</v>
      </c>
      <c r="C863" s="8" t="s">
        <v>1571</v>
      </c>
      <c r="D863" s="4" t="s">
        <v>24</v>
      </c>
      <c r="E863" s="20" t="str">
        <f t="shared" si="39"/>
        <v>WW</v>
      </c>
      <c r="F863" s="16" t="str">
        <f t="shared" si="40"/>
        <v>CS</v>
      </c>
      <c r="G863" s="21" t="str">
        <f t="shared" si="41"/>
        <v>B</v>
      </c>
    </row>
    <row r="864" spans="2:7" x14ac:dyDescent="0.25">
      <c r="B864" s="7" t="s">
        <v>1572</v>
      </c>
      <c r="C864" s="8" t="s">
        <v>1573</v>
      </c>
      <c r="D864" s="4" t="s">
        <v>24</v>
      </c>
      <c r="E864" s="20" t="str">
        <f t="shared" si="39"/>
        <v>WW</v>
      </c>
      <c r="F864" s="16" t="str">
        <f t="shared" si="40"/>
        <v>CX</v>
      </c>
      <c r="G864" s="21" t="str">
        <f t="shared" si="41"/>
        <v>B</v>
      </c>
    </row>
    <row r="865" spans="2:7" x14ac:dyDescent="0.25">
      <c r="B865" s="7" t="s">
        <v>1574</v>
      </c>
      <c r="C865" s="8" t="s">
        <v>1575</v>
      </c>
      <c r="D865" s="4" t="s">
        <v>24</v>
      </c>
      <c r="E865" s="20" t="str">
        <f t="shared" si="39"/>
        <v>WW</v>
      </c>
      <c r="F865" s="16" t="str">
        <f t="shared" si="40"/>
        <v>EI</v>
      </c>
      <c r="G865" s="21" t="str">
        <f t="shared" si="41"/>
        <v>B</v>
      </c>
    </row>
    <row r="866" spans="2:7" x14ac:dyDescent="0.25">
      <c r="B866" s="7" t="s">
        <v>1576</v>
      </c>
      <c r="C866" s="8" t="s">
        <v>1577</v>
      </c>
      <c r="D866" s="4" t="s">
        <v>74</v>
      </c>
      <c r="E866" s="20" t="str">
        <f t="shared" si="39"/>
        <v>WW</v>
      </c>
      <c r="F866" s="16" t="str">
        <f t="shared" si="40"/>
        <v>EI</v>
      </c>
      <c r="G866" s="21" t="str">
        <f t="shared" si="41"/>
        <v>D</v>
      </c>
    </row>
    <row r="867" spans="2:7" x14ac:dyDescent="0.25">
      <c r="B867" s="7" t="s">
        <v>1578</v>
      </c>
      <c r="C867" s="8" t="s">
        <v>1579</v>
      </c>
      <c r="D867" s="4" t="s">
        <v>78</v>
      </c>
      <c r="E867" s="20" t="str">
        <f t="shared" si="39"/>
        <v>WW</v>
      </c>
      <c r="F867" s="16" t="str">
        <f t="shared" si="40"/>
        <v>EI</v>
      </c>
      <c r="G867" s="21" t="str">
        <f t="shared" si="41"/>
        <v>V</v>
      </c>
    </row>
    <row r="868" spans="2:7" x14ac:dyDescent="0.25">
      <c r="B868" s="7" t="s">
        <v>1580</v>
      </c>
      <c r="C868" s="8" t="s">
        <v>1581</v>
      </c>
      <c r="D868" s="4" t="s">
        <v>24</v>
      </c>
      <c r="E868" s="20" t="str">
        <f t="shared" si="39"/>
        <v>WW</v>
      </c>
      <c r="F868" s="16" t="str">
        <f t="shared" si="40"/>
        <v>IC</v>
      </c>
      <c r="G868" s="21" t="str">
        <f t="shared" si="41"/>
        <v>B</v>
      </c>
    </row>
    <row r="869" spans="2:7" x14ac:dyDescent="0.25">
      <c r="B869" s="7" t="s">
        <v>1582</v>
      </c>
      <c r="C869" s="8" t="s">
        <v>1583</v>
      </c>
      <c r="D869" s="4" t="s">
        <v>74</v>
      </c>
      <c r="E869" s="20" t="str">
        <f t="shared" si="39"/>
        <v>WW</v>
      </c>
      <c r="F869" s="16" t="str">
        <f t="shared" si="40"/>
        <v>IC</v>
      </c>
      <c r="G869" s="21" t="str">
        <f t="shared" si="41"/>
        <v>D</v>
      </c>
    </row>
    <row r="870" spans="2:7" x14ac:dyDescent="0.25">
      <c r="B870" s="7" t="s">
        <v>1584</v>
      </c>
      <c r="C870" s="8" t="s">
        <v>1585</v>
      </c>
      <c r="D870" s="4" t="s">
        <v>78</v>
      </c>
      <c r="E870" s="20" t="str">
        <f t="shared" si="39"/>
        <v>WW</v>
      </c>
      <c r="F870" s="16" t="str">
        <f t="shared" si="40"/>
        <v>IC</v>
      </c>
      <c r="G870" s="21" t="str">
        <f t="shared" si="41"/>
        <v>V</v>
      </c>
    </row>
    <row r="871" spans="2:7" x14ac:dyDescent="0.25">
      <c r="B871" s="7" t="s">
        <v>1586</v>
      </c>
      <c r="C871" s="8" t="s">
        <v>1587</v>
      </c>
      <c r="D871" s="4" t="s">
        <v>24</v>
      </c>
      <c r="E871" s="20" t="str">
        <f t="shared" si="39"/>
        <v>WW</v>
      </c>
      <c r="F871" s="16" t="str">
        <f t="shared" si="40"/>
        <v>IS</v>
      </c>
      <c r="G871" s="21" t="str">
        <f t="shared" si="41"/>
        <v>B</v>
      </c>
    </row>
    <row r="872" spans="2:7" x14ac:dyDescent="0.25">
      <c r="B872" s="7" t="s">
        <v>1588</v>
      </c>
      <c r="C872" s="8" t="s">
        <v>1589</v>
      </c>
      <c r="D872" s="4" t="s">
        <v>24</v>
      </c>
      <c r="E872" s="20" t="str">
        <f t="shared" si="39"/>
        <v>WW</v>
      </c>
      <c r="F872" s="16" t="str">
        <f t="shared" si="40"/>
        <v>IX</v>
      </c>
      <c r="G872" s="21" t="str">
        <f t="shared" si="41"/>
        <v>B</v>
      </c>
    </row>
    <row r="873" spans="2:7" x14ac:dyDescent="0.25">
      <c r="B873" s="7" t="s">
        <v>1590</v>
      </c>
      <c r="C873" s="8" t="s">
        <v>1591</v>
      </c>
      <c r="D873" s="4" t="s">
        <v>24</v>
      </c>
      <c r="E873" s="20" t="str">
        <f t="shared" si="39"/>
        <v>WW</v>
      </c>
      <c r="F873" s="16" t="str">
        <f t="shared" si="40"/>
        <v>PR</v>
      </c>
      <c r="G873" s="21" t="str">
        <f t="shared" si="41"/>
        <v>B</v>
      </c>
    </row>
    <row r="874" spans="2:7" x14ac:dyDescent="0.25">
      <c r="B874" s="7" t="s">
        <v>1592</v>
      </c>
      <c r="C874" s="8" t="s">
        <v>1593</v>
      </c>
      <c r="D874" s="4" t="s">
        <v>24</v>
      </c>
      <c r="E874" s="20" t="str">
        <f t="shared" si="39"/>
        <v>WW</v>
      </c>
      <c r="F874" s="16" t="str">
        <f t="shared" si="40"/>
        <v>SC</v>
      </c>
      <c r="G874" s="21" t="str">
        <f t="shared" si="41"/>
        <v>B</v>
      </c>
    </row>
    <row r="875" spans="2:7" x14ac:dyDescent="0.25">
      <c r="B875" s="7" t="s">
        <v>1594</v>
      </c>
      <c r="C875" s="8" t="s">
        <v>1595</v>
      </c>
      <c r="D875" s="4" t="s">
        <v>24</v>
      </c>
      <c r="E875" s="20" t="str">
        <f t="shared" si="39"/>
        <v>WW</v>
      </c>
      <c r="F875" s="16" t="str">
        <f t="shared" si="40"/>
        <v>TC</v>
      </c>
      <c r="G875" s="21" t="str">
        <f t="shared" si="41"/>
        <v>B</v>
      </c>
    </row>
    <row r="876" spans="2:7" x14ac:dyDescent="0.25">
      <c r="B876" s="7" t="s">
        <v>1596</v>
      </c>
      <c r="C876" s="8" t="s">
        <v>1597</v>
      </c>
      <c r="D876" s="4" t="s">
        <v>74</v>
      </c>
      <c r="E876" s="20" t="str">
        <f t="shared" si="39"/>
        <v>WW</v>
      </c>
      <c r="F876" s="16" t="str">
        <f t="shared" si="40"/>
        <v>TC</v>
      </c>
      <c r="G876" s="21" t="str">
        <f t="shared" si="41"/>
        <v>D</v>
      </c>
    </row>
    <row r="877" spans="2:7" x14ac:dyDescent="0.25">
      <c r="B877" s="7" t="s">
        <v>1598</v>
      </c>
      <c r="C877" s="8" t="s">
        <v>1599</v>
      </c>
      <c r="D877" s="4" t="s">
        <v>78</v>
      </c>
      <c r="E877" s="20" t="str">
        <f t="shared" si="39"/>
        <v>WW</v>
      </c>
      <c r="F877" s="16" t="str">
        <f t="shared" si="40"/>
        <v>TC</v>
      </c>
      <c r="G877" s="21" t="str">
        <f t="shared" si="41"/>
        <v>V</v>
      </c>
    </row>
    <row r="878" spans="2:7" x14ac:dyDescent="0.25">
      <c r="B878" s="7" t="s">
        <v>1600</v>
      </c>
      <c r="C878" s="8" t="s">
        <v>1601</v>
      </c>
      <c r="D878" s="4" t="s">
        <v>24</v>
      </c>
      <c r="E878" s="20" t="str">
        <f t="shared" si="39"/>
        <v>WW</v>
      </c>
      <c r="F878" s="16" t="str">
        <f t="shared" si="40"/>
        <v>TX</v>
      </c>
      <c r="G878" s="21" t="str">
        <f t="shared" si="41"/>
        <v>B</v>
      </c>
    </row>
    <row r="879" spans="2:7" x14ac:dyDescent="0.25">
      <c r="B879" s="7" t="s">
        <v>1602</v>
      </c>
      <c r="C879" s="8" t="s">
        <v>1603</v>
      </c>
      <c r="D879" s="4" t="s">
        <v>74</v>
      </c>
      <c r="E879" s="20" t="str">
        <f t="shared" si="39"/>
        <v>WW</v>
      </c>
      <c r="F879" s="16" t="str">
        <f t="shared" si="40"/>
        <v>TX</v>
      </c>
      <c r="G879" s="21" t="str">
        <f t="shared" si="41"/>
        <v>D</v>
      </c>
    </row>
    <row r="880" spans="2:7" x14ac:dyDescent="0.25">
      <c r="B880" s="7" t="s">
        <v>1604</v>
      </c>
      <c r="C880" s="8" t="s">
        <v>1605</v>
      </c>
      <c r="D880" s="4" t="s">
        <v>78</v>
      </c>
      <c r="E880" s="20" t="str">
        <f t="shared" si="39"/>
        <v>WW</v>
      </c>
      <c r="F880" s="16" t="str">
        <f t="shared" si="40"/>
        <v>TX</v>
      </c>
      <c r="G880" s="21" t="str">
        <f t="shared" si="41"/>
        <v>V</v>
      </c>
    </row>
    <row r="881" spans="2:7" x14ac:dyDescent="0.25">
      <c r="B881" s="7" t="s">
        <v>1606</v>
      </c>
      <c r="C881" s="8" t="s">
        <v>1607</v>
      </c>
      <c r="D881" s="4" t="s">
        <v>24</v>
      </c>
      <c r="E881" s="20" t="str">
        <f t="shared" si="39"/>
        <v>WX</v>
      </c>
      <c r="F881" s="16" t="str">
        <f t="shared" si="40"/>
        <v>IC</v>
      </c>
      <c r="G881" s="21" t="str">
        <f t="shared" si="41"/>
        <v>B</v>
      </c>
    </row>
    <row r="882" spans="2:7" x14ac:dyDescent="0.25">
      <c r="B882" s="7" t="s">
        <v>1608</v>
      </c>
      <c r="C882" s="8" t="s">
        <v>1609</v>
      </c>
      <c r="D882" s="4" t="s">
        <v>74</v>
      </c>
      <c r="E882" s="20" t="str">
        <f t="shared" si="39"/>
        <v>WX</v>
      </c>
      <c r="F882" s="16" t="str">
        <f t="shared" si="40"/>
        <v>IC</v>
      </c>
      <c r="G882" s="21" t="str">
        <f t="shared" si="41"/>
        <v>D</v>
      </c>
    </row>
    <row r="883" spans="2:7" x14ac:dyDescent="0.25">
      <c r="B883" s="7" t="s">
        <v>1610</v>
      </c>
      <c r="C883" s="8" t="s">
        <v>1607</v>
      </c>
      <c r="D883" s="4" t="s">
        <v>69</v>
      </c>
      <c r="E883" s="20" t="str">
        <f t="shared" si="39"/>
        <v>WX</v>
      </c>
      <c r="F883" s="16" t="str">
        <f t="shared" si="40"/>
        <v>IC</v>
      </c>
      <c r="G883" s="21" t="str">
        <f t="shared" si="41"/>
        <v>P</v>
      </c>
    </row>
    <row r="884" spans="2:7" x14ac:dyDescent="0.25">
      <c r="B884" s="7" t="s">
        <v>1611</v>
      </c>
      <c r="C884" s="8" t="s">
        <v>1612</v>
      </c>
      <c r="D884" s="4" t="s">
        <v>78</v>
      </c>
      <c r="E884" s="20" t="str">
        <f t="shared" si="39"/>
        <v>WX</v>
      </c>
      <c r="F884" s="16" t="str">
        <f t="shared" si="40"/>
        <v>IC</v>
      </c>
      <c r="G884" s="21" t="str">
        <f t="shared" si="41"/>
        <v>V</v>
      </c>
    </row>
    <row r="885" spans="2:7" x14ac:dyDescent="0.25">
      <c r="B885" s="7" t="s">
        <v>1613</v>
      </c>
      <c r="C885" s="8" t="s">
        <v>1614</v>
      </c>
      <c r="D885" s="4" t="s">
        <v>204</v>
      </c>
      <c r="E885" s="20" t="str">
        <f t="shared" si="39"/>
        <v>WY</v>
      </c>
      <c r="F885" s="16" t="str">
        <f t="shared" si="40"/>
        <v>CA</v>
      </c>
      <c r="G885" s="21" t="str">
        <f t="shared" si="41"/>
        <v>S</v>
      </c>
    </row>
    <row r="886" spans="2:7" x14ac:dyDescent="0.25">
      <c r="B886" s="7" t="s">
        <v>1615</v>
      </c>
      <c r="C886" s="8" t="s">
        <v>1616</v>
      </c>
      <c r="D886" s="4" t="s">
        <v>24</v>
      </c>
      <c r="E886" s="20" t="str">
        <f t="shared" si="39"/>
        <v>WY</v>
      </c>
      <c r="F886" s="16" t="str">
        <f t="shared" si="40"/>
        <v>CC</v>
      </c>
      <c r="G886" s="21" t="str">
        <f t="shared" si="41"/>
        <v>B</v>
      </c>
    </row>
    <row r="887" spans="2:7" x14ac:dyDescent="0.25">
      <c r="B887" s="7" t="s">
        <v>1617</v>
      </c>
      <c r="C887" s="8" t="s">
        <v>1618</v>
      </c>
      <c r="D887" s="4" t="s">
        <v>241</v>
      </c>
      <c r="E887" s="20" t="str">
        <f t="shared" si="39"/>
        <v>WY</v>
      </c>
      <c r="F887" s="16" t="str">
        <f t="shared" si="40"/>
        <v>CC</v>
      </c>
      <c r="G887" s="21" t="str">
        <f t="shared" si="41"/>
        <v>P</v>
      </c>
    </row>
    <row r="888" spans="2:7" x14ac:dyDescent="0.25">
      <c r="B888" s="7" t="s">
        <v>1619</v>
      </c>
      <c r="C888" s="8" t="s">
        <v>1620</v>
      </c>
      <c r="D888" s="4" t="s">
        <v>24</v>
      </c>
      <c r="E888" s="20" t="str">
        <f t="shared" si="39"/>
        <v>WY</v>
      </c>
      <c r="F888" s="16" t="str">
        <f t="shared" si="40"/>
        <v>EG</v>
      </c>
      <c r="G888" s="21" t="str">
        <f t="shared" si="41"/>
        <v>B</v>
      </c>
    </row>
    <row r="889" spans="2:7" x14ac:dyDescent="0.25">
      <c r="B889" s="7" t="s">
        <v>1621</v>
      </c>
      <c r="C889" s="8" t="s">
        <v>1622</v>
      </c>
      <c r="D889" s="4" t="s">
        <v>241</v>
      </c>
      <c r="E889" s="20" t="str">
        <f t="shared" si="39"/>
        <v>WY</v>
      </c>
      <c r="F889" s="16" t="str">
        <f t="shared" si="40"/>
        <v>EG</v>
      </c>
      <c r="G889" s="21" t="str">
        <f t="shared" si="41"/>
        <v>P</v>
      </c>
    </row>
    <row r="890" spans="2:7" x14ac:dyDescent="0.25">
      <c r="B890" s="7" t="s">
        <v>1623</v>
      </c>
      <c r="C890" s="8" t="s">
        <v>1624</v>
      </c>
      <c r="D890" s="4" t="s">
        <v>235</v>
      </c>
      <c r="E890" s="20" t="str">
        <f t="shared" si="39"/>
        <v>WY</v>
      </c>
      <c r="F890" s="16" t="str">
        <f t="shared" si="40"/>
        <v>GB</v>
      </c>
      <c r="G890" s="21" t="str">
        <f t="shared" si="41"/>
        <v>P</v>
      </c>
    </row>
    <row r="891" spans="2:7" x14ac:dyDescent="0.25">
      <c r="B891" s="7" t="s">
        <v>1625</v>
      </c>
      <c r="C891" s="8" t="s">
        <v>1626</v>
      </c>
      <c r="D891" s="4" t="s">
        <v>24</v>
      </c>
      <c r="E891" s="20" t="str">
        <f t="shared" si="39"/>
        <v>WY</v>
      </c>
      <c r="F891" s="16" t="str">
        <f t="shared" si="40"/>
        <v>IC</v>
      </c>
      <c r="G891" s="21" t="str">
        <f t="shared" si="41"/>
        <v>B</v>
      </c>
    </row>
    <row r="892" spans="2:7" x14ac:dyDescent="0.25">
      <c r="B892" s="7" t="s">
        <v>1627</v>
      </c>
      <c r="C892" s="8" t="s">
        <v>1628</v>
      </c>
      <c r="D892" s="4" t="s">
        <v>241</v>
      </c>
      <c r="E892" s="20" t="str">
        <f t="shared" si="39"/>
        <v>WY</v>
      </c>
      <c r="F892" s="16" t="str">
        <f t="shared" si="40"/>
        <v>IC</v>
      </c>
      <c r="G892" s="21" t="str">
        <f t="shared" si="41"/>
        <v>P</v>
      </c>
    </row>
    <row r="893" spans="2:7" x14ac:dyDescent="0.25">
      <c r="B893" s="7" t="s">
        <v>1629</v>
      </c>
      <c r="C893" s="8" t="s">
        <v>1630</v>
      </c>
      <c r="D893" s="4" t="s">
        <v>24</v>
      </c>
      <c r="E893" s="20" t="str">
        <f t="shared" si="39"/>
        <v>WY</v>
      </c>
      <c r="F893" s="16" t="str">
        <f t="shared" si="40"/>
        <v>TC</v>
      </c>
      <c r="G893" s="21" t="str">
        <f t="shared" si="41"/>
        <v>B</v>
      </c>
    </row>
    <row r="894" spans="2:7" x14ac:dyDescent="0.25">
      <c r="B894" s="7" t="s">
        <v>1631</v>
      </c>
      <c r="C894" s="8" t="s">
        <v>1632</v>
      </c>
      <c r="D894" s="4" t="s">
        <v>241</v>
      </c>
      <c r="E894" s="20" t="str">
        <f t="shared" si="39"/>
        <v>WY</v>
      </c>
      <c r="F894" s="16" t="str">
        <f t="shared" si="40"/>
        <v>TC</v>
      </c>
      <c r="G894" s="21" t="str">
        <f t="shared" si="41"/>
        <v>P</v>
      </c>
    </row>
    <row r="895" spans="2:7" x14ac:dyDescent="0.25">
      <c r="B895" s="7" t="s">
        <v>1633</v>
      </c>
      <c r="C895" s="8" t="s">
        <v>1634</v>
      </c>
      <c r="D895" s="4" t="s">
        <v>24</v>
      </c>
      <c r="E895" s="20" t="str">
        <f t="shared" si="39"/>
        <v>WY</v>
      </c>
      <c r="F895" s="16" t="str">
        <f t="shared" si="40"/>
        <v>TX</v>
      </c>
      <c r="G895" s="21" t="str">
        <f t="shared" si="41"/>
        <v>B</v>
      </c>
    </row>
    <row r="896" spans="2:7" x14ac:dyDescent="0.25">
      <c r="B896" s="7" t="s">
        <v>1635</v>
      </c>
      <c r="C896" s="8" t="s">
        <v>1636</v>
      </c>
      <c r="D896" s="4" t="s">
        <v>241</v>
      </c>
      <c r="E896" s="20" t="str">
        <f t="shared" si="39"/>
        <v>WY</v>
      </c>
      <c r="F896" s="16" t="str">
        <f t="shared" si="40"/>
        <v>TX</v>
      </c>
      <c r="G896" s="21" t="str">
        <f t="shared" si="41"/>
        <v>P</v>
      </c>
    </row>
    <row r="897" spans="2:7" x14ac:dyDescent="0.25">
      <c r="B897" s="7" t="s">
        <v>1637</v>
      </c>
      <c r="C897" s="8" t="s">
        <v>1638</v>
      </c>
      <c r="D897" s="4" t="s">
        <v>24</v>
      </c>
      <c r="E897" s="20" t="str">
        <f t="shared" si="39"/>
        <v>WZ</v>
      </c>
      <c r="F897" s="16" t="str">
        <f t="shared" si="40"/>
        <v>EI</v>
      </c>
      <c r="G897" s="21" t="str">
        <f t="shared" si="41"/>
        <v>B</v>
      </c>
    </row>
    <row r="898" spans="2:7" x14ac:dyDescent="0.25">
      <c r="B898" s="7" t="s">
        <v>1639</v>
      </c>
      <c r="C898" s="8" t="s">
        <v>1640</v>
      </c>
      <c r="D898" s="4" t="s">
        <v>24</v>
      </c>
      <c r="E898" s="20" t="str">
        <f t="shared" si="39"/>
        <v>WZ</v>
      </c>
      <c r="F898" s="16" t="str">
        <f t="shared" si="40"/>
        <v>TC</v>
      </c>
      <c r="G898" s="21" t="str">
        <f t="shared" si="41"/>
        <v>B</v>
      </c>
    </row>
    <row r="899" spans="2:7" x14ac:dyDescent="0.25">
      <c r="B899" s="7" t="s">
        <v>1641</v>
      </c>
      <c r="C899" s="8" t="s">
        <v>1642</v>
      </c>
      <c r="D899" s="4" t="s">
        <v>1643</v>
      </c>
      <c r="E899" s="20" t="str">
        <f t="shared" si="39"/>
        <v>ZW</v>
      </c>
      <c r="F899" s="16" t="str">
        <f t="shared" si="40"/>
        <v>CD</v>
      </c>
      <c r="G899" s="21" t="str">
        <f t="shared" si="41"/>
        <v>P</v>
      </c>
    </row>
    <row r="900" spans="2:7" ht="15.75" thickBot="1" x14ac:dyDescent="0.3">
      <c r="B900" s="10" t="s">
        <v>1644</v>
      </c>
      <c r="C900" s="11" t="s">
        <v>1645</v>
      </c>
      <c r="D900" s="15" t="s">
        <v>1643</v>
      </c>
      <c r="E900" s="22" t="str">
        <f t="shared" si="39"/>
        <v>ZW</v>
      </c>
      <c r="F900" s="23" t="str">
        <f t="shared" si="40"/>
        <v>HD</v>
      </c>
      <c r="G900" s="24" t="str">
        <f t="shared" si="41"/>
        <v>P</v>
      </c>
    </row>
    <row r="901" spans="2:7" ht="15.75" thickTop="1" x14ac:dyDescent="0.25"/>
  </sheetData>
  <autoFilter ref="B14:G900" xr:uid="{1CBD0FA9-FFC5-4148-909F-E722F0E14BA3}"/>
  <hyperlinks>
    <hyperlink ref="B13" r:id="rId1" xr:uid="{FC8CA329-5141-4632-885F-88805C9AB2E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029C-2B60-4245-9DC5-5908138F9A9C}">
  <dimension ref="A1:BA110"/>
  <sheetViews>
    <sheetView topLeftCell="W25" workbookViewId="0">
      <selection activeCell="AA72" sqref="AA72"/>
    </sheetView>
    <sheetView workbookViewId="1"/>
  </sheetViews>
  <sheetFormatPr defaultRowHeight="15" x14ac:dyDescent="0.25"/>
  <cols>
    <col min="1" max="1" width="22.85546875" customWidth="1"/>
    <col min="2" max="2" width="11.5703125" bestFit="1" customWidth="1"/>
    <col min="36" max="36" width="10.5703125" bestFit="1" customWidth="1"/>
    <col min="37" max="37" width="11.85546875" customWidth="1"/>
    <col min="39" max="39" width="10.42578125" customWidth="1"/>
    <col min="40" max="40" width="10.7109375" customWidth="1"/>
  </cols>
  <sheetData>
    <row r="1" spans="1:53" x14ac:dyDescent="0.25">
      <c r="A1" t="s">
        <v>1946</v>
      </c>
      <c r="AJ1" s="252" t="s">
        <v>2020</v>
      </c>
      <c r="AK1" s="252"/>
      <c r="AL1" s="252"/>
      <c r="AS1" t="s">
        <v>2180</v>
      </c>
      <c r="AY1" t="s">
        <v>2186</v>
      </c>
    </row>
    <row r="2" spans="1:53" x14ac:dyDescent="0.25">
      <c r="A2" s="136" t="s">
        <v>1786</v>
      </c>
      <c r="B2" s="136" t="s">
        <v>2234</v>
      </c>
      <c r="C2" s="136" t="s">
        <v>1822</v>
      </c>
      <c r="D2" s="136" t="s">
        <v>1823</v>
      </c>
      <c r="E2" s="136" t="s">
        <v>1824</v>
      </c>
      <c r="F2" s="136" t="s">
        <v>1825</v>
      </c>
      <c r="G2" s="136" t="s">
        <v>1826</v>
      </c>
      <c r="H2" s="136" t="s">
        <v>1827</v>
      </c>
      <c r="I2" s="136" t="s">
        <v>1828</v>
      </c>
      <c r="J2" s="136" t="s">
        <v>1829</v>
      </c>
      <c r="K2" s="136" t="s">
        <v>1830</v>
      </c>
      <c r="L2" s="136" t="s">
        <v>1831</v>
      </c>
      <c r="M2" s="136" t="s">
        <v>1832</v>
      </c>
      <c r="N2" s="136" t="s">
        <v>1833</v>
      </c>
      <c r="O2" s="136" t="s">
        <v>1834</v>
      </c>
      <c r="P2" s="136" t="s">
        <v>1835</v>
      </c>
      <c r="Q2" s="136" t="s">
        <v>1836</v>
      </c>
      <c r="R2" s="136" t="s">
        <v>1837</v>
      </c>
      <c r="S2" s="136" t="s">
        <v>1838</v>
      </c>
      <c r="T2" s="136" t="s">
        <v>1839</v>
      </c>
      <c r="U2" s="136" t="s">
        <v>1840</v>
      </c>
      <c r="V2" s="136" t="s">
        <v>1841</v>
      </c>
      <c r="W2" s="136" t="s">
        <v>1842</v>
      </c>
      <c r="X2" s="136" t="s">
        <v>1843</v>
      </c>
      <c r="Y2" s="136" t="s">
        <v>1844</v>
      </c>
      <c r="Z2" s="136" t="s">
        <v>1845</v>
      </c>
      <c r="AA2" s="136" t="s">
        <v>1846</v>
      </c>
      <c r="AB2" s="136" t="s">
        <v>1847</v>
      </c>
      <c r="AC2" s="136" t="s">
        <v>1848</v>
      </c>
      <c r="AD2" s="136" t="s">
        <v>1849</v>
      </c>
      <c r="AE2" s="136" t="s">
        <v>1850</v>
      </c>
      <c r="AF2" s="136" t="s">
        <v>1851</v>
      </c>
      <c r="AG2" s="136" t="s">
        <v>1852</v>
      </c>
      <c r="AH2" s="136" t="s">
        <v>1853</v>
      </c>
      <c r="AI2" s="136" t="s">
        <v>1854</v>
      </c>
      <c r="AJ2" s="116" t="s">
        <v>2017</v>
      </c>
      <c r="AK2" s="116" t="s">
        <v>2018</v>
      </c>
      <c r="AL2" s="154" t="s">
        <v>2019</v>
      </c>
      <c r="AM2" s="116" t="s">
        <v>1954</v>
      </c>
      <c r="AN2" s="116" t="s">
        <v>1955</v>
      </c>
      <c r="AO2" s="116" t="s">
        <v>1956</v>
      </c>
      <c r="AP2" s="110" t="s">
        <v>1957</v>
      </c>
      <c r="AQ2" s="116" t="s">
        <v>2010</v>
      </c>
      <c r="AS2" s="239" t="s">
        <v>2184</v>
      </c>
      <c r="AT2" s="239" t="s">
        <v>2185</v>
      </c>
      <c r="AU2" s="239" t="s">
        <v>1984</v>
      </c>
      <c r="AV2" s="239" t="s">
        <v>2181</v>
      </c>
      <c r="AW2" s="239" t="s">
        <v>2182</v>
      </c>
      <c r="AX2" s="239" t="s">
        <v>2183</v>
      </c>
      <c r="AY2" s="239" t="s">
        <v>2184</v>
      </c>
      <c r="AZ2" s="239" t="s">
        <v>2182</v>
      </c>
      <c r="BA2" s="239" t="s">
        <v>2183</v>
      </c>
    </row>
    <row r="3" spans="1:53" x14ac:dyDescent="0.25">
      <c r="A3" s="138" t="s">
        <v>1922</v>
      </c>
      <c r="B3" s="146">
        <v>8.1021986512715589</v>
      </c>
      <c r="C3" s="146">
        <v>7.8527514039548922</v>
      </c>
      <c r="D3" s="146">
        <v>9.3163644435464512</v>
      </c>
      <c r="E3" s="146">
        <v>8.9002918145748922</v>
      </c>
      <c r="F3" s="146">
        <v>8.5030329139282266</v>
      </c>
      <c r="G3" s="146">
        <v>7.8117168587656725</v>
      </c>
      <c r="H3" s="146">
        <v>8.2970502535541115</v>
      </c>
      <c r="I3" s="146">
        <v>8.0487224549341114</v>
      </c>
      <c r="J3" s="146">
        <v>7.0071149196874458</v>
      </c>
      <c r="K3" s="146">
        <v>7.9186951771874456</v>
      </c>
      <c r="L3" s="146">
        <v>8.6511321919733319</v>
      </c>
      <c r="M3" s="146">
        <v>8.3947515098699999</v>
      </c>
      <c r="N3" s="146">
        <v>8.1281996071099982</v>
      </c>
      <c r="O3" s="146">
        <v>9.6765706050674449</v>
      </c>
      <c r="P3" s="146">
        <v>10.163789024839998</v>
      </c>
      <c r="Q3" s="146">
        <v>9.2674806627699979</v>
      </c>
      <c r="R3" s="146">
        <v>8.0123549985233318</v>
      </c>
      <c r="S3" s="146">
        <v>8.2907557114799992</v>
      </c>
      <c r="T3" s="146">
        <v>8.1317601436499984</v>
      </c>
      <c r="U3" s="146">
        <v>8.1402228211333316</v>
      </c>
      <c r="V3" s="146">
        <v>7.6012601731733316</v>
      </c>
      <c r="W3" s="146">
        <v>7.2452392164899999</v>
      </c>
      <c r="X3" s="146">
        <v>6.6710581767499981</v>
      </c>
      <c r="Y3" s="146">
        <v>7.2928123605700002</v>
      </c>
      <c r="Z3" s="146">
        <v>7.559098613879998</v>
      </c>
      <c r="AA3" s="146">
        <v>7.7578813550333319</v>
      </c>
      <c r="AB3" s="146">
        <v>6.3356236870666649</v>
      </c>
      <c r="AC3" s="146">
        <v>6.5716506902933327</v>
      </c>
      <c r="AD3" s="146">
        <v>7.533291174933332</v>
      </c>
      <c r="AE3" s="146">
        <v>7.3482950285799982</v>
      </c>
      <c r="AF3" s="146">
        <v>6.6179041876933322</v>
      </c>
      <c r="AG3" s="146">
        <v>7.19126061423</v>
      </c>
      <c r="AH3" s="146">
        <v>7.1446165374833317</v>
      </c>
      <c r="AI3" s="146">
        <v>6.8886750220199993</v>
      </c>
      <c r="AJ3" s="100">
        <f>SLOPE(B3:AI3,B$57:AI$57)</f>
        <v>-5.4129190955657269E-2</v>
      </c>
      <c r="AK3" s="100">
        <f>SLOPE(B3:U3,B$57:U$57)</f>
        <v>1.7342291692675309E-2</v>
      </c>
      <c r="AL3" s="100">
        <f>SLOPE(V3:AI3,V$57:AI$57)</f>
        <v>-2.6164292682322333E-2</v>
      </c>
      <c r="AM3">
        <f t="shared" ref="AM3:AM11" si="0">MIN(B3:AI3)</f>
        <v>6.3356236870666649</v>
      </c>
      <c r="AN3" s="113">
        <f t="shared" ref="AN3:AN11" si="1">AI3/AM3-1</f>
        <v>8.7292327049397711E-2</v>
      </c>
      <c r="AO3">
        <f t="shared" ref="AO3:AO11" si="2">MAX(B3:AI3)</f>
        <v>10.163789024839998</v>
      </c>
      <c r="AP3" s="149">
        <f t="shared" ref="AP3:AP11" si="3">AM3/AO3-1</f>
        <v>-0.37664746173079855</v>
      </c>
      <c r="AQ3">
        <f>CORREL(B3:AI3,'NE HDD'!B3:AI3)</f>
        <v>0.74442957155633049</v>
      </c>
      <c r="AR3" s="113">
        <f>+AL3/AVERAGE(V3:AI3)</f>
        <v>-3.6718623971452253E-3</v>
      </c>
      <c r="AS3">
        <f>INDEX(LINEST(V3:AI3,V$57:AI$57,TRUE,TRUE),1,1)</f>
        <v>-2.6164292682322333E-2</v>
      </c>
      <c r="AT3">
        <f>INDEX(LINEST(V3:AI3,V$57:AI$57,TRUE,TRUE),2,1)</f>
        <v>2.9478895583673153E-2</v>
      </c>
      <c r="AU3">
        <f>INDEX(LINEST(V3:AI3,V$57:AI$57,TRUE,TRUE),4,2)</f>
        <v>12</v>
      </c>
      <c r="AV3">
        <f>_xlfn.T.INV.2T(0.05,AU3)</f>
        <v>2.1788128296672284</v>
      </c>
      <c r="AW3">
        <f>+AS3-AV3*AT3</f>
        <v>-9.0393288584449991E-2</v>
      </c>
      <c r="AX3">
        <f>AS3+AT3*AV3</f>
        <v>3.8064703219805332E-2</v>
      </c>
      <c r="AY3">
        <f>AS3/AVERAGE(V3:AI3)</f>
        <v>-3.6718623971452253E-3</v>
      </c>
      <c r="AZ3">
        <f t="shared" ref="AZ3:AZ11" si="4">AW3/AVERAGE(V3:AI3)</f>
        <v>-1.2685675142741078E-2</v>
      </c>
      <c r="BA3">
        <f t="shared" ref="BA3:BA11" si="5">AX3/AVERAGE(V3:AI3)</f>
        <v>5.3419503484506276E-3</v>
      </c>
    </row>
    <row r="4" spans="1:53" x14ac:dyDescent="0.25">
      <c r="A4" s="138" t="s">
        <v>1788</v>
      </c>
      <c r="B4" s="146">
        <v>14.984724829940138</v>
      </c>
      <c r="C4" s="146">
        <v>14.195007338837232</v>
      </c>
      <c r="D4" s="146">
        <v>16.271938561007797</v>
      </c>
      <c r="E4" s="146">
        <v>16.387090900742905</v>
      </c>
      <c r="F4" s="146">
        <v>16.335829614312338</v>
      </c>
      <c r="G4" s="146">
        <v>14.730404276689784</v>
      </c>
      <c r="H4" s="146">
        <v>14.534369784006451</v>
      </c>
      <c r="I4" s="146">
        <v>14.404712521022338</v>
      </c>
      <c r="J4" s="146">
        <v>13.239653398762337</v>
      </c>
      <c r="K4" s="146">
        <v>13.802940402613117</v>
      </c>
      <c r="L4" s="146">
        <v>15.460595569048223</v>
      </c>
      <c r="M4" s="146">
        <v>15.810254976838223</v>
      </c>
      <c r="N4" s="146">
        <v>15.763051368395246</v>
      </c>
      <c r="O4" s="146">
        <v>16.303205807572127</v>
      </c>
      <c r="P4" s="146">
        <v>14.905899471106451</v>
      </c>
      <c r="Q4" s="146">
        <v>14.91815959296234</v>
      </c>
      <c r="R4" s="146">
        <v>12.904834266950779</v>
      </c>
      <c r="S4" s="146">
        <v>13.608858341634892</v>
      </c>
      <c r="T4" s="146">
        <v>14.526274689519999</v>
      </c>
      <c r="U4" s="146">
        <v>13.865685373063332</v>
      </c>
      <c r="V4" s="146">
        <v>13.576033969336665</v>
      </c>
      <c r="W4" s="146">
        <v>13.668004404669997</v>
      </c>
      <c r="X4" s="146">
        <v>11.808638489266665</v>
      </c>
      <c r="Y4" s="146">
        <v>12.368346588253331</v>
      </c>
      <c r="Z4" s="146">
        <v>13.727867653536666</v>
      </c>
      <c r="AA4" s="146">
        <v>13.627153801836666</v>
      </c>
      <c r="AB4" s="146">
        <v>11.444668649553332</v>
      </c>
      <c r="AC4" s="146">
        <v>12.421823573060001</v>
      </c>
      <c r="AD4" s="146">
        <v>13.396115907459999</v>
      </c>
      <c r="AE4" s="146">
        <v>13.705004964859999</v>
      </c>
      <c r="AF4" s="146">
        <v>12.214738351896667</v>
      </c>
      <c r="AG4" s="146">
        <v>12.573952994936665</v>
      </c>
      <c r="AH4" s="146">
        <v>12.971062196363334</v>
      </c>
      <c r="AI4" s="146">
        <v>11.785311044099998</v>
      </c>
      <c r="AJ4" s="100">
        <f t="shared" ref="AJ4:AJ11" si="6">SLOPE(B4:AI4,B$57:AI$57)</f>
        <v>-0.10433239670973943</v>
      </c>
      <c r="AK4" s="100">
        <f t="shared" ref="AK4:AK11" si="7">SLOPE(B4:U4,B$57:U$57)</f>
        <v>-6.4900489798162722E-2</v>
      </c>
      <c r="AL4" s="238">
        <f t="shared" ref="AL4:AL11" si="8">SLOPE(V4:AI4,V$57:AI$57)</f>
        <v>-5.4864750826204997E-2</v>
      </c>
      <c r="AM4">
        <f t="shared" si="0"/>
        <v>11.444668649553332</v>
      </c>
      <c r="AN4" s="113">
        <f t="shared" si="1"/>
        <v>2.9764286322082389E-2</v>
      </c>
      <c r="AO4">
        <f t="shared" si="2"/>
        <v>16.387090900742905</v>
      </c>
      <c r="AP4" s="149">
        <f t="shared" si="3"/>
        <v>-0.30160461555537654</v>
      </c>
      <c r="AQ4">
        <f>CORREL(B4:AI4,'NE HDD'!B4:AI4)</f>
        <v>0.736267439643296</v>
      </c>
      <c r="AR4" s="113">
        <f t="shared" ref="AR4:AR10" si="9">+AL4/AVERAGE(V4:AI4)</f>
        <v>-4.2841875410486036E-3</v>
      </c>
      <c r="AS4">
        <f t="shared" ref="AS4:AS11" si="10">INDEX(LINEST(V4:AI4,V$57:AI$57,TRUE,TRUE),1,1)</f>
        <v>-5.4864750826205018E-2</v>
      </c>
      <c r="AT4">
        <f t="shared" ref="AT4:AT11" si="11">INDEX(LINEST(V4:AI4,V$57:AI$57,TRUE,TRUE),2,1)</f>
        <v>5.4103916423920741E-2</v>
      </c>
      <c r="AU4">
        <f t="shared" ref="AU4:AU11" si="12">INDEX(LINEST(V4:AI4,V$57:AI$57,TRUE,TRUE),4,2)</f>
        <v>12</v>
      </c>
      <c r="AV4">
        <f t="shared" ref="AV4:AV11" si="13">_xlfn.T.INV.2T(0.05,AU4)</f>
        <v>2.1788128296672284</v>
      </c>
      <c r="AW4">
        <f t="shared" ref="AW4:AW11" si="14">+AS4-AV4*AT4</f>
        <v>-0.172747058065887</v>
      </c>
      <c r="AX4">
        <f t="shared" ref="AX4:AX11" si="15">AS4+AT4*AV4</f>
        <v>6.3017556413476977E-2</v>
      </c>
      <c r="AY4">
        <f t="shared" ref="AY4:AY11" si="16">AS4/AVERAGE(V4:AI4)</f>
        <v>-4.2841875410486053E-3</v>
      </c>
      <c r="AZ4">
        <f t="shared" si="4"/>
        <v>-1.3489185365354629E-2</v>
      </c>
      <c r="BA4">
        <f t="shared" si="5"/>
        <v>4.9208102832574204E-3</v>
      </c>
    </row>
    <row r="5" spans="1:53" x14ac:dyDescent="0.25">
      <c r="A5" s="138" t="s">
        <v>1923</v>
      </c>
      <c r="B5" s="146">
        <v>2.9525450058736862</v>
      </c>
      <c r="C5" s="146">
        <v>2.9723933414482255</v>
      </c>
      <c r="D5" s="146">
        <v>2.9795829814213461</v>
      </c>
      <c r="E5" s="146">
        <v>3.1024537706972328</v>
      </c>
      <c r="F5" s="146">
        <v>3.1881418267707793</v>
      </c>
      <c r="G5" s="146">
        <v>3.923130897546665</v>
      </c>
      <c r="H5" s="146">
        <v>4.0368645432866659</v>
      </c>
      <c r="I5" s="146">
        <v>3.904974280056666</v>
      </c>
      <c r="J5" s="146">
        <v>4.2132702535000002</v>
      </c>
      <c r="K5" s="146">
        <v>4.0094120834533324</v>
      </c>
      <c r="L5" s="146">
        <v>3.8785853946033324</v>
      </c>
      <c r="M5" s="146">
        <v>3.8591725797899992</v>
      </c>
      <c r="N5" s="146">
        <v>3.4724117016599991</v>
      </c>
      <c r="O5" s="146">
        <v>4.760119181326667</v>
      </c>
      <c r="P5" s="146">
        <v>5.1723963660233316</v>
      </c>
      <c r="Q5" s="146">
        <v>4.6155759254733324</v>
      </c>
      <c r="R5" s="146">
        <v>4.008646398899999</v>
      </c>
      <c r="S5" s="146">
        <v>3.8420095921166655</v>
      </c>
      <c r="T5" s="146">
        <v>3.1128280752433333</v>
      </c>
      <c r="U5" s="146">
        <v>2.9348017910933328</v>
      </c>
      <c r="V5" s="146">
        <v>2.661270942256666</v>
      </c>
      <c r="W5" s="146">
        <v>2.7281182533733332</v>
      </c>
      <c r="X5" s="146">
        <v>2.2517671577866665</v>
      </c>
      <c r="Y5" s="146">
        <v>2.4165021707566661</v>
      </c>
      <c r="Z5" s="146">
        <v>2.5735216846533326</v>
      </c>
      <c r="AA5" s="146">
        <v>3.050330012399999</v>
      </c>
      <c r="AB5" s="146">
        <v>2.9660337968433326</v>
      </c>
      <c r="AC5" s="146">
        <v>2.9961119094133331</v>
      </c>
      <c r="AD5" s="146">
        <v>3.1239281436733326</v>
      </c>
      <c r="AE5" s="146">
        <v>3.0377609304899997</v>
      </c>
      <c r="AF5" s="146">
        <v>2.8708828966033324</v>
      </c>
      <c r="AG5" s="146">
        <v>2.6660342511366664</v>
      </c>
      <c r="AH5" s="146">
        <v>2.6566352896966658</v>
      </c>
      <c r="AI5" s="146">
        <v>2.8119838687966658</v>
      </c>
      <c r="AJ5" s="100">
        <f t="shared" si="6"/>
        <v>-3.1605732271668019E-2</v>
      </c>
      <c r="AK5" s="100">
        <f t="shared" si="7"/>
        <v>4.1668561569241064E-2</v>
      </c>
      <c r="AL5" s="100">
        <f t="shared" si="8"/>
        <v>2.3415589233465178E-2</v>
      </c>
      <c r="AM5">
        <f t="shared" si="0"/>
        <v>2.2517671577866665</v>
      </c>
      <c r="AN5" s="113">
        <f t="shared" si="1"/>
        <v>0.24878980451986621</v>
      </c>
      <c r="AO5">
        <f t="shared" si="2"/>
        <v>5.1723963660233316</v>
      </c>
      <c r="AP5" s="149">
        <f t="shared" si="3"/>
        <v>-0.56465688272109715</v>
      </c>
      <c r="AQ5">
        <f>CORREL(B5:AI5,'NE HDD'!B5:AI5)</f>
        <v>0.3365506803324449</v>
      </c>
      <c r="AR5" s="113">
        <f t="shared" si="9"/>
        <v>8.4465551469441562E-3</v>
      </c>
      <c r="AS5">
        <f t="shared" si="10"/>
        <v>2.3415589233465178E-2</v>
      </c>
      <c r="AT5">
        <f t="shared" si="11"/>
        <v>1.6258038364679008E-2</v>
      </c>
      <c r="AU5">
        <f t="shared" si="12"/>
        <v>12</v>
      </c>
      <c r="AV5">
        <f t="shared" si="13"/>
        <v>2.1788128296672284</v>
      </c>
      <c r="AW5">
        <f t="shared" si="14"/>
        <v>-1.2007633340719449E-2</v>
      </c>
      <c r="AX5">
        <f t="shared" si="15"/>
        <v>5.8838811807649806E-2</v>
      </c>
      <c r="AY5">
        <f t="shared" si="16"/>
        <v>8.4465551469441562E-3</v>
      </c>
      <c r="AZ5">
        <f t="shared" si="4"/>
        <v>-4.3314364710378426E-3</v>
      </c>
      <c r="BA5">
        <f t="shared" si="5"/>
        <v>2.1224546764926154E-2</v>
      </c>
    </row>
    <row r="6" spans="1:53" x14ac:dyDescent="0.25">
      <c r="A6" s="138" t="s">
        <v>1924</v>
      </c>
      <c r="B6" s="146">
        <v>2.4355589474915598</v>
      </c>
      <c r="C6" s="146">
        <v>2.4299691238964529</v>
      </c>
      <c r="D6" s="146">
        <v>2.5457866353656726</v>
      </c>
      <c r="E6" s="146">
        <v>2.5374490843748929</v>
      </c>
      <c r="F6" s="146">
        <v>2.5986352948341129</v>
      </c>
      <c r="G6" s="146">
        <v>2.7289465185507802</v>
      </c>
      <c r="H6" s="146">
        <v>2.9000725875841131</v>
      </c>
      <c r="I6" s="146">
        <v>2.8816826268374465</v>
      </c>
      <c r="J6" s="146">
        <v>2.8087900630533329</v>
      </c>
      <c r="K6" s="146">
        <v>2.8323985722633331</v>
      </c>
      <c r="L6" s="146">
        <v>2.8791938124399992</v>
      </c>
      <c r="M6" s="146">
        <v>2.808131744036666</v>
      </c>
      <c r="N6" s="146">
        <v>2.6237895625699998</v>
      </c>
      <c r="O6" s="146">
        <v>3.2570731504666663</v>
      </c>
      <c r="P6" s="146">
        <v>3.3475209114599993</v>
      </c>
      <c r="Q6" s="146">
        <v>3.1464570578466664</v>
      </c>
      <c r="R6" s="146">
        <v>2.7707634488966661</v>
      </c>
      <c r="S6" s="146">
        <v>2.7721454175066667</v>
      </c>
      <c r="T6" s="146">
        <v>2.7246108300399992</v>
      </c>
      <c r="U6" s="146">
        <v>2.5394150048299995</v>
      </c>
      <c r="V6" s="146">
        <v>2.2587237672633331</v>
      </c>
      <c r="W6" s="146">
        <v>2.3705885928999995</v>
      </c>
      <c r="X6" s="146">
        <v>1.9430103396366663</v>
      </c>
      <c r="Y6" s="146">
        <v>2.3089674408166667</v>
      </c>
      <c r="Z6" s="146">
        <v>2.7409859744666663</v>
      </c>
      <c r="AA6" s="146">
        <v>2.7434191726699999</v>
      </c>
      <c r="AB6" s="146">
        <v>2.5529204439933326</v>
      </c>
      <c r="AC6" s="146">
        <v>2.8009909116933329</v>
      </c>
      <c r="AD6" s="146">
        <v>3.0479096815566664</v>
      </c>
      <c r="AE6" s="146">
        <v>2.9791659834566664</v>
      </c>
      <c r="AF6" s="146">
        <v>2.7844545534299994</v>
      </c>
      <c r="AG6" s="146">
        <v>2.457854345429999</v>
      </c>
      <c r="AH6" s="146">
        <v>2.5353098929766666</v>
      </c>
      <c r="AI6" s="146">
        <v>2.5347562851599994</v>
      </c>
      <c r="AJ6" s="100">
        <f t="shared" si="6"/>
        <v>-2.2617727276593087E-3</v>
      </c>
      <c r="AK6" s="100">
        <f t="shared" si="7"/>
        <v>1.974301533538118E-2</v>
      </c>
      <c r="AL6" s="100">
        <f t="shared" si="8"/>
        <v>3.453803277635896E-2</v>
      </c>
      <c r="AM6">
        <f t="shared" si="0"/>
        <v>1.9430103396366663</v>
      </c>
      <c r="AN6" s="113">
        <f t="shared" si="1"/>
        <v>0.30455110477383607</v>
      </c>
      <c r="AO6">
        <f t="shared" si="2"/>
        <v>3.3475209114599993</v>
      </c>
      <c r="AP6" s="149">
        <f t="shared" si="3"/>
        <v>-0.41956737806031064</v>
      </c>
      <c r="AQ6">
        <f>CORREL(B6:AI6,'NE HDD'!B6:AI6)</f>
        <v>0.46229590496693257</v>
      </c>
      <c r="AR6" s="113">
        <f t="shared" si="9"/>
        <v>1.3409459201896193E-2</v>
      </c>
      <c r="AS6">
        <f t="shared" si="10"/>
        <v>3.4538032776358946E-2</v>
      </c>
      <c r="AT6">
        <f t="shared" si="11"/>
        <v>1.8115143461664464E-2</v>
      </c>
      <c r="AU6">
        <f t="shared" si="12"/>
        <v>12</v>
      </c>
      <c r="AV6">
        <f t="shared" si="13"/>
        <v>2.1788128296672284</v>
      </c>
      <c r="AW6">
        <f t="shared" si="14"/>
        <v>-4.9314742091779995E-3</v>
      </c>
      <c r="AX6">
        <f t="shared" si="15"/>
        <v>7.4007539761895891E-2</v>
      </c>
      <c r="AY6">
        <f t="shared" si="16"/>
        <v>1.3409459201896188E-2</v>
      </c>
      <c r="AZ6">
        <f t="shared" si="4"/>
        <v>-1.9146545676579502E-3</v>
      </c>
      <c r="BA6">
        <f t="shared" si="5"/>
        <v>2.8733572971450325E-2</v>
      </c>
    </row>
    <row r="7" spans="1:53" x14ac:dyDescent="0.25">
      <c r="A7" s="138" t="s">
        <v>1939</v>
      </c>
      <c r="B7" s="146">
        <v>15.57012576914234</v>
      </c>
      <c r="C7" s="146">
        <v>15.539371897594894</v>
      </c>
      <c r="D7" s="146">
        <v>16.84730555694567</v>
      </c>
      <c r="E7" s="146">
        <v>16.376150185754113</v>
      </c>
      <c r="F7" s="146">
        <v>18.162473526141557</v>
      </c>
      <c r="G7" s="146">
        <v>16.23624920710078</v>
      </c>
      <c r="H7" s="146">
        <v>17.890161090387444</v>
      </c>
      <c r="I7" s="146">
        <v>17.172913982080779</v>
      </c>
      <c r="J7" s="146">
        <v>15.190960557677446</v>
      </c>
      <c r="K7" s="146">
        <v>16.175167726237444</v>
      </c>
      <c r="L7" s="146">
        <v>16.978118239327447</v>
      </c>
      <c r="M7" s="146">
        <v>16.436174210499999</v>
      </c>
      <c r="N7" s="146">
        <v>15.774701910476665</v>
      </c>
      <c r="O7" s="146">
        <v>18.399715792197444</v>
      </c>
      <c r="P7" s="146">
        <v>17.393681917124113</v>
      </c>
      <c r="Q7" s="146">
        <v>16.814077969516667</v>
      </c>
      <c r="R7" s="146">
        <v>14.136421055533333</v>
      </c>
      <c r="S7" s="146">
        <v>16.106178211310002</v>
      </c>
      <c r="T7" s="146">
        <v>15.895352648119999</v>
      </c>
      <c r="U7" s="146">
        <v>15.616723187743334</v>
      </c>
      <c r="V7" s="146">
        <v>14.716905771443333</v>
      </c>
      <c r="W7" s="146">
        <v>14.047107597050001</v>
      </c>
      <c r="X7" s="146">
        <v>12.545696051460002</v>
      </c>
      <c r="Y7" s="146">
        <v>14.569540726583334</v>
      </c>
      <c r="Z7" s="146">
        <v>16.036880283270001</v>
      </c>
      <c r="AA7" s="146">
        <v>15.376887782006669</v>
      </c>
      <c r="AB7" s="146">
        <v>13.461055150216668</v>
      </c>
      <c r="AC7" s="146">
        <v>13.811576958813333</v>
      </c>
      <c r="AD7" s="146">
        <v>15.723378032633333</v>
      </c>
      <c r="AE7" s="146">
        <v>15.197642515733333</v>
      </c>
      <c r="AF7" s="146">
        <v>13.963857957316666</v>
      </c>
      <c r="AG7" s="146">
        <v>14.769348672833333</v>
      </c>
      <c r="AH7" s="146">
        <v>15.121633509546669</v>
      </c>
      <c r="AI7" s="146">
        <v>13.768848331626666</v>
      </c>
      <c r="AJ7" s="100">
        <f t="shared" si="6"/>
        <v>-8.6156857109774873E-2</v>
      </c>
      <c r="AK7" s="100">
        <f t="shared" si="7"/>
        <v>-2.7516848023696382E-2</v>
      </c>
      <c r="AL7" s="100">
        <f t="shared" si="8"/>
        <v>2.738887087941384E-2</v>
      </c>
      <c r="AM7">
        <f t="shared" si="0"/>
        <v>12.545696051460002</v>
      </c>
      <c r="AN7" s="113">
        <f t="shared" si="1"/>
        <v>9.7495768680313288E-2</v>
      </c>
      <c r="AO7">
        <f t="shared" si="2"/>
        <v>18.399715792197444</v>
      </c>
      <c r="AP7" s="149">
        <f t="shared" si="3"/>
        <v>-0.31815816107441663</v>
      </c>
      <c r="AQ7">
        <f>CORREL(B7:AI7,'NE HDD'!B7:AI7)</f>
        <v>0.82200347326666146</v>
      </c>
      <c r="AR7" s="113">
        <f t="shared" si="9"/>
        <v>1.887861326013973E-3</v>
      </c>
      <c r="AS7">
        <f t="shared" si="10"/>
        <v>2.7388870879413864E-2</v>
      </c>
      <c r="AT7">
        <f t="shared" si="11"/>
        <v>6.5893139980226959E-2</v>
      </c>
      <c r="AU7">
        <f t="shared" si="12"/>
        <v>12</v>
      </c>
      <c r="AV7">
        <f t="shared" si="13"/>
        <v>2.1788128296672284</v>
      </c>
      <c r="AW7">
        <f t="shared" si="14"/>
        <v>-0.11617994789656322</v>
      </c>
      <c r="AX7">
        <f t="shared" si="15"/>
        <v>0.17095768965539093</v>
      </c>
      <c r="AY7">
        <f t="shared" si="16"/>
        <v>1.8878613260139745E-3</v>
      </c>
      <c r="AZ7">
        <f t="shared" si="4"/>
        <v>-8.0080566832382728E-3</v>
      </c>
      <c r="BA7">
        <f t="shared" si="5"/>
        <v>1.1783779335266222E-2</v>
      </c>
    </row>
    <row r="8" spans="1:53" x14ac:dyDescent="0.25">
      <c r="A8" s="138" t="s">
        <v>1925</v>
      </c>
      <c r="B8" s="146">
        <v>33.646216185272898</v>
      </c>
      <c r="C8" s="146">
        <v>32.955057167842334</v>
      </c>
      <c r="D8" s="146">
        <v>36.302133851378997</v>
      </c>
      <c r="E8" s="146">
        <v>35.758411371186085</v>
      </c>
      <c r="F8" s="146">
        <v>35.402964575375172</v>
      </c>
      <c r="G8" s="146">
        <v>34.315131098692625</v>
      </c>
      <c r="H8" s="146">
        <v>36.735830994536521</v>
      </c>
      <c r="I8" s="146">
        <v>34.846548563905174</v>
      </c>
      <c r="J8" s="146">
        <v>31.736572441445816</v>
      </c>
      <c r="K8" s="146">
        <v>34.450963379853825</v>
      </c>
      <c r="L8" s="146">
        <v>39.356482027178572</v>
      </c>
      <c r="M8" s="146">
        <v>38.266953683010144</v>
      </c>
      <c r="N8" s="146">
        <v>36.217448063260562</v>
      </c>
      <c r="O8" s="146">
        <v>39.245982813445245</v>
      </c>
      <c r="P8" s="146">
        <v>38.278059403822482</v>
      </c>
      <c r="Q8" s="146">
        <v>39.300050726633472</v>
      </c>
      <c r="R8" s="146">
        <v>32.754103354346803</v>
      </c>
      <c r="S8" s="146">
        <v>36.516255436240137</v>
      </c>
      <c r="T8" s="146">
        <v>35.341006937976665</v>
      </c>
      <c r="U8" s="146">
        <v>32.909959500879999</v>
      </c>
      <c r="V8" s="146">
        <v>31.677607511110001</v>
      </c>
      <c r="W8" s="146">
        <v>31.026024486233332</v>
      </c>
      <c r="X8" s="146">
        <v>30.20430847012333</v>
      </c>
      <c r="Y8" s="146">
        <v>31.991309446836667</v>
      </c>
      <c r="Z8" s="146">
        <v>35.381935295263332</v>
      </c>
      <c r="AA8" s="146">
        <v>35.431597921976667</v>
      </c>
      <c r="AB8" s="146">
        <v>30.82995352547</v>
      </c>
      <c r="AC8" s="146">
        <v>31.465135604393332</v>
      </c>
      <c r="AD8" s="146">
        <v>36.491508657780003</v>
      </c>
      <c r="AE8" s="146">
        <v>35.828068391536668</v>
      </c>
      <c r="AF8" s="146">
        <v>31.569071514053334</v>
      </c>
      <c r="AG8" s="146">
        <v>33.802253788306665</v>
      </c>
      <c r="AH8" s="146">
        <v>34.030360080199998</v>
      </c>
      <c r="AI8" s="146">
        <v>31.927696358983333</v>
      </c>
      <c r="AJ8" s="100">
        <f t="shared" si="6"/>
        <v>-8.8252763744964408E-2</v>
      </c>
      <c r="AK8" s="100">
        <f t="shared" si="7"/>
        <v>8.8860611769917872E-2</v>
      </c>
      <c r="AL8" s="100">
        <f t="shared" si="8"/>
        <v>0.15773685419308425</v>
      </c>
      <c r="AM8">
        <f t="shared" si="0"/>
        <v>30.20430847012333</v>
      </c>
      <c r="AN8" s="113">
        <f t="shared" si="1"/>
        <v>5.7057684024274025E-2</v>
      </c>
      <c r="AO8">
        <f t="shared" si="2"/>
        <v>39.356482027178572</v>
      </c>
      <c r="AP8" s="149">
        <f t="shared" si="3"/>
        <v>-0.23254551945814128</v>
      </c>
      <c r="AQ8">
        <f>CORREL(B8:AI8,'NE HDD'!B8:AI8)</f>
        <v>0.69477632866712258</v>
      </c>
      <c r="AR8" s="113">
        <f t="shared" si="9"/>
        <v>4.7834577767856407E-3</v>
      </c>
      <c r="AS8">
        <f t="shared" si="10"/>
        <v>0.15773685419308428</v>
      </c>
      <c r="AT8">
        <f t="shared" si="11"/>
        <v>0.13874406778631274</v>
      </c>
      <c r="AU8">
        <f t="shared" si="12"/>
        <v>12</v>
      </c>
      <c r="AV8">
        <f t="shared" si="13"/>
        <v>2.1788128296672284</v>
      </c>
      <c r="AW8">
        <f t="shared" si="14"/>
        <v>-0.14456050073995355</v>
      </c>
      <c r="AX8">
        <f t="shared" si="15"/>
        <v>0.46003420912612214</v>
      </c>
      <c r="AY8">
        <f t="shared" si="16"/>
        <v>4.7834577767856415E-3</v>
      </c>
      <c r="AZ8">
        <f t="shared" si="4"/>
        <v>-4.383877534631821E-3</v>
      </c>
      <c r="BA8">
        <f t="shared" si="5"/>
        <v>1.3950793088203106E-2</v>
      </c>
    </row>
    <row r="9" spans="1:53" x14ac:dyDescent="0.25">
      <c r="A9" s="138" t="s">
        <v>1940</v>
      </c>
      <c r="B9" s="146">
        <v>22.894309137591026</v>
      </c>
      <c r="C9" s="146">
        <v>23.193771990084006</v>
      </c>
      <c r="D9" s="146">
        <v>24.682566412098542</v>
      </c>
      <c r="E9" s="146">
        <v>25.559348338716276</v>
      </c>
      <c r="F9" s="146">
        <v>25.347285294424935</v>
      </c>
      <c r="G9" s="146">
        <v>24.548667150050118</v>
      </c>
      <c r="H9" s="146">
        <v>25.821815524522819</v>
      </c>
      <c r="I9" s="146">
        <v>24.325576975673528</v>
      </c>
      <c r="J9" s="146">
        <v>20.81372021400254</v>
      </c>
      <c r="K9" s="146">
        <v>23.252923107751407</v>
      </c>
      <c r="L9" s="146">
        <v>25.432445292653959</v>
      </c>
      <c r="M9" s="146">
        <v>23.931181164853744</v>
      </c>
      <c r="N9" s="146">
        <v>23.529252342734598</v>
      </c>
      <c r="O9" s="146">
        <v>26.03273805780098</v>
      </c>
      <c r="P9" s="146">
        <v>24.979064441906374</v>
      </c>
      <c r="Q9" s="146">
        <v>23.653390982895665</v>
      </c>
      <c r="R9" s="146">
        <v>20.042673371287016</v>
      </c>
      <c r="S9" s="146">
        <v>21.492134073966159</v>
      </c>
      <c r="T9" s="146">
        <v>25.372125581989998</v>
      </c>
      <c r="U9" s="146">
        <v>19.815174699723336</v>
      </c>
      <c r="V9" s="146">
        <v>20.20410500042</v>
      </c>
      <c r="W9" s="146">
        <v>19.41868140971</v>
      </c>
      <c r="X9" s="146">
        <v>17.191560589646663</v>
      </c>
      <c r="Y9" s="146">
        <v>19.854643201176664</v>
      </c>
      <c r="Z9" s="146">
        <v>22.129443489560003</v>
      </c>
      <c r="AA9" s="146">
        <v>20.606566553539999</v>
      </c>
      <c r="AB9" s="146">
        <v>18.41547107055333</v>
      </c>
      <c r="AC9" s="146">
        <v>18.462438870773333</v>
      </c>
      <c r="AD9" s="146">
        <v>21.621501742903334</v>
      </c>
      <c r="AE9" s="146">
        <v>19.493778887293331</v>
      </c>
      <c r="AF9" s="146">
        <v>17.781703761763332</v>
      </c>
      <c r="AG9" s="146">
        <v>19.238695285846667</v>
      </c>
      <c r="AH9" s="146">
        <v>20.070100151566667</v>
      </c>
      <c r="AI9" s="146">
        <v>17.995820828076667</v>
      </c>
      <c r="AJ9" s="100">
        <f t="shared" si="6"/>
        <v>-0.20945521893701946</v>
      </c>
      <c r="AK9" s="100">
        <f t="shared" si="7"/>
        <v>-0.11035889105267474</v>
      </c>
      <c r="AL9" s="100">
        <f t="shared" si="8"/>
        <v>-6.0912091281662958E-2</v>
      </c>
      <c r="AM9">
        <f t="shared" si="0"/>
        <v>17.191560589646663</v>
      </c>
      <c r="AN9" s="113">
        <f t="shared" si="1"/>
        <v>4.6782270535367099E-2</v>
      </c>
      <c r="AO9">
        <f t="shared" si="2"/>
        <v>26.03273805780098</v>
      </c>
      <c r="AP9" s="149">
        <f t="shared" si="3"/>
        <v>-0.33961765560441948</v>
      </c>
      <c r="AQ9">
        <f>CORREL(B9:AI9,'NE HDD'!B9:AI9)</f>
        <v>0.70485456748158015</v>
      </c>
      <c r="AR9" s="113">
        <f t="shared" si="9"/>
        <v>-3.1296064326943036E-3</v>
      </c>
      <c r="AS9">
        <f t="shared" si="10"/>
        <v>-6.0912091281662965E-2</v>
      </c>
      <c r="AT9">
        <f t="shared" si="11"/>
        <v>9.6825754909965478E-2</v>
      </c>
      <c r="AU9">
        <f t="shared" si="12"/>
        <v>12</v>
      </c>
      <c r="AV9">
        <f t="shared" si="13"/>
        <v>2.1788128296672284</v>
      </c>
      <c r="AW9">
        <f t="shared" si="14"/>
        <v>-0.27187728832171038</v>
      </c>
      <c r="AX9">
        <f t="shared" si="15"/>
        <v>0.15005310575838446</v>
      </c>
      <c r="AY9">
        <f t="shared" si="16"/>
        <v>-3.1296064326943041E-3</v>
      </c>
      <c r="AZ9">
        <f t="shared" si="4"/>
        <v>-1.3968801473267676E-2</v>
      </c>
      <c r="BA9">
        <f t="shared" si="5"/>
        <v>7.7095886078790681E-3</v>
      </c>
    </row>
    <row r="10" spans="1:53" x14ac:dyDescent="0.25">
      <c r="A10" s="138" t="s">
        <v>1926</v>
      </c>
      <c r="B10" s="146">
        <v>2.3380563839707795</v>
      </c>
      <c r="C10" s="146">
        <v>2.3501827372574464</v>
      </c>
      <c r="D10" s="146">
        <v>2.7892500955474464</v>
      </c>
      <c r="E10" s="146">
        <v>2.6546841486841126</v>
      </c>
      <c r="F10" s="146">
        <v>2.7013505070566661</v>
      </c>
      <c r="G10" s="146">
        <v>2.49813497362</v>
      </c>
      <c r="H10" s="146">
        <v>2.6005247694066664</v>
      </c>
      <c r="I10" s="146">
        <v>2.613068912153333</v>
      </c>
      <c r="J10" s="146">
        <v>2.3865748216933333</v>
      </c>
      <c r="K10" s="146">
        <v>2.3320651692433332</v>
      </c>
      <c r="L10" s="146">
        <v>2.4976407019666667</v>
      </c>
      <c r="M10" s="146">
        <v>2.5817584760366667</v>
      </c>
      <c r="N10" s="146">
        <v>2.4675811214999994</v>
      </c>
      <c r="O10" s="146">
        <v>2.8131551189241129</v>
      </c>
      <c r="P10" s="146">
        <v>2.794485914733333</v>
      </c>
      <c r="Q10" s="146">
        <v>2.7116784806466665</v>
      </c>
      <c r="R10" s="146">
        <v>2.2122546525566662</v>
      </c>
      <c r="S10" s="146">
        <v>2.2933419751366664</v>
      </c>
      <c r="T10" s="146">
        <v>2.2470323894700002</v>
      </c>
      <c r="U10" s="146">
        <v>2.3476623775733332</v>
      </c>
      <c r="V10" s="146">
        <v>2.2352094420699999</v>
      </c>
      <c r="W10" s="146">
        <v>2.1344429768566666</v>
      </c>
      <c r="X10" s="146">
        <v>2.055767426863333</v>
      </c>
      <c r="Y10" s="146">
        <v>2.2568157561766666</v>
      </c>
      <c r="Z10" s="146">
        <v>2.3294023343066663</v>
      </c>
      <c r="AA10" s="146">
        <v>2.4494159263199999</v>
      </c>
      <c r="AB10" s="146">
        <v>1.8286559756666665</v>
      </c>
      <c r="AC10" s="146">
        <v>1.8554332581766664</v>
      </c>
      <c r="AD10" s="146">
        <v>2.3124700442800004</v>
      </c>
      <c r="AE10" s="146">
        <v>2.0722239730866665</v>
      </c>
      <c r="AF10" s="146">
        <v>1.8981384599466664</v>
      </c>
      <c r="AG10" s="146">
        <v>2.1364203986766666</v>
      </c>
      <c r="AH10" s="146">
        <v>2.1061900607733333</v>
      </c>
      <c r="AI10" s="146">
        <v>2.055939404273333</v>
      </c>
      <c r="AJ10" s="100">
        <f t="shared" si="6"/>
        <v>-1.9138388635206366E-2</v>
      </c>
      <c r="AK10" s="100">
        <f t="shared" si="7"/>
        <v>-7.8709632489757739E-3</v>
      </c>
      <c r="AL10" s="100">
        <f t="shared" si="8"/>
        <v>-1.3398041901699638E-2</v>
      </c>
      <c r="AM10">
        <f t="shared" si="0"/>
        <v>1.8286559756666665</v>
      </c>
      <c r="AN10" s="113">
        <f t="shared" si="1"/>
        <v>0.12428987826636262</v>
      </c>
      <c r="AO10">
        <f t="shared" si="2"/>
        <v>2.8131551189241129</v>
      </c>
      <c r="AP10" s="149">
        <f t="shared" si="3"/>
        <v>-0.34996262262067035</v>
      </c>
      <c r="AQ10">
        <f>CORREL(B10:AI10,'NE HDD'!B10:AI10)</f>
        <v>0.78597983962259421</v>
      </c>
      <c r="AR10" s="113">
        <f t="shared" si="9"/>
        <v>-6.309939821871698E-3</v>
      </c>
      <c r="AS10">
        <f t="shared" si="10"/>
        <v>-1.3398041901699638E-2</v>
      </c>
      <c r="AT10">
        <f t="shared" si="11"/>
        <v>1.2039139725025216E-2</v>
      </c>
      <c r="AU10">
        <f t="shared" si="12"/>
        <v>12</v>
      </c>
      <c r="AV10">
        <f t="shared" si="13"/>
        <v>2.1788128296672284</v>
      </c>
      <c r="AW10">
        <f t="shared" si="14"/>
        <v>-3.9629073992740967E-2</v>
      </c>
      <c r="AX10">
        <f t="shared" si="15"/>
        <v>1.2832990189341691E-2</v>
      </c>
      <c r="AY10">
        <f t="shared" si="16"/>
        <v>-6.309939821871698E-3</v>
      </c>
      <c r="AZ10">
        <f t="shared" si="4"/>
        <v>-1.8663702795180447E-2</v>
      </c>
      <c r="BA10">
        <f t="shared" si="5"/>
        <v>6.0438231514370507E-3</v>
      </c>
    </row>
    <row r="11" spans="1:53" x14ac:dyDescent="0.25">
      <c r="A11" s="138" t="s">
        <v>1927</v>
      </c>
      <c r="B11" s="146">
        <v>1.3947919821474464</v>
      </c>
      <c r="C11" s="146">
        <v>1.4631155432774463</v>
      </c>
      <c r="D11" s="146">
        <v>1.5921358677141133</v>
      </c>
      <c r="E11" s="146">
        <v>1.5523648356807798</v>
      </c>
      <c r="F11" s="146">
        <v>1.4802815111441132</v>
      </c>
      <c r="G11" s="146">
        <v>1.4315207891233332</v>
      </c>
      <c r="H11" s="146">
        <v>1.5038829904633333</v>
      </c>
      <c r="I11" s="146">
        <v>1.4698616774599997</v>
      </c>
      <c r="J11" s="146">
        <v>1.3988290214066665</v>
      </c>
      <c r="K11" s="146">
        <v>1.3757394124833331</v>
      </c>
      <c r="L11" s="146">
        <v>1.5949836125299999</v>
      </c>
      <c r="M11" s="146">
        <v>1.5827118568066665</v>
      </c>
      <c r="N11" s="146">
        <v>1.4840628043266664</v>
      </c>
      <c r="O11" s="146">
        <v>1.5895704338799994</v>
      </c>
      <c r="P11" s="146">
        <v>1.7826270805199995</v>
      </c>
      <c r="Q11" s="146">
        <v>1.6445627940133332</v>
      </c>
      <c r="R11" s="146">
        <v>1.5383719824733333</v>
      </c>
      <c r="S11" s="146">
        <v>1.5120552430866665</v>
      </c>
      <c r="T11" s="146">
        <v>1.3251438751833333</v>
      </c>
      <c r="U11" s="146">
        <v>1.4862129567633331</v>
      </c>
      <c r="V11" s="146">
        <v>1.3197149114966666</v>
      </c>
      <c r="W11" s="146">
        <v>1.2874264350566664</v>
      </c>
      <c r="X11" s="146">
        <v>1.1130740513199997</v>
      </c>
      <c r="Y11" s="146">
        <v>1.2805393340666666</v>
      </c>
      <c r="Z11" s="146">
        <v>1.3993527242933332</v>
      </c>
      <c r="AA11" s="146">
        <v>1.4320875513633333</v>
      </c>
      <c r="AB11" s="146">
        <v>1.3215217806633333</v>
      </c>
      <c r="AC11" s="146">
        <v>1.3845043918566664</v>
      </c>
      <c r="AD11" s="146">
        <v>1.4776446638433332</v>
      </c>
      <c r="AE11" s="146">
        <v>1.5527282736900001</v>
      </c>
      <c r="AF11" s="146">
        <v>1.4192344930133329</v>
      </c>
      <c r="AG11" s="146">
        <v>1.3555439515199998</v>
      </c>
      <c r="AH11" s="146">
        <v>1.3233145557499997</v>
      </c>
      <c r="AI11" s="146">
        <v>1.2978848698566663</v>
      </c>
      <c r="AJ11" s="100">
        <f t="shared" si="6"/>
        <v>-5.3323754708942848E-3</v>
      </c>
      <c r="AK11" s="100">
        <f t="shared" si="7"/>
        <v>3.3211465245274437E-3</v>
      </c>
      <c r="AL11" s="100">
        <f t="shared" si="8"/>
        <v>9.298034497472513E-3</v>
      </c>
      <c r="AM11">
        <f t="shared" si="0"/>
        <v>1.1130740513199997</v>
      </c>
      <c r="AN11" s="113">
        <f t="shared" si="1"/>
        <v>0.16603640909380513</v>
      </c>
      <c r="AO11">
        <f t="shared" si="2"/>
        <v>1.7826270805199995</v>
      </c>
      <c r="AP11" s="149">
        <f t="shared" si="3"/>
        <v>-0.37559904509286846</v>
      </c>
      <c r="AQ11">
        <f>CORREL(B11:AI11,'NE HDD'!B11:AI11)</f>
        <v>0.63595284557757081</v>
      </c>
      <c r="AR11" s="113">
        <f>+AL11/AVERAGE(V11:AI11)</f>
        <v>6.8639821161492294E-3</v>
      </c>
      <c r="AS11">
        <f t="shared" si="10"/>
        <v>9.2980344974725113E-3</v>
      </c>
      <c r="AT11">
        <f t="shared" si="11"/>
        <v>6.7026080554741249E-3</v>
      </c>
      <c r="AU11">
        <f t="shared" si="12"/>
        <v>12</v>
      </c>
      <c r="AV11">
        <f t="shared" si="13"/>
        <v>2.1788128296672284</v>
      </c>
      <c r="AW11">
        <f t="shared" si="14"/>
        <v>-5.3056939260254267E-3</v>
      </c>
      <c r="AX11">
        <f t="shared" si="15"/>
        <v>2.3901762920970449E-2</v>
      </c>
      <c r="AY11">
        <f t="shared" si="16"/>
        <v>6.8639821161492276E-3</v>
      </c>
      <c r="AZ11">
        <f t="shared" si="4"/>
        <v>-3.9167620029695186E-3</v>
      </c>
      <c r="BA11">
        <f t="shared" si="5"/>
        <v>1.7644726235267975E-2</v>
      </c>
    </row>
    <row r="12" spans="1:53" x14ac:dyDescent="0.25">
      <c r="AS12">
        <f>MIN(AS3:AS11)</f>
        <v>-6.0912091281662965E-2</v>
      </c>
      <c r="AY12">
        <f>MIN(AY3:AY11)</f>
        <v>-6.309939821871698E-3</v>
      </c>
      <c r="AZ12">
        <f>MIN(AZ3:AZ11)</f>
        <v>-1.8663702795180447E-2</v>
      </c>
      <c r="BA12">
        <f>MIN(BA3:BA11)</f>
        <v>4.9208102832574204E-3</v>
      </c>
    </row>
    <row r="13" spans="1:53" x14ac:dyDescent="0.25">
      <c r="AS13">
        <f>MAX(AS3:AS11)</f>
        <v>0.15773685419308428</v>
      </c>
      <c r="AY13">
        <f>MAX(AY3:AY11)</f>
        <v>1.3409459201896188E-2</v>
      </c>
      <c r="AZ13">
        <f>MAX(AZ3:AZ11)</f>
        <v>-1.9146545676579502E-3</v>
      </c>
      <c r="BA13">
        <f>MAX(BA3:BA11)</f>
        <v>2.8733572971450325E-2</v>
      </c>
    </row>
    <row r="14" spans="1:53" x14ac:dyDescent="0.25">
      <c r="A14" s="120" t="s">
        <v>1963</v>
      </c>
      <c r="AK14">
        <f>+AK4*20</f>
        <v>-1.2980097959632544</v>
      </c>
      <c r="AL14">
        <f>+AL4*40</f>
        <v>-2.1945900330482</v>
      </c>
      <c r="AM14">
        <f>+AL14/V4</f>
        <v>-0.16165177827375674</v>
      </c>
    </row>
    <row r="15" spans="1:53" x14ac:dyDescent="0.25">
      <c r="A15" s="120" t="s">
        <v>1948</v>
      </c>
    </row>
    <row r="16" spans="1:53" x14ac:dyDescent="0.25">
      <c r="A16" s="120" t="s">
        <v>1964</v>
      </c>
    </row>
    <row r="17" spans="1:42" x14ac:dyDescent="0.25">
      <c r="A17" s="120" t="s">
        <v>2007</v>
      </c>
    </row>
    <row r="18" spans="1:42" x14ac:dyDescent="0.25">
      <c r="A18" s="120" t="s">
        <v>1951</v>
      </c>
    </row>
    <row r="19" spans="1:42" x14ac:dyDescent="0.25">
      <c r="A19" s="120" t="s">
        <v>1952</v>
      </c>
    </row>
    <row r="20" spans="1:42" x14ac:dyDescent="0.25">
      <c r="AP20">
        <f>AS4/V4*40</f>
        <v>-0.16165177827375676</v>
      </c>
    </row>
    <row r="21" spans="1:42" x14ac:dyDescent="0.25">
      <c r="A21" t="s">
        <v>2177</v>
      </c>
    </row>
    <row r="22" spans="1:42" x14ac:dyDescent="0.25">
      <c r="A22" s="136" t="s">
        <v>1786</v>
      </c>
      <c r="B22" s="136" t="s">
        <v>1821</v>
      </c>
      <c r="C22" s="136" t="s">
        <v>1822</v>
      </c>
      <c r="D22" s="136" t="s">
        <v>1823</v>
      </c>
      <c r="E22" s="136" t="s">
        <v>1824</v>
      </c>
      <c r="F22" s="136" t="s">
        <v>1825</v>
      </c>
      <c r="G22" s="136" t="s">
        <v>1826</v>
      </c>
      <c r="H22" s="136" t="s">
        <v>1827</v>
      </c>
      <c r="I22" s="136" t="s">
        <v>1828</v>
      </c>
      <c r="J22" s="136" t="s">
        <v>1829</v>
      </c>
      <c r="K22" s="136" t="s">
        <v>1830</v>
      </c>
      <c r="L22" s="136" t="s">
        <v>1831</v>
      </c>
      <c r="M22" s="136" t="s">
        <v>1832</v>
      </c>
      <c r="N22" s="136" t="s">
        <v>1833</v>
      </c>
      <c r="O22" s="136" t="s">
        <v>1834</v>
      </c>
      <c r="P22" s="136" t="s">
        <v>1835</v>
      </c>
      <c r="Q22" s="136" t="s">
        <v>1836</v>
      </c>
      <c r="R22" s="136" t="s">
        <v>1837</v>
      </c>
      <c r="S22" s="136" t="s">
        <v>1838</v>
      </c>
      <c r="T22" s="136" t="s">
        <v>1839</v>
      </c>
      <c r="U22" s="136" t="s">
        <v>1840</v>
      </c>
      <c r="V22" s="136" t="s">
        <v>1841</v>
      </c>
      <c r="W22" s="136" t="s">
        <v>1842</v>
      </c>
      <c r="X22" s="136" t="s">
        <v>1843</v>
      </c>
      <c r="Y22" s="136" t="s">
        <v>1844</v>
      </c>
      <c r="Z22" s="136" t="s">
        <v>1845</v>
      </c>
      <c r="AA22" s="136" t="s">
        <v>1846</v>
      </c>
      <c r="AB22" s="136" t="s">
        <v>1847</v>
      </c>
      <c r="AC22" s="136" t="s">
        <v>1848</v>
      </c>
      <c r="AD22" s="136" t="s">
        <v>1849</v>
      </c>
      <c r="AE22" s="136" t="s">
        <v>1850</v>
      </c>
      <c r="AF22" s="136" t="s">
        <v>1851</v>
      </c>
      <c r="AG22" s="136" t="s">
        <v>1852</v>
      </c>
      <c r="AH22" s="136" t="s">
        <v>1853</v>
      </c>
      <c r="AI22" s="136" t="s">
        <v>1854</v>
      </c>
    </row>
    <row r="23" spans="1:42" x14ac:dyDescent="0.25">
      <c r="A23" s="138" t="s">
        <v>1922</v>
      </c>
      <c r="B23" s="37">
        <f>B3/$V3</f>
        <v>1.0659020302799473</v>
      </c>
      <c r="C23" s="37">
        <f t="shared" ref="C23:AI31" si="17">C3/$V3</f>
        <v>1.0330854654428399</v>
      </c>
      <c r="D23" s="37">
        <f t="shared" si="17"/>
        <v>1.2256342016059565</v>
      </c>
      <c r="E23" s="37">
        <f t="shared" si="17"/>
        <v>1.1708968791761865</v>
      </c>
      <c r="F23" s="37">
        <f t="shared" si="17"/>
        <v>1.1186346369168454</v>
      </c>
      <c r="G23" s="37">
        <f t="shared" si="17"/>
        <v>1.027687078299871</v>
      </c>
      <c r="H23" s="37">
        <f t="shared" si="17"/>
        <v>1.0915361485502615</v>
      </c>
      <c r="I23" s="37">
        <f t="shared" si="17"/>
        <v>1.0588668551748803</v>
      </c>
      <c r="J23" s="37">
        <f t="shared" si="17"/>
        <v>0.92183595351955372</v>
      </c>
      <c r="K23" s="37">
        <f t="shared" si="17"/>
        <v>1.0417608392269506</v>
      </c>
      <c r="L23" s="37">
        <f t="shared" si="17"/>
        <v>1.1381181534221458</v>
      </c>
      <c r="M23" s="37">
        <f t="shared" si="17"/>
        <v>1.104389445778621</v>
      </c>
      <c r="N23" s="37">
        <f t="shared" si="17"/>
        <v>1.0693226415004662</v>
      </c>
      <c r="O23" s="37">
        <f t="shared" si="17"/>
        <v>1.273021891714532</v>
      </c>
      <c r="P23" s="37">
        <f t="shared" si="17"/>
        <v>1.3371189504485643</v>
      </c>
      <c r="Q23" s="37">
        <f t="shared" si="17"/>
        <v>1.219203191528315</v>
      </c>
      <c r="R23" s="37">
        <f t="shared" si="17"/>
        <v>1.0540824568537797</v>
      </c>
      <c r="S23" s="37">
        <f t="shared" si="17"/>
        <v>1.0907080566377747</v>
      </c>
      <c r="T23" s="37">
        <f t="shared" si="17"/>
        <v>1.0697910554816856</v>
      </c>
      <c r="U23" s="37">
        <f t="shared" si="17"/>
        <v>1.0709043810738288</v>
      </c>
      <c r="V23" s="37">
        <f t="shared" si="17"/>
        <v>1</v>
      </c>
      <c r="W23" s="37">
        <f t="shared" si="17"/>
        <v>0.95316290344332444</v>
      </c>
      <c r="X23" s="37">
        <f t="shared" si="17"/>
        <v>0.87762529169752157</v>
      </c>
      <c r="Y23" s="37">
        <f t="shared" si="17"/>
        <v>0.95942148991401222</v>
      </c>
      <c r="Z23" s="37">
        <f t="shared" si="17"/>
        <v>0.99445334611198655</v>
      </c>
      <c r="AA23" s="37">
        <f t="shared" si="17"/>
        <v>1.0206046337438566</v>
      </c>
      <c r="AB23" s="37">
        <f t="shared" si="17"/>
        <v>0.83349649172996332</v>
      </c>
      <c r="AC23" s="37">
        <f t="shared" si="17"/>
        <v>0.86454752772260879</v>
      </c>
      <c r="AD23" s="37">
        <f t="shared" si="17"/>
        <v>0.99105819341904933</v>
      </c>
      <c r="AE23" s="37">
        <f t="shared" si="17"/>
        <v>0.96672063068093528</v>
      </c>
      <c r="AF23" s="37">
        <f t="shared" si="17"/>
        <v>0.87063250525873348</v>
      </c>
      <c r="AG23" s="37">
        <f t="shared" si="17"/>
        <v>0.94606163325519121</v>
      </c>
      <c r="AH23" s="37">
        <f t="shared" si="17"/>
        <v>0.93992527221978206</v>
      </c>
      <c r="AI23" s="37">
        <f t="shared" si="17"/>
        <v>0.90625434008058081</v>
      </c>
    </row>
    <row r="24" spans="1:42" x14ac:dyDescent="0.25">
      <c r="A24" s="138" t="s">
        <v>1788</v>
      </c>
      <c r="B24" s="37">
        <f t="shared" ref="B24:Q31" si="18">B4/$V4</f>
        <v>1.1037630624514636</v>
      </c>
      <c r="C24" s="37">
        <f t="shared" si="18"/>
        <v>1.0455930922755943</v>
      </c>
      <c r="D24" s="37">
        <f t="shared" si="18"/>
        <v>1.1985782149455579</v>
      </c>
      <c r="E24" s="37">
        <f t="shared" si="18"/>
        <v>1.2070602458534943</v>
      </c>
      <c r="F24" s="37">
        <f t="shared" si="18"/>
        <v>1.2032843797539878</v>
      </c>
      <c r="G24" s="37">
        <f t="shared" si="18"/>
        <v>1.0850300102342425</v>
      </c>
      <c r="H24" s="37">
        <f t="shared" si="18"/>
        <v>1.0705902634623867</v>
      </c>
      <c r="I24" s="37">
        <f t="shared" si="18"/>
        <v>1.0610398112996298</v>
      </c>
      <c r="J24" s="37">
        <f t="shared" si="18"/>
        <v>0.97522247135399864</v>
      </c>
      <c r="K24" s="37">
        <f t="shared" si="18"/>
        <v>1.0167137496701137</v>
      </c>
      <c r="L24" s="37">
        <f t="shared" si="18"/>
        <v>1.1388153273605606</v>
      </c>
      <c r="M24" s="37">
        <f t="shared" si="18"/>
        <v>1.1645709647270959</v>
      </c>
      <c r="N24" s="37">
        <f t="shared" si="18"/>
        <v>1.161093984001385</v>
      </c>
      <c r="O24" s="37">
        <f t="shared" si="18"/>
        <v>1.2008813357711945</v>
      </c>
      <c r="P24" s="37">
        <f t="shared" si="18"/>
        <v>1.0979568484266811</v>
      </c>
      <c r="Q24" s="37">
        <f t="shared" si="18"/>
        <v>1.0988599193738797</v>
      </c>
      <c r="R24" s="37">
        <f t="shared" si="17"/>
        <v>0.95055995706095886</v>
      </c>
      <c r="S24" s="37">
        <f t="shared" si="17"/>
        <v>1.0024178174842791</v>
      </c>
      <c r="T24" s="37">
        <f t="shared" si="17"/>
        <v>1.0699939851601421</v>
      </c>
      <c r="U24" s="37">
        <f t="shared" si="17"/>
        <v>1.0213354949155906</v>
      </c>
      <c r="V24" s="37">
        <f t="shared" si="17"/>
        <v>1</v>
      </c>
      <c r="W24" s="37">
        <f t="shared" si="17"/>
        <v>1.0067744700360253</v>
      </c>
      <c r="X24" s="37">
        <f t="shared" si="17"/>
        <v>0.86981503699372698</v>
      </c>
      <c r="Y24" s="37">
        <f t="shared" si="17"/>
        <v>0.91104269598830845</v>
      </c>
      <c r="Z24" s="37">
        <f t="shared" si="17"/>
        <v>1.0111839499328699</v>
      </c>
      <c r="AA24" s="37">
        <f t="shared" si="17"/>
        <v>1.0037654467140744</v>
      </c>
      <c r="AB24" s="37">
        <f t="shared" si="17"/>
        <v>0.8430053044506729</v>
      </c>
      <c r="AC24" s="37">
        <f t="shared" si="17"/>
        <v>0.91498176869006032</v>
      </c>
      <c r="AD24" s="37">
        <f t="shared" si="17"/>
        <v>0.98674737686403591</v>
      </c>
      <c r="AE24" s="37">
        <f t="shared" si="17"/>
        <v>1.0094999022405684</v>
      </c>
      <c r="AF24" s="37">
        <f t="shared" si="17"/>
        <v>0.89972803393725509</v>
      </c>
      <c r="AG24" s="37">
        <f t="shared" si="17"/>
        <v>0.92618750242793013</v>
      </c>
      <c r="AH24" s="37">
        <f t="shared" si="17"/>
        <v>0.95543825432819762</v>
      </c>
      <c r="AI24" s="37">
        <f t="shared" si="17"/>
        <v>0.86809675570337697</v>
      </c>
    </row>
    <row r="25" spans="1:42" x14ac:dyDescent="0.25">
      <c r="A25" s="138" t="s">
        <v>1923</v>
      </c>
      <c r="B25" s="37">
        <f t="shared" si="18"/>
        <v>1.1094492330683285</v>
      </c>
      <c r="C25" s="37">
        <f t="shared" si="17"/>
        <v>1.1169074498396387</v>
      </c>
      <c r="D25" s="37">
        <f t="shared" si="17"/>
        <v>1.119609031200244</v>
      </c>
      <c r="E25" s="37">
        <f t="shared" si="17"/>
        <v>1.1657789973336796</v>
      </c>
      <c r="F25" s="37">
        <f t="shared" si="17"/>
        <v>1.1979771680321076</v>
      </c>
      <c r="G25" s="37">
        <f t="shared" si="17"/>
        <v>1.474156890699744</v>
      </c>
      <c r="H25" s="37">
        <f t="shared" si="17"/>
        <v>1.5168934809259007</v>
      </c>
      <c r="I25" s="37">
        <f t="shared" si="17"/>
        <v>1.4673343544439645</v>
      </c>
      <c r="J25" s="37">
        <f t="shared" si="17"/>
        <v>1.5831797456621579</v>
      </c>
      <c r="K25" s="37">
        <f t="shared" si="17"/>
        <v>1.506577936049416</v>
      </c>
      <c r="L25" s="37">
        <f t="shared" si="17"/>
        <v>1.4574184586085119</v>
      </c>
      <c r="M25" s="37">
        <f t="shared" si="17"/>
        <v>1.4501238932543838</v>
      </c>
      <c r="N25" s="37">
        <f t="shared" si="17"/>
        <v>1.3047945049576628</v>
      </c>
      <c r="O25" s="37">
        <f t="shared" si="17"/>
        <v>1.7886638694857013</v>
      </c>
      <c r="P25" s="37">
        <f t="shared" si="17"/>
        <v>1.9435812731030377</v>
      </c>
      <c r="Q25" s="37">
        <f t="shared" si="17"/>
        <v>1.734350250545885</v>
      </c>
      <c r="R25" s="37">
        <f t="shared" si="17"/>
        <v>1.5062902221826406</v>
      </c>
      <c r="S25" s="37">
        <f t="shared" si="17"/>
        <v>1.443674723648684</v>
      </c>
      <c r="T25" s="37">
        <f t="shared" si="17"/>
        <v>1.1696772492483469</v>
      </c>
      <c r="U25" s="37">
        <f t="shared" si="17"/>
        <v>1.1027820371437724</v>
      </c>
      <c r="V25" s="37">
        <f t="shared" si="17"/>
        <v>1</v>
      </c>
      <c r="W25" s="37">
        <f t="shared" si="17"/>
        <v>1.0251185664921374</v>
      </c>
      <c r="X25" s="37">
        <f t="shared" si="17"/>
        <v>0.84612473011757516</v>
      </c>
      <c r="Y25" s="37">
        <f t="shared" si="17"/>
        <v>0.90802561001457283</v>
      </c>
      <c r="Z25" s="37">
        <f t="shared" si="17"/>
        <v>0.96702731157131827</v>
      </c>
      <c r="AA25" s="37">
        <f t="shared" si="17"/>
        <v>1.1461929576450507</v>
      </c>
      <c r="AB25" s="37">
        <f t="shared" si="17"/>
        <v>1.11451778537372</v>
      </c>
      <c r="AC25" s="37">
        <f t="shared" si="17"/>
        <v>1.1258199463421539</v>
      </c>
      <c r="AD25" s="37">
        <f t="shared" si="17"/>
        <v>1.1738482144265812</v>
      </c>
      <c r="AE25" s="37">
        <f t="shared" si="17"/>
        <v>1.141469995503007</v>
      </c>
      <c r="AF25" s="37">
        <f t="shared" si="17"/>
        <v>1.0787638533974007</v>
      </c>
      <c r="AG25" s="37">
        <f t="shared" si="17"/>
        <v>1.001789862431655</v>
      </c>
      <c r="AH25" s="37">
        <f t="shared" si="17"/>
        <v>0.99825810574699725</v>
      </c>
      <c r="AI25" s="37">
        <f t="shared" si="17"/>
        <v>1.0566319363229513</v>
      </c>
    </row>
    <row r="26" spans="1:42" x14ac:dyDescent="0.25">
      <c r="A26" s="138" t="s">
        <v>1924</v>
      </c>
      <c r="B26" s="37">
        <f t="shared" si="18"/>
        <v>1.0782898656272961</v>
      </c>
      <c r="C26" s="37">
        <f t="shared" si="17"/>
        <v>1.0758150948403047</v>
      </c>
      <c r="D26" s="37">
        <f t="shared" si="17"/>
        <v>1.1270907369297949</v>
      </c>
      <c r="E26" s="37">
        <f t="shared" si="17"/>
        <v>1.1233994705998349</v>
      </c>
      <c r="F26" s="37">
        <f t="shared" si="17"/>
        <v>1.150488312248388</v>
      </c>
      <c r="G26" s="37">
        <f t="shared" si="17"/>
        <v>1.2081807249308614</v>
      </c>
      <c r="H26" s="37">
        <f t="shared" si="17"/>
        <v>1.2839430078242093</v>
      </c>
      <c r="I26" s="37">
        <f t="shared" si="17"/>
        <v>1.2758012593673149</v>
      </c>
      <c r="J26" s="37">
        <f t="shared" si="17"/>
        <v>1.2435296886508878</v>
      </c>
      <c r="K26" s="37">
        <f t="shared" si="17"/>
        <v>1.253981834040319</v>
      </c>
      <c r="L26" s="37">
        <f t="shared" si="17"/>
        <v>1.2746993918288763</v>
      </c>
      <c r="M26" s="37">
        <f t="shared" si="17"/>
        <v>1.2432382324638993</v>
      </c>
      <c r="N26" s="37">
        <f t="shared" si="17"/>
        <v>1.1616248080432519</v>
      </c>
      <c r="O26" s="37">
        <f t="shared" si="17"/>
        <v>1.4419971125610158</v>
      </c>
      <c r="P26" s="37">
        <f t="shared" si="17"/>
        <v>1.4820408586375533</v>
      </c>
      <c r="Q26" s="37">
        <f t="shared" si="17"/>
        <v>1.393024283646207</v>
      </c>
      <c r="R26" s="37">
        <f t="shared" si="17"/>
        <v>1.2266942461289632</v>
      </c>
      <c r="S26" s="37">
        <f t="shared" si="17"/>
        <v>1.2273060821710813</v>
      </c>
      <c r="T26" s="37">
        <f t="shared" si="17"/>
        <v>1.2062611947193234</v>
      </c>
      <c r="U26" s="37">
        <f t="shared" si="17"/>
        <v>1.1242698384082404</v>
      </c>
      <c r="V26" s="37">
        <f t="shared" si="17"/>
        <v>1</v>
      </c>
      <c r="W26" s="37">
        <f t="shared" si="17"/>
        <v>1.0495256778442641</v>
      </c>
      <c r="X26" s="37">
        <f t="shared" si="17"/>
        <v>0.86022486140074361</v>
      </c>
      <c r="Y26" s="37">
        <f t="shared" si="17"/>
        <v>1.0222442754096526</v>
      </c>
      <c r="Z26" s="37">
        <f t="shared" si="17"/>
        <v>1.2135109278048821</v>
      </c>
      <c r="AA26" s="37">
        <f t="shared" si="17"/>
        <v>1.2145881725032375</v>
      </c>
      <c r="AB26" s="37">
        <f t="shared" si="17"/>
        <v>1.1302490729472634</v>
      </c>
      <c r="AC26" s="37">
        <f t="shared" si="17"/>
        <v>1.2400767868516342</v>
      </c>
      <c r="AD26" s="37">
        <f t="shared" si="17"/>
        <v>1.3493946120067217</v>
      </c>
      <c r="AE26" s="37">
        <f t="shared" si="17"/>
        <v>1.3189598598266048</v>
      </c>
      <c r="AF26" s="37">
        <f t="shared" si="17"/>
        <v>1.23275567990487</v>
      </c>
      <c r="AG26" s="37">
        <f t="shared" si="17"/>
        <v>1.0881606600385367</v>
      </c>
      <c r="AH26" s="37">
        <f t="shared" si="17"/>
        <v>1.1224523909129644</v>
      </c>
      <c r="AI26" s="37">
        <f t="shared" si="17"/>
        <v>1.1222072932942602</v>
      </c>
    </row>
    <row r="27" spans="1:42" x14ac:dyDescent="0.25">
      <c r="A27" s="138" t="s">
        <v>1939</v>
      </c>
      <c r="B27" s="37">
        <f t="shared" si="18"/>
        <v>1.0579755018445924</v>
      </c>
      <c r="C27" s="37">
        <f t="shared" si="17"/>
        <v>1.0558858050003603</v>
      </c>
      <c r="D27" s="37">
        <f t="shared" si="17"/>
        <v>1.1447586754028256</v>
      </c>
      <c r="E27" s="37">
        <f t="shared" si="17"/>
        <v>1.1127441080400458</v>
      </c>
      <c r="F27" s="37">
        <f t="shared" si="17"/>
        <v>1.2341231104016444</v>
      </c>
      <c r="G27" s="37">
        <f t="shared" si="17"/>
        <v>1.1032379672230817</v>
      </c>
      <c r="H27" s="37">
        <f t="shared" si="17"/>
        <v>1.215619734761195</v>
      </c>
      <c r="I27" s="37">
        <f t="shared" si="17"/>
        <v>1.1668834637375394</v>
      </c>
      <c r="J27" s="37">
        <f t="shared" si="17"/>
        <v>1.0322115799065568</v>
      </c>
      <c r="K27" s="37">
        <f t="shared" si="17"/>
        <v>1.0990875376550771</v>
      </c>
      <c r="L27" s="37">
        <f t="shared" si="17"/>
        <v>1.1536472749775817</v>
      </c>
      <c r="M27" s="37">
        <f t="shared" si="17"/>
        <v>1.1168226844526472</v>
      </c>
      <c r="N27" s="37">
        <f t="shared" si="17"/>
        <v>1.0718762595521865</v>
      </c>
      <c r="O27" s="37">
        <f t="shared" si="17"/>
        <v>1.2502435007704018</v>
      </c>
      <c r="P27" s="37">
        <f t="shared" si="17"/>
        <v>1.1818844387027871</v>
      </c>
      <c r="Q27" s="37">
        <f t="shared" si="17"/>
        <v>1.142500891875158</v>
      </c>
      <c r="R27" s="37">
        <f t="shared" si="17"/>
        <v>0.96055660578894431</v>
      </c>
      <c r="S27" s="37">
        <f t="shared" si="17"/>
        <v>1.094399764559369</v>
      </c>
      <c r="T27" s="37">
        <f t="shared" si="17"/>
        <v>1.0800743644743125</v>
      </c>
      <c r="U27" s="37">
        <f t="shared" si="17"/>
        <v>1.0611417529115397</v>
      </c>
      <c r="V27" s="37">
        <f t="shared" si="17"/>
        <v>1</v>
      </c>
      <c r="W27" s="37">
        <f t="shared" si="17"/>
        <v>0.95448783971335827</v>
      </c>
      <c r="X27" s="37">
        <f t="shared" si="17"/>
        <v>0.85246832767004976</v>
      </c>
      <c r="Y27" s="37">
        <f t="shared" si="17"/>
        <v>0.9899866828565318</v>
      </c>
      <c r="Z27" s="37">
        <f t="shared" si="17"/>
        <v>1.0896910350807536</v>
      </c>
      <c r="AA27" s="37">
        <f t="shared" si="17"/>
        <v>1.0448451611237441</v>
      </c>
      <c r="AB27" s="37">
        <f t="shared" si="17"/>
        <v>0.91466612338692033</v>
      </c>
      <c r="AC27" s="37">
        <f t="shared" si="17"/>
        <v>0.93848375285607255</v>
      </c>
      <c r="AD27" s="37">
        <f t="shared" si="17"/>
        <v>1.0683888499947427</v>
      </c>
      <c r="AE27" s="37">
        <f t="shared" si="17"/>
        <v>1.0326656127147884</v>
      </c>
      <c r="AF27" s="37">
        <f t="shared" si="17"/>
        <v>0.9488311044575769</v>
      </c>
      <c r="AG27" s="37">
        <f t="shared" si="17"/>
        <v>1.0035634461621519</v>
      </c>
      <c r="AH27" s="37">
        <f t="shared" si="17"/>
        <v>1.0275008717449743</v>
      </c>
      <c r="AI27" s="37">
        <f t="shared" si="17"/>
        <v>0.93558038255186249</v>
      </c>
    </row>
    <row r="28" spans="1:42" x14ac:dyDescent="0.25">
      <c r="A28" s="138" t="s">
        <v>1925</v>
      </c>
      <c r="B28" s="37">
        <f t="shared" si="18"/>
        <v>1.0621451185501452</v>
      </c>
      <c r="C28" s="37">
        <f t="shared" si="17"/>
        <v>1.0403265826273118</v>
      </c>
      <c r="D28" s="37">
        <f t="shared" si="17"/>
        <v>1.1459872352622298</v>
      </c>
      <c r="E28" s="37">
        <f t="shared" si="17"/>
        <v>1.1288229819327378</v>
      </c>
      <c r="F28" s="37">
        <f t="shared" si="17"/>
        <v>1.1176022230516813</v>
      </c>
      <c r="G28" s="37">
        <f t="shared" si="17"/>
        <v>1.0832614516944687</v>
      </c>
      <c r="H28" s="37">
        <f t="shared" si="17"/>
        <v>1.1596782042852352</v>
      </c>
      <c r="I28" s="37">
        <f t="shared" si="17"/>
        <v>1.1000372598114854</v>
      </c>
      <c r="J28" s="37">
        <f t="shared" si="17"/>
        <v>1.0018614073147769</v>
      </c>
      <c r="K28" s="37">
        <f t="shared" si="17"/>
        <v>1.0875494106608634</v>
      </c>
      <c r="L28" s="37">
        <f t="shared" si="17"/>
        <v>1.2424070224803256</v>
      </c>
      <c r="M28" s="37">
        <f t="shared" si="17"/>
        <v>1.2080127474775082</v>
      </c>
      <c r="N28" s="37">
        <f t="shared" si="17"/>
        <v>1.1433138708647219</v>
      </c>
      <c r="O28" s="37">
        <f t="shared" si="17"/>
        <v>1.2389187788149991</v>
      </c>
      <c r="P28" s="37">
        <f t="shared" si="17"/>
        <v>1.2083633333229968</v>
      </c>
      <c r="Q28" s="37">
        <f t="shared" si="17"/>
        <v>1.2406255968936455</v>
      </c>
      <c r="R28" s="37">
        <f t="shared" si="17"/>
        <v>1.033982864484297</v>
      </c>
      <c r="S28" s="37">
        <f t="shared" si="17"/>
        <v>1.1527466341463168</v>
      </c>
      <c r="T28" s="37">
        <f t="shared" si="17"/>
        <v>1.1156463418388474</v>
      </c>
      <c r="U28" s="37">
        <f t="shared" si="17"/>
        <v>1.0389029376457104</v>
      </c>
      <c r="V28" s="37">
        <f t="shared" si="17"/>
        <v>1</v>
      </c>
      <c r="W28" s="37">
        <f t="shared" si="17"/>
        <v>0.97943080061686649</v>
      </c>
      <c r="X28" s="37">
        <f t="shared" si="17"/>
        <v>0.9534908360591956</v>
      </c>
      <c r="Y28" s="37">
        <f t="shared" si="17"/>
        <v>1.0099029554431043</v>
      </c>
      <c r="Z28" s="37">
        <f t="shared" si="17"/>
        <v>1.1169383698833362</v>
      </c>
      <c r="AA28" s="37">
        <f t="shared" si="17"/>
        <v>1.1185061216996917</v>
      </c>
      <c r="AB28" s="37">
        <f t="shared" si="17"/>
        <v>0.97324122456714224</v>
      </c>
      <c r="AC28" s="37">
        <f t="shared" si="17"/>
        <v>0.99329267822255352</v>
      </c>
      <c r="AD28" s="37">
        <f t="shared" si="17"/>
        <v>1.151965426839185</v>
      </c>
      <c r="AE28" s="37">
        <f t="shared" si="17"/>
        <v>1.1310219175791927</v>
      </c>
      <c r="AF28" s="37">
        <f t="shared" si="17"/>
        <v>0.99657373123842763</v>
      </c>
      <c r="AG28" s="37">
        <f t="shared" si="17"/>
        <v>1.0670709199377353</v>
      </c>
      <c r="AH28" s="37">
        <f t="shared" si="17"/>
        <v>1.0742717886211841</v>
      </c>
      <c r="AI28" s="37">
        <f t="shared" si="17"/>
        <v>1.0078948149031022</v>
      </c>
    </row>
    <row r="29" spans="1:42" x14ac:dyDescent="0.25">
      <c r="A29" s="138" t="s">
        <v>1940</v>
      </c>
      <c r="B29" s="37">
        <f t="shared" si="18"/>
        <v>1.1331513638993216</v>
      </c>
      <c r="C29" s="37">
        <f t="shared" si="17"/>
        <v>1.1479732455162877</v>
      </c>
      <c r="D29" s="37">
        <f t="shared" si="17"/>
        <v>1.2216609650160422</v>
      </c>
      <c r="E29" s="37">
        <f t="shared" si="17"/>
        <v>1.2650571920005838</v>
      </c>
      <c r="F29" s="37">
        <f t="shared" si="17"/>
        <v>1.2545611544732131</v>
      </c>
      <c r="G29" s="37">
        <f t="shared" si="17"/>
        <v>1.215033635468624</v>
      </c>
      <c r="H29" s="37">
        <f t="shared" si="17"/>
        <v>1.2780479770811941</v>
      </c>
      <c r="I29" s="37">
        <f t="shared" si="17"/>
        <v>1.2039918113258594</v>
      </c>
      <c r="J29" s="37">
        <f t="shared" si="17"/>
        <v>1.0301728393101237</v>
      </c>
      <c r="K29" s="37">
        <f t="shared" si="17"/>
        <v>1.1509009237116927</v>
      </c>
      <c r="L29" s="37">
        <f t="shared" si="17"/>
        <v>1.2587761394095542</v>
      </c>
      <c r="M29" s="37">
        <f t="shared" si="17"/>
        <v>1.1844712331655505</v>
      </c>
      <c r="N29" s="37">
        <f t="shared" si="17"/>
        <v>1.1645778094226631</v>
      </c>
      <c r="O29" s="37">
        <f t="shared" si="17"/>
        <v>1.2884875651388574</v>
      </c>
      <c r="P29" s="37">
        <f t="shared" si="17"/>
        <v>1.2363361030536673</v>
      </c>
      <c r="Q29" s="37">
        <f t="shared" si="17"/>
        <v>1.1707220380414753</v>
      </c>
      <c r="R29" s="37">
        <f t="shared" si="17"/>
        <v>0.99200995891034871</v>
      </c>
      <c r="S29" s="37">
        <f t="shared" si="17"/>
        <v>1.0637508602098129</v>
      </c>
      <c r="T29" s="37">
        <f t="shared" si="17"/>
        <v>1.2557906218297008</v>
      </c>
      <c r="U29" s="37">
        <f t="shared" si="17"/>
        <v>0.98074993667432542</v>
      </c>
      <c r="V29" s="37">
        <f t="shared" si="17"/>
        <v>1</v>
      </c>
      <c r="W29" s="37">
        <f t="shared" si="17"/>
        <v>0.96112554400733552</v>
      </c>
      <c r="X29" s="37">
        <f t="shared" si="17"/>
        <v>0.85089443899095196</v>
      </c>
      <c r="Y29" s="37">
        <f t="shared" si="17"/>
        <v>0.98270342590102</v>
      </c>
      <c r="Z29" s="37">
        <f t="shared" si="17"/>
        <v>1.0952944210644311</v>
      </c>
      <c r="AA29" s="37">
        <f t="shared" si="17"/>
        <v>1.0199197912063727</v>
      </c>
      <c r="AB29" s="37">
        <f t="shared" si="17"/>
        <v>0.91147175636686273</v>
      </c>
      <c r="AC29" s="37">
        <f t="shared" si="17"/>
        <v>0.91379642257796312</v>
      </c>
      <c r="AD29" s="37">
        <f t="shared" si="17"/>
        <v>1.0701538990444699</v>
      </c>
      <c r="AE29" s="37">
        <f t="shared" si="17"/>
        <v>0.96484248556855634</v>
      </c>
      <c r="AF29" s="37">
        <f t="shared" si="17"/>
        <v>0.8801035117068382</v>
      </c>
      <c r="AG29" s="37">
        <f t="shared" si="17"/>
        <v>0.95221715020025566</v>
      </c>
      <c r="AH29" s="37">
        <f t="shared" si="17"/>
        <v>0.99336744444504976</v>
      </c>
      <c r="AI29" s="37">
        <f t="shared" si="17"/>
        <v>0.89070121283286596</v>
      </c>
    </row>
    <row r="30" spans="1:42" x14ac:dyDescent="0.25">
      <c r="A30" s="138" t="s">
        <v>1926</v>
      </c>
      <c r="B30" s="37">
        <f t="shared" si="18"/>
        <v>1.0460122170052817</v>
      </c>
      <c r="C30" s="37">
        <f t="shared" si="17"/>
        <v>1.0514373700394586</v>
      </c>
      <c r="D30" s="37">
        <f t="shared" si="17"/>
        <v>1.247869681941016</v>
      </c>
      <c r="E30" s="37">
        <f t="shared" si="17"/>
        <v>1.1876668462109046</v>
      </c>
      <c r="F30" s="37">
        <f t="shared" si="17"/>
        <v>1.2085446921497338</v>
      </c>
      <c r="G30" s="37">
        <f t="shared" si="17"/>
        <v>1.1176290358305341</v>
      </c>
      <c r="H30" s="37">
        <f t="shared" si="17"/>
        <v>1.1634367323530777</v>
      </c>
      <c r="I30" s="37">
        <f t="shared" si="17"/>
        <v>1.1690487982787878</v>
      </c>
      <c r="J30" s="37">
        <f t="shared" si="17"/>
        <v>1.0677186561466723</v>
      </c>
      <c r="K30" s="37">
        <f t="shared" si="17"/>
        <v>1.0433318351964531</v>
      </c>
      <c r="L30" s="37">
        <f t="shared" si="17"/>
        <v>1.1174079059247497</v>
      </c>
      <c r="M30" s="37">
        <f t="shared" si="17"/>
        <v>1.1550409672776489</v>
      </c>
      <c r="N30" s="37">
        <f t="shared" si="17"/>
        <v>1.1039596894395736</v>
      </c>
      <c r="O30" s="37">
        <f t="shared" si="17"/>
        <v>1.2585644396342941</v>
      </c>
      <c r="P30" s="37">
        <f t="shared" si="17"/>
        <v>1.2502121108370918</v>
      </c>
      <c r="Q30" s="37">
        <f t="shared" si="17"/>
        <v>1.2131652764205463</v>
      </c>
      <c r="R30" s="37">
        <f t="shared" si="17"/>
        <v>0.98973036303386608</v>
      </c>
      <c r="S30" s="37">
        <f t="shared" si="17"/>
        <v>1.0260076447300752</v>
      </c>
      <c r="T30" s="37">
        <f t="shared" si="17"/>
        <v>1.0052894136797539</v>
      </c>
      <c r="U30" s="37">
        <f t="shared" si="17"/>
        <v>1.0503097979933333</v>
      </c>
      <c r="V30" s="37">
        <f t="shared" si="17"/>
        <v>1</v>
      </c>
      <c r="W30" s="37">
        <f t="shared" si="17"/>
        <v>0.95491855782426605</v>
      </c>
      <c r="X30" s="37">
        <f t="shared" si="17"/>
        <v>0.91972026789557226</v>
      </c>
      <c r="Y30" s="37">
        <f t="shared" si="17"/>
        <v>1.0096663487993578</v>
      </c>
      <c r="Z30" s="37">
        <f t="shared" si="17"/>
        <v>1.0421405218069568</v>
      </c>
      <c r="AA30" s="37">
        <f t="shared" si="17"/>
        <v>1.0958328468994056</v>
      </c>
      <c r="AB30" s="37">
        <f t="shared" si="17"/>
        <v>0.81811392760276225</v>
      </c>
      <c r="AC30" s="37">
        <f t="shared" si="17"/>
        <v>0.83009369200694338</v>
      </c>
      <c r="AD30" s="37">
        <f t="shared" si="17"/>
        <v>1.0345652629931852</v>
      </c>
      <c r="AE30" s="37">
        <f t="shared" si="17"/>
        <v>0.92708268589256015</v>
      </c>
      <c r="AF30" s="37">
        <f t="shared" si="17"/>
        <v>0.84919937443930249</v>
      </c>
      <c r="AG30" s="37">
        <f t="shared" si="17"/>
        <v>0.95580322741396173</v>
      </c>
      <c r="AH30" s="37">
        <f t="shared" si="17"/>
        <v>0.94227861655005207</v>
      </c>
      <c r="AI30" s="37">
        <f t="shared" si="17"/>
        <v>0.9197972080725253</v>
      </c>
    </row>
    <row r="31" spans="1:42" x14ac:dyDescent="0.25">
      <c r="A31" s="138" t="s">
        <v>1927</v>
      </c>
      <c r="B31" s="37">
        <f t="shared" si="18"/>
        <v>1.0568888553101488</v>
      </c>
      <c r="C31" s="37">
        <f t="shared" si="17"/>
        <v>1.1086603102924339</v>
      </c>
      <c r="D31" s="37">
        <f t="shared" si="17"/>
        <v>1.2064240949649485</v>
      </c>
      <c r="E31" s="37">
        <f t="shared" si="17"/>
        <v>1.1762880165688729</v>
      </c>
      <c r="F31" s="37">
        <f t="shared" si="17"/>
        <v>1.1216676406765387</v>
      </c>
      <c r="G31" s="37">
        <f t="shared" si="17"/>
        <v>1.0847197198824323</v>
      </c>
      <c r="H31" s="37">
        <f t="shared" si="17"/>
        <v>1.139551411719524</v>
      </c>
      <c r="I31" s="37">
        <f t="shared" ref="I31:AI31" si="19">I11/$V11</f>
        <v>1.1137721220358525</v>
      </c>
      <c r="J31" s="37">
        <f t="shared" si="19"/>
        <v>1.0599478790614543</v>
      </c>
      <c r="K31" s="37">
        <f t="shared" si="19"/>
        <v>1.0424519723908627</v>
      </c>
      <c r="L31" s="37">
        <f t="shared" si="19"/>
        <v>1.2085819434450094</v>
      </c>
      <c r="M31" s="37">
        <f t="shared" si="19"/>
        <v>1.1992831504887214</v>
      </c>
      <c r="N31" s="37">
        <f t="shared" si="19"/>
        <v>1.1245328755462918</v>
      </c>
      <c r="O31" s="37">
        <f t="shared" si="19"/>
        <v>1.2044801646419938</v>
      </c>
      <c r="P31" s="37">
        <f t="shared" si="19"/>
        <v>1.3507667943967927</v>
      </c>
      <c r="Q31" s="37">
        <f t="shared" si="19"/>
        <v>1.2461500432303685</v>
      </c>
      <c r="R31" s="37">
        <f t="shared" si="19"/>
        <v>1.1656850802183414</v>
      </c>
      <c r="S31" s="37">
        <f t="shared" si="19"/>
        <v>1.1457438496105723</v>
      </c>
      <c r="T31" s="37">
        <f t="shared" si="19"/>
        <v>1.0041137397474049</v>
      </c>
      <c r="U31" s="37">
        <f t="shared" si="19"/>
        <v>1.126162130787659</v>
      </c>
      <c r="V31" s="37">
        <f t="shared" si="19"/>
        <v>1</v>
      </c>
      <c r="W31" s="37">
        <f t="shared" si="19"/>
        <v>0.97553374887354849</v>
      </c>
      <c r="X31" s="37">
        <f t="shared" si="19"/>
        <v>0.84342007627820237</v>
      </c>
      <c r="Y31" s="37">
        <f t="shared" si="19"/>
        <v>0.9703151210244555</v>
      </c>
      <c r="Z31" s="37">
        <f t="shared" si="19"/>
        <v>1.060344709378445</v>
      </c>
      <c r="AA31" s="37">
        <f t="shared" si="19"/>
        <v>1.085149177968465</v>
      </c>
      <c r="AB31" s="37">
        <f t="shared" si="19"/>
        <v>1.00136913597848</v>
      </c>
      <c r="AC31" s="37">
        <f t="shared" si="19"/>
        <v>1.0490935427004633</v>
      </c>
      <c r="AD31" s="37">
        <f t="shared" si="19"/>
        <v>1.1196695975554001</v>
      </c>
      <c r="AE31" s="37">
        <f t="shared" si="19"/>
        <v>1.1765634078719902</v>
      </c>
      <c r="AF31" s="37">
        <f t="shared" si="19"/>
        <v>1.0754099091021128</v>
      </c>
      <c r="AG31" s="37">
        <f t="shared" si="19"/>
        <v>1.027149075691431</v>
      </c>
      <c r="AH31" s="37">
        <f t="shared" si="19"/>
        <v>1.0027275923170791</v>
      </c>
      <c r="AI31" s="37">
        <f t="shared" si="19"/>
        <v>0.98345851710105836</v>
      </c>
    </row>
    <row r="34" spans="1:42" x14ac:dyDescent="0.25">
      <c r="A34" t="s">
        <v>2012</v>
      </c>
      <c r="AP34" t="s">
        <v>2232</v>
      </c>
    </row>
    <row r="35" spans="1:42" x14ac:dyDescent="0.25">
      <c r="A35" s="136" t="s">
        <v>1786</v>
      </c>
      <c r="B35" s="136" t="s">
        <v>1821</v>
      </c>
      <c r="C35" s="136" t="s">
        <v>1822</v>
      </c>
      <c r="D35" s="136" t="s">
        <v>1823</v>
      </c>
      <c r="E35" s="136" t="s">
        <v>1824</v>
      </c>
      <c r="F35" s="136" t="s">
        <v>1825</v>
      </c>
      <c r="G35" s="136" t="s">
        <v>1826</v>
      </c>
      <c r="H35" s="136" t="s">
        <v>1827</v>
      </c>
      <c r="I35" s="136" t="s">
        <v>1828</v>
      </c>
      <c r="J35" s="136" t="s">
        <v>1829</v>
      </c>
      <c r="K35" s="136" t="s">
        <v>1830</v>
      </c>
      <c r="L35" s="136" t="s">
        <v>1831</v>
      </c>
      <c r="M35" s="136" t="s">
        <v>1832</v>
      </c>
      <c r="N35" s="136" t="s">
        <v>1833</v>
      </c>
      <c r="O35" s="136" t="s">
        <v>1834</v>
      </c>
      <c r="P35" s="136" t="s">
        <v>1835</v>
      </c>
      <c r="Q35" s="136" t="s">
        <v>1836</v>
      </c>
      <c r="R35" s="136" t="s">
        <v>1837</v>
      </c>
      <c r="S35" s="136" t="s">
        <v>1838</v>
      </c>
      <c r="T35" s="136" t="s">
        <v>1839</v>
      </c>
      <c r="U35" s="136" t="s">
        <v>1840</v>
      </c>
      <c r="V35" s="136" t="s">
        <v>1841</v>
      </c>
      <c r="W35" s="136" t="s">
        <v>1842</v>
      </c>
      <c r="X35" s="136" t="s">
        <v>1843</v>
      </c>
      <c r="Y35" s="136" t="s">
        <v>1844</v>
      </c>
      <c r="Z35" s="136" t="s">
        <v>1845</v>
      </c>
      <c r="AA35" s="136" t="s">
        <v>1846</v>
      </c>
      <c r="AB35" s="136" t="s">
        <v>1847</v>
      </c>
      <c r="AC35" s="136" t="s">
        <v>1848</v>
      </c>
      <c r="AD35" s="136" t="s">
        <v>1849</v>
      </c>
      <c r="AE35" s="136" t="s">
        <v>1850</v>
      </c>
      <c r="AF35" s="136" t="s">
        <v>1851</v>
      </c>
      <c r="AG35" s="136" t="s">
        <v>1852</v>
      </c>
      <c r="AH35" s="136" t="s">
        <v>1853</v>
      </c>
      <c r="AI35" s="136" t="s">
        <v>1854</v>
      </c>
      <c r="AJ35" s="116" t="s">
        <v>2013</v>
      </c>
      <c r="AK35" s="116" t="s">
        <v>1983</v>
      </c>
      <c r="AL35" s="116" t="s">
        <v>2023</v>
      </c>
      <c r="AM35" s="116" t="s">
        <v>1986</v>
      </c>
      <c r="AN35" s="116" t="s">
        <v>2047</v>
      </c>
      <c r="AO35" s="116" t="s">
        <v>2230</v>
      </c>
      <c r="AP35" s="116" t="s">
        <v>2231</v>
      </c>
    </row>
    <row r="36" spans="1:42" x14ac:dyDescent="0.25">
      <c r="A36" s="138" t="s">
        <v>1922</v>
      </c>
      <c r="B36" s="37">
        <f>$AJ36*'NE HDD'!B3+$AK36</f>
        <v>7.1730168397464391</v>
      </c>
      <c r="C36" s="37">
        <f>$AJ36*'NE HDD'!C3+$AK36</f>
        <v>7.3553027606316972</v>
      </c>
      <c r="D36" s="37">
        <f>$AJ36*'NE HDD'!D3+$AK36</f>
        <v>8.8902524308898059</v>
      </c>
      <c r="E36" s="37">
        <f>$AJ36*'NE HDD'!E3+$AK36</f>
        <v>8.7062629032673016</v>
      </c>
      <c r="F36" s="37">
        <f>$AJ36*'NE HDD'!F3+$AK36</f>
        <v>8.6568583078871875</v>
      </c>
      <c r="G36" s="37">
        <f>$AJ36*'NE HDD'!G3+$AK36</f>
        <v>8.4933120611116273</v>
      </c>
      <c r="H36" s="37">
        <f>$AJ36*'NE HDD'!H3+$AK36</f>
        <v>8.7062629032673016</v>
      </c>
      <c r="I36" s="37">
        <f>$AJ36*'NE HDD'!I3+$AK36</f>
        <v>8.4847940274254015</v>
      </c>
      <c r="J36" s="37">
        <f>$AJ36*'NE HDD'!J3+$AK36</f>
        <v>6.9447335369555558</v>
      </c>
      <c r="K36" s="37">
        <f>$AJ36*'NE HDD'!K3+$AK36</f>
        <v>7.5886968836343174</v>
      </c>
      <c r="L36" s="37">
        <f>$AJ36*'NE HDD'!L3+$AK36</f>
        <v>8.4302786118335469</v>
      </c>
      <c r="M36" s="37">
        <f>$AJ36*'NE HDD'!M3+$AK36</f>
        <v>7.6875060743945509</v>
      </c>
      <c r="N36" s="37">
        <f>$AJ36*'NE HDD'!N3+$AK36</f>
        <v>7.7300962428256872</v>
      </c>
      <c r="O36" s="37">
        <f>$AJ36*'NE HDD'!O3+$AK36</f>
        <v>9.0265409698694405</v>
      </c>
      <c r="P36" s="37">
        <f>$AJ36*'NE HDD'!P3+$AK36</f>
        <v>8.4984228813233642</v>
      </c>
      <c r="Q36" s="37">
        <f>$AJ36*'NE HDD'!Q3+$AK36</f>
        <v>8.5495310834407263</v>
      </c>
      <c r="R36" s="37">
        <f>$AJ36*'NE HDD'!R3+$AK36</f>
        <v>7.2513827496597285</v>
      </c>
      <c r="S36" s="37">
        <f>$AJ36*'NE HDD'!S3+$AK36</f>
        <v>8.1525907136625477</v>
      </c>
      <c r="T36" s="37">
        <f>$AJ36*'NE HDD'!T3+$AK36</f>
        <v>8.0895572643844673</v>
      </c>
      <c r="U36" s="37">
        <f>$AJ36*'NE HDD'!U3+$AK36</f>
        <v>8.421760578147321</v>
      </c>
      <c r="V36" s="37">
        <f>$AJ36*'NE HDD'!V3+$AK36</f>
        <v>7.435372277282231</v>
      </c>
      <c r="W36" s="37">
        <f>$AJ36*'NE HDD'!W3+$AK36</f>
        <v>7.5733644229991102</v>
      </c>
      <c r="X36" s="37">
        <f>$AJ36*'NE HDD'!X3+$AK36</f>
        <v>6.5903833356085118</v>
      </c>
      <c r="Y36" s="37">
        <f>$AJ36*'NE HDD'!Y3+$AK36</f>
        <v>8.1270366126038667</v>
      </c>
      <c r="Z36" s="37">
        <f>$AJ36*'NE HDD'!Z3+$AK36</f>
        <v>8.5955284653463515</v>
      </c>
      <c r="AA36" s="37">
        <f>$AJ36*'NE HDD'!AA3+$AK36</f>
        <v>8.1406654665018294</v>
      </c>
      <c r="AB36" s="37">
        <f>$AJ36*'NE HDD'!AB3+$AK36</f>
        <v>7.162795199322967</v>
      </c>
      <c r="AC36" s="37">
        <f>$AJ36*'NE HDD'!AC3+$AK36</f>
        <v>7.2922693113536186</v>
      </c>
      <c r="AD36" s="37">
        <f>$AJ36*'NE HDD'!AD3+$AK36</f>
        <v>7.8016477257899934</v>
      </c>
      <c r="AE36" s="37">
        <f>$AJ36*'NE HDD'!AE3+$AK36</f>
        <v>8.138961859764585</v>
      </c>
      <c r="AF36" s="37">
        <f>$AJ36*'NE HDD'!AF3+$AK36</f>
        <v>7.1287230645780584</v>
      </c>
      <c r="AG36" s="37">
        <f>$AJ36*'NE HDD'!AG3+$AK36</f>
        <v>7.2411611092362564</v>
      </c>
      <c r="AH36" s="37">
        <f>$AJ36*'NE HDD'!AH3+$AK36</f>
        <v>7.6108437712185077</v>
      </c>
      <c r="AI36" s="37">
        <f>$AJ36*'NE HDD'!AI3+$AK36</f>
        <v>6.6977105600549711</v>
      </c>
      <c r="AJ36">
        <f>INDEX(LINEST(B3:AI3,'NE HDD'!B3:AI3,TRUE,TRUE),1,1)</f>
        <v>1.7036067372454041E-3</v>
      </c>
      <c r="AK36">
        <f>INDEX(LINEST(B3:AI3,'NE HDD'!B3:AI3,TRUE,TRUE),1,2)</f>
        <v>-1.9753513392613806</v>
      </c>
      <c r="AL36">
        <f>INDEX(LINEST(B3:AI3,'NE HDD'!B3:AI3,TRUE,TRUE),3,1)</f>
        <v>0.55417538700754199</v>
      </c>
      <c r="AM36">
        <f>INDEX(LINEST(B3:AI3,'NE HDD'!B3:AI3,TRUE,TRUE),4,1)</f>
        <v>39.777104869132351</v>
      </c>
      <c r="AN36">
        <f>_xlfn.F.DIST.RT(AM36,1,32)</f>
        <v>4.4772742846691224E-7</v>
      </c>
      <c r="AO36">
        <f>INDEX(LINEST(B3:AI3,'NE HDD'!B3:AI3,TRUE,TRUE),5,2)</f>
        <v>11.863065204573218</v>
      </c>
      <c r="AP36">
        <f>(AO36/(COUNT(V36:AI36)-1))^0.5</f>
        <v>0.95527141550182626</v>
      </c>
    </row>
    <row r="37" spans="1:42" x14ac:dyDescent="0.25">
      <c r="A37" s="138" t="s">
        <v>1788</v>
      </c>
      <c r="B37" s="37">
        <f>$AJ37*'NE HDD'!B4+$AK37</f>
        <v>13.240429866798411</v>
      </c>
      <c r="C37" s="37">
        <f>$AJ37*'NE HDD'!C4+$AK37</f>
        <v>13.410397905709591</v>
      </c>
      <c r="D37" s="37">
        <f>$AJ37*'NE HDD'!D4+$AK37</f>
        <v>15.719963610914437</v>
      </c>
      <c r="E37" s="37">
        <f>$AJ37*'NE HDD'!E4+$AK37</f>
        <v>15.312540223524405</v>
      </c>
      <c r="F37" s="37">
        <f>$AJ37*'NE HDD'!F4+$AK37</f>
        <v>15.132574064677272</v>
      </c>
      <c r="G37" s="37">
        <f>$AJ37*'NE HDD'!G4+$AK37</f>
        <v>14.975103675686032</v>
      </c>
      <c r="H37" s="37">
        <f>$AJ37*'NE HDD'!H4+$AK37</f>
        <v>15.175066074405066</v>
      </c>
      <c r="I37" s="37">
        <f>$AJ37*'NE HDD'!I4+$AK37</f>
        <v>15.07758440502954</v>
      </c>
      <c r="J37" s="37">
        <f>$AJ37*'NE HDD'!J4+$AK37</f>
        <v>12.735524810032851</v>
      </c>
      <c r="K37" s="37">
        <f>$AJ37*'NE HDD'!K4+$AK37</f>
        <v>13.43539320554947</v>
      </c>
      <c r="L37" s="37">
        <f>$AJ37*'NE HDD'!L4+$AK37</f>
        <v>14.747646447143133</v>
      </c>
      <c r="M37" s="37">
        <f>$AJ37*'NE HDD'!M4+$AK37</f>
        <v>13.747834453547961</v>
      </c>
      <c r="N37" s="37">
        <f>$AJ37*'NE HDD'!N4+$AK37</f>
        <v>13.742835393579986</v>
      </c>
      <c r="O37" s="37">
        <f>$AJ37*'NE HDD'!O4+$AK37</f>
        <v>15.674972071202653</v>
      </c>
      <c r="P37" s="37">
        <f>$AJ37*'NE HDD'!P4+$AK37</f>
        <v>14.962606025766092</v>
      </c>
      <c r="Q37" s="37">
        <f>$AJ37*'NE HDD'!Q4+$AK37</f>
        <v>14.882621066278482</v>
      </c>
      <c r="R37" s="37">
        <f>$AJ37*'NE HDD'!R4+$AK37</f>
        <v>12.987977338415632</v>
      </c>
      <c r="S37" s="37">
        <f>$AJ37*'NE HDD'!S4+$AK37</f>
        <v>14.505192038696304</v>
      </c>
      <c r="T37" s="37">
        <f>$AJ37*'NE HDD'!T4+$AK37</f>
        <v>14.300230580009293</v>
      </c>
      <c r="U37" s="37">
        <f>$AJ37*'NE HDD'!U4+$AK37</f>
        <v>14.795137516838903</v>
      </c>
      <c r="V37" s="37">
        <f>$AJ37*'NE HDD'!V4+$AK37</f>
        <v>13.150446787374847</v>
      </c>
      <c r="W37" s="37">
        <f>$AJ37*'NE HDD'!W4+$AK37</f>
        <v>13.497881455149169</v>
      </c>
      <c r="X37" s="37">
        <f>$AJ37*'NE HDD'!X4+$AK37</f>
        <v>12.08564701419599</v>
      </c>
      <c r="Y37" s="37">
        <f>$AJ37*'NE HDD'!Y4+$AK37</f>
        <v>14.265237160233463</v>
      </c>
      <c r="Z37" s="37">
        <f>$AJ37*'NE HDD'!Z4+$AK37</f>
        <v>14.840129056550685</v>
      </c>
      <c r="AA37" s="37">
        <f>$AJ37*'NE HDD'!AA4+$AK37</f>
        <v>14.515190158632254</v>
      </c>
      <c r="AB37" s="37">
        <f>$AJ37*'NE HDD'!AB4+$AK37</f>
        <v>13.122951957550979</v>
      </c>
      <c r="AC37" s="37">
        <f>$AJ37*'NE HDD'!AC4+$AK37</f>
        <v>13.335412006189953</v>
      </c>
      <c r="AD37" s="37">
        <f>$AJ37*'NE HDD'!AD4+$AK37</f>
        <v>13.997787451946754</v>
      </c>
      <c r="AE37" s="37">
        <f>$AJ37*'NE HDD'!AE4+$AK37</f>
        <v>14.457700969000532</v>
      </c>
      <c r="AF37" s="37">
        <f>$AJ37*'NE HDD'!AF4+$AK37</f>
        <v>12.683034680369104</v>
      </c>
      <c r="AG37" s="37">
        <f>$AJ37*'NE HDD'!AG4+$AK37</f>
        <v>12.633044080689345</v>
      </c>
      <c r="AH37" s="37">
        <f>$AJ37*'NE HDD'!AH4+$AK37</f>
        <v>13.115453367599017</v>
      </c>
      <c r="AI37" s="37">
        <f>$AJ37*'NE HDD'!AI4+$AK37</f>
        <v>11.980666754868496</v>
      </c>
      <c r="AJ37" s="349">
        <f>INDEX(LINEST(B4:AI4,'NE HDD'!B4:AI4,TRUE,TRUE),1,1)</f>
        <v>2.4995299839879275E-3</v>
      </c>
      <c r="AK37" s="1">
        <f>INDEX(LINEST(B4:AI4,'NE HDD'!B4:AI4,TRUE,TRUE),1,2)</f>
        <v>-1.1518637810040744</v>
      </c>
      <c r="AL37" s="1">
        <f>INDEX(LINEST(B4:AI4,'NE HDD'!B4:AI4,TRUE,TRUE),3,1)</f>
        <v>0.54208974267889409</v>
      </c>
      <c r="AM37" s="1">
        <f>INDEX(LINEST(B4:AI4,'NE HDD'!B4:AI4,TRUE,TRUE),4,1)</f>
        <v>37.882688776635682</v>
      </c>
      <c r="AN37" s="1">
        <f t="shared" ref="AN37:AN44" si="20">_xlfn.F.DIST.RT(AM37,1,32)</f>
        <v>6.9374448691867524E-7</v>
      </c>
      <c r="AO37">
        <f>INDEX(LINEST(B4:AI4,'NE HDD'!B4:AI4,TRUE,TRUE),5,2)</f>
        <v>29.617679087537351</v>
      </c>
      <c r="AP37">
        <f t="shared" ref="AP37:AP44" si="21">(AO37/(COUNT(V37:AI37)-1))^0.5</f>
        <v>1.5093982266895778</v>
      </c>
    </row>
    <row r="38" spans="1:42" x14ac:dyDescent="0.25">
      <c r="A38" s="138" t="s">
        <v>1923</v>
      </c>
      <c r="B38" s="37">
        <f>$AJ38*'NE HDD'!B5+$AK38</f>
        <v>3.2410350897791416</v>
      </c>
      <c r="C38" s="37">
        <f>$AJ38*'NE HDD'!C5+$AK38</f>
        <v>3.3334807809011187</v>
      </c>
      <c r="D38" s="37">
        <f>$AJ38*'NE HDD'!D5+$AK38</f>
        <v>3.6965118937902304</v>
      </c>
      <c r="E38" s="37">
        <f>$AJ38*'NE HDD'!E5+$AK38</f>
        <v>3.6804118015161782</v>
      </c>
      <c r="F38" s="37">
        <f>$AJ38*'NE HDD'!F5+$AK38</f>
        <v>3.6170501480505539</v>
      </c>
      <c r="G38" s="37">
        <f>$AJ38*'NE HDD'!G5+$AK38</f>
        <v>3.5474562008014248</v>
      </c>
      <c r="H38" s="37">
        <f>$AJ38*'NE HDD'!H5+$AK38</f>
        <v>3.5349916132344168</v>
      </c>
      <c r="I38" s="37">
        <f>$AJ38*'NE HDD'!I5+$AK38</f>
        <v>3.6762569389938422</v>
      </c>
      <c r="J38" s="37">
        <f>$AJ38*'NE HDD'!J5+$AK38</f>
        <v>3.0738018732551158</v>
      </c>
      <c r="K38" s="37">
        <f>$AJ38*'NE HDD'!K5+$AK38</f>
        <v>3.0618566435033996</v>
      </c>
      <c r="L38" s="37">
        <f>$AJ38*'NE HDD'!L5+$AK38</f>
        <v>3.4804590426287563</v>
      </c>
      <c r="M38" s="37">
        <f>$AJ38*'NE HDD'!M5+$AK38</f>
        <v>3.2732352743272459</v>
      </c>
      <c r="N38" s="37">
        <f>$AJ38*'NE HDD'!N5+$AK38</f>
        <v>3.3776261952009392</v>
      </c>
      <c r="O38" s="37">
        <f>$AJ38*'NE HDD'!O5+$AK38</f>
        <v>3.6378244606622339</v>
      </c>
      <c r="P38" s="37">
        <f>$AJ38*'NE HDD'!P5+$AK38</f>
        <v>3.5962758354388731</v>
      </c>
      <c r="Q38" s="37">
        <f>$AJ38*'NE HDD'!Q5+$AK38</f>
        <v>3.4264458298383875</v>
      </c>
      <c r="R38" s="37">
        <f>$AJ38*'NE HDD'!R5+$AK38</f>
        <v>3.0031692103754031</v>
      </c>
      <c r="S38" s="37">
        <f>$AJ38*'NE HDD'!S5+$AK38</f>
        <v>3.5235657412979924</v>
      </c>
      <c r="T38" s="37">
        <f>$AJ38*'NE HDD'!T5+$AK38</f>
        <v>3.3937262874749914</v>
      </c>
      <c r="U38" s="37">
        <f>$AJ38*'NE HDD'!U5+$AK38</f>
        <v>3.5381077601261683</v>
      </c>
      <c r="V38" s="37">
        <f>$AJ38*'NE HDD'!V5+$AK38</f>
        <v>2.9289010427886462</v>
      </c>
      <c r="W38" s="37">
        <f>$AJ38*'NE HDD'!W5+$AK38</f>
        <v>3.2244156396897976</v>
      </c>
      <c r="X38" s="37">
        <f>$AJ38*'NE HDD'!X5+$AK38</f>
        <v>3.0265403120635432</v>
      </c>
      <c r="Y38" s="37">
        <f>$AJ38*'NE HDD'!Y5+$AK38</f>
        <v>3.373990690493895</v>
      </c>
      <c r="Z38" s="37">
        <f>$AJ38*'NE HDD'!Z5+$AK38</f>
        <v>3.4840945473358005</v>
      </c>
      <c r="AA38" s="37">
        <f>$AJ38*'NE HDD'!AA5+$AK38</f>
        <v>3.5199302365909482</v>
      </c>
      <c r="AB38" s="37">
        <f>$AJ38*'NE HDD'!AB5+$AK38</f>
        <v>3.1278150860454845</v>
      </c>
      <c r="AC38" s="37">
        <f>$AJ38*'NE HDD'!AC5+$AK38</f>
        <v>3.2477867413779378</v>
      </c>
      <c r="AD38" s="37">
        <f>$AJ38*'NE HDD'!AD5+$AK38</f>
        <v>3.4222909673160515</v>
      </c>
      <c r="AE38" s="37">
        <f>$AJ38*'NE HDD'!AE5+$AK38</f>
        <v>3.5583627149225574</v>
      </c>
      <c r="AF38" s="37">
        <f>$AJ38*'NE HDD'!AF5+$AK38</f>
        <v>3.0841890295609558</v>
      </c>
      <c r="AG38" s="37">
        <f>$AJ38*'NE HDD'!AG5+$AK38</f>
        <v>2.9673335211202549</v>
      </c>
      <c r="AH38" s="37">
        <f>$AJ38*'NE HDD'!AH5+$AK38</f>
        <v>3.1122343515867241</v>
      </c>
      <c r="AI38" s="37">
        <f>$AJ38*'NE HDD'!AI5+$AK38</f>
        <v>2.9590237960755825</v>
      </c>
      <c r="AJ38">
        <f>INDEX(LINEST(B5:AI5,'NE HDD'!B5:AI5,TRUE,TRUE),1,1)</f>
        <v>5.1935781529200548E-4</v>
      </c>
      <c r="AK38">
        <f>INDEX(LINEST(B5:AI5,'NE HDD'!B5:AI5,TRUE,TRUE),1,2)</f>
        <v>-0.64687751549681138</v>
      </c>
      <c r="AL38">
        <f>INDEX(LINEST(B5:AI5,'NE HDD'!B5:AI5,TRUE,TRUE),3,1)</f>
        <v>0.11326636043223146</v>
      </c>
      <c r="AM38">
        <f>INDEX(LINEST(B5:AI5,'NE HDD'!B5:AI5,TRUE,TRUE),4,1)</f>
        <v>4.0874997542645986</v>
      </c>
      <c r="AN38">
        <f t="shared" si="20"/>
        <v>5.1630134789136514E-2</v>
      </c>
      <c r="AO38">
        <f>INDEX(LINEST(B5:AI5,'NE HDD'!B5:AI5,TRUE,TRUE),5,2)</f>
        <v>14.81067450985255</v>
      </c>
      <c r="AP38">
        <f t="shared" si="21"/>
        <v>1.0673718445809044</v>
      </c>
    </row>
    <row r="39" spans="1:42" x14ac:dyDescent="0.25">
      <c r="A39" s="138" t="s">
        <v>1924</v>
      </c>
      <c r="B39" s="37">
        <f>$AJ39*'NE HDD'!B6+$AK39</f>
        <v>2.6143252823989336</v>
      </c>
      <c r="C39" s="37">
        <f>$AJ39*'NE HDD'!C6+$AK39</f>
        <v>2.6447510646946997</v>
      </c>
      <c r="D39" s="37">
        <f>$AJ39*'NE HDD'!D6+$AK39</f>
        <v>2.9052902878487328</v>
      </c>
      <c r="E39" s="37">
        <f>$AJ39*'NE HDD'!E6+$AK39</f>
        <v>2.8592085204881554</v>
      </c>
      <c r="F39" s="37">
        <f>$AJ39*'NE HDD'!F6+$AK39</f>
        <v>2.8583223326542981</v>
      </c>
      <c r="G39" s="37">
        <f>$AJ39*'NE HDD'!G6+$AK39</f>
        <v>2.8036740828997675</v>
      </c>
      <c r="H39" s="37">
        <f>$AJ39*'NE HDD'!H6+$AK39</f>
        <v>2.8187392760753407</v>
      </c>
      <c r="I39" s="37">
        <f>$AJ39*'NE HDD'!I6+$AK39</f>
        <v>2.8654118353251565</v>
      </c>
      <c r="J39" s="37">
        <f>$AJ39*'NE HDD'!J6+$AK39</f>
        <v>2.507982742336063</v>
      </c>
      <c r="K39" s="37">
        <f>$AJ39*'NE HDD'!K6+$AK39</f>
        <v>2.6001462770572177</v>
      </c>
      <c r="L39" s="37">
        <f>$AJ39*'NE HDD'!L6+$AK39</f>
        <v>2.7856549302780031</v>
      </c>
      <c r="M39" s="37">
        <f>$AJ39*'NE HDD'!M6+$AK39</f>
        <v>2.6630656132610828</v>
      </c>
      <c r="N39" s="37">
        <f>$AJ39*'NE HDD'!N6+$AK39</f>
        <v>2.6666103645965116</v>
      </c>
      <c r="O39" s="37">
        <f>$AJ39*'NE HDD'!O6+$AK39</f>
        <v>2.8899296987285403</v>
      </c>
      <c r="P39" s="37">
        <f>$AJ39*'NE HDD'!P6+$AK39</f>
        <v>2.7939260167273376</v>
      </c>
      <c r="Q39" s="37">
        <f>$AJ39*'NE HDD'!Q6+$AK39</f>
        <v>2.7587738993176663</v>
      </c>
      <c r="R39" s="37">
        <f>$AJ39*'NE HDD'!R6+$AK39</f>
        <v>2.5422486719118766</v>
      </c>
      <c r="S39" s="37">
        <f>$AJ39*'NE HDD'!S6+$AK39</f>
        <v>2.7806331992194786</v>
      </c>
      <c r="T39" s="37">
        <f>$AJ39*'NE HDD'!T6+$AK39</f>
        <v>2.7401639548066639</v>
      </c>
      <c r="U39" s="37">
        <f>$AJ39*'NE HDD'!U6+$AK39</f>
        <v>2.8072188342351967</v>
      </c>
      <c r="V39" s="37">
        <f>$AJ39*'NE HDD'!V6+$AK39</f>
        <v>2.5325006057394468</v>
      </c>
      <c r="W39" s="37">
        <f>$AJ39*'NE HDD'!W6+$AK39</f>
        <v>2.6370707701346032</v>
      </c>
      <c r="X39" s="37">
        <f>$AJ39*'NE HDD'!X6+$AK39</f>
        <v>2.4604239952523903</v>
      </c>
      <c r="Y39" s="37">
        <f>$AJ39*'NE HDD'!Y6+$AK39</f>
        <v>2.7212586143510427</v>
      </c>
      <c r="Z39" s="37">
        <f>$AJ39*'NE HDD'!Z6+$AK39</f>
        <v>2.8172622963522453</v>
      </c>
      <c r="AA39" s="37">
        <f>$AJ39*'NE HDD'!AA6+$AK39</f>
        <v>2.7593646912069048</v>
      </c>
      <c r="AB39" s="37">
        <f>$AJ39*'NE HDD'!AB6+$AK39</f>
        <v>2.5590862407551649</v>
      </c>
      <c r="AC39" s="37">
        <f>$AJ39*'NE HDD'!AC6+$AK39</f>
        <v>2.6119621148419809</v>
      </c>
      <c r="AD39" s="37">
        <f>$AJ39*'NE HDD'!AD6+$AK39</f>
        <v>2.7082611927878029</v>
      </c>
      <c r="AE39" s="37">
        <f>$AJ39*'NE HDD'!AE6+$AK39</f>
        <v>2.7965845802289095</v>
      </c>
      <c r="AF39" s="37">
        <f>$AJ39*'NE HDD'!AF6+$AK39</f>
        <v>2.5546553015858784</v>
      </c>
      <c r="AG39" s="37">
        <f>$AJ39*'NE HDD'!AG6+$AK39</f>
        <v>2.5197985801208262</v>
      </c>
      <c r="AH39" s="37">
        <f>$AJ39*'NE HDD'!AH6+$AK39</f>
        <v>2.601623256780313</v>
      </c>
      <c r="AI39" s="37">
        <f>$AJ39*'NE HDD'!AI6+$AK39</f>
        <v>2.4415186547967687</v>
      </c>
      <c r="AJ39">
        <f>INDEX(LINEST(B6:AI6,'NE HDD'!B6:AI6,TRUE,TRUE),1,1)</f>
        <v>2.9539594461908548E-4</v>
      </c>
      <c r="AK39">
        <f>INDEX(LINEST(B6:AI6,'NE HDD'!B6:AI6,TRUE,TRUE),1,2)</f>
        <v>0.51465090804647406</v>
      </c>
      <c r="AL39">
        <f>INDEX(LINEST(B6:AI6,'NE HDD'!B6:AI6,TRUE,TRUE),3,1)</f>
        <v>0.21371750374919499</v>
      </c>
      <c r="AM39">
        <f>INDEX(LINEST(B6:AI6,'NE HDD'!B6:AI6,TRUE,TRUE),4,1)</f>
        <v>8.6978409828326857</v>
      </c>
      <c r="AN39">
        <f t="shared" si="20"/>
        <v>5.9111450463444921E-3</v>
      </c>
      <c r="AO39">
        <f>INDEX(LINEST(B6:AI6,'NE HDD'!B6:AI6,TRUE,TRUE),5,2)</f>
        <v>2.1265695141770142</v>
      </c>
      <c r="AP39">
        <f t="shared" si="21"/>
        <v>0.40445305082457816</v>
      </c>
    </row>
    <row r="40" spans="1:42" x14ac:dyDescent="0.25">
      <c r="A40" s="138" t="s">
        <v>1939</v>
      </c>
      <c r="B40" s="37">
        <f>$AJ40*'NE HDD'!B7+$AK40</f>
        <v>14.334126468002429</v>
      </c>
      <c r="C40" s="37">
        <f>$AJ40*'NE HDD'!C7+$AK40</f>
        <v>14.95578294285029</v>
      </c>
      <c r="D40" s="37">
        <f>$AJ40*'NE HDD'!D7+$AK40</f>
        <v>17.324142488490189</v>
      </c>
      <c r="E40" s="37">
        <f>$AJ40*'NE HDD'!E7+$AK40</f>
        <v>17.123999428295271</v>
      </c>
      <c r="F40" s="37">
        <f>$AJ40*'NE HDD'!F7+$AK40</f>
        <v>17.084577310378087</v>
      </c>
      <c r="G40" s="37">
        <f>$AJ40*'NE HDD'!G7+$AK40</f>
        <v>16.881401779574155</v>
      </c>
      <c r="H40" s="37">
        <f>$AJ40*'NE HDD'!H7+$AK40</f>
        <v>17.360532135798358</v>
      </c>
      <c r="I40" s="37">
        <f>$AJ40*'NE HDD'!I7+$AK40</f>
        <v>16.729778249123456</v>
      </c>
      <c r="J40" s="37">
        <f>$AJ40*'NE HDD'!J7+$AK40</f>
        <v>13.90654811213146</v>
      </c>
      <c r="K40" s="37">
        <f>$AJ40*'NE HDD'!K7+$AK40</f>
        <v>15.471302946382663</v>
      </c>
      <c r="L40" s="37">
        <f>$AJ40*'NE HDD'!L7+$AK40</f>
        <v>16.532667659537545</v>
      </c>
      <c r="M40" s="37">
        <f>$AJ40*'NE HDD'!M7+$AK40</f>
        <v>15.389426239939285</v>
      </c>
      <c r="N40" s="37">
        <f>$AJ40*'NE HDD'!N7+$AK40</f>
        <v>15.210510474007462</v>
      </c>
      <c r="O40" s="37">
        <f>$AJ40*'NE HDD'!O7+$AK40</f>
        <v>17.409051665542577</v>
      </c>
      <c r="P40" s="37">
        <f>$AJ40*'NE HDD'!P7+$AK40</f>
        <v>16.159673774628828</v>
      </c>
      <c r="Q40" s="37">
        <f>$AJ40*'NE HDD'!Q7+$AK40</f>
        <v>16.50234295344741</v>
      </c>
      <c r="R40" s="37">
        <f>$AJ40*'NE HDD'!R7+$AK40</f>
        <v>14.149145760852576</v>
      </c>
      <c r="S40" s="37">
        <f>$AJ40*'NE HDD'!S7+$AK40</f>
        <v>15.75332271302096</v>
      </c>
      <c r="T40" s="37">
        <f>$AJ40*'NE HDD'!T7+$AK40</f>
        <v>15.777582477893072</v>
      </c>
      <c r="U40" s="37">
        <f>$AJ40*'NE HDD'!U7+$AK40</f>
        <v>16.199095892546012</v>
      </c>
      <c r="V40" s="37">
        <f>$AJ40*'NE HDD'!V7+$AK40</f>
        <v>15.340906710195062</v>
      </c>
      <c r="W40" s="37">
        <f>$AJ40*'NE HDD'!W7+$AK40</f>
        <v>14.949718001632261</v>
      </c>
      <c r="X40" s="37">
        <f>$AJ40*'NE HDD'!X7+$AK40</f>
        <v>13.618463404275134</v>
      </c>
      <c r="Y40" s="37">
        <f>$AJ40*'NE HDD'!Y7+$AK40</f>
        <v>16.071732126967426</v>
      </c>
      <c r="Z40" s="37">
        <f>$AJ40*'NE HDD'!Z7+$AK40</f>
        <v>17.196778722911603</v>
      </c>
      <c r="AA40" s="37">
        <f>$AJ40*'NE HDD'!AA7+$AK40</f>
        <v>15.847329301900393</v>
      </c>
      <c r="AB40" s="37">
        <f>$AJ40*'NE HDD'!AB7+$AK40</f>
        <v>14.807191883008606</v>
      </c>
      <c r="AC40" s="37">
        <f>$AJ40*'NE HDD'!AC7+$AK40</f>
        <v>14.610081293422699</v>
      </c>
      <c r="AD40" s="37">
        <f>$AJ40*'NE HDD'!AD7+$AK40</f>
        <v>15.86855659616349</v>
      </c>
      <c r="AE40" s="37">
        <f>$AJ40*'NE HDD'!AE7+$AK40</f>
        <v>15.559244594044067</v>
      </c>
      <c r="AF40" s="37">
        <f>$AJ40*'NE HDD'!AF7+$AK40</f>
        <v>14.118821054762437</v>
      </c>
      <c r="AG40" s="37">
        <f>$AJ40*'NE HDD'!AG7+$AK40</f>
        <v>14.54943188124242</v>
      </c>
      <c r="AH40" s="37">
        <f>$AJ40*'NE HDD'!AH7+$AK40</f>
        <v>15.534984829171956</v>
      </c>
      <c r="AI40" s="37">
        <f>$AJ40*'NE HDD'!AI7+$AK40</f>
        <v>13.494132109305562</v>
      </c>
      <c r="AJ40">
        <f>INDEX(LINEST(B7:AI7,'NE HDD'!B7:AI7,TRUE,TRUE),1,1)</f>
        <v>3.0324706090139562E-3</v>
      </c>
      <c r="AK40">
        <f>INDEX(LINEST(B7:AI7,'NE HDD'!B7:AI7,TRUE,TRUE),1,2)</f>
        <v>0.12396919416302943</v>
      </c>
      <c r="AL40">
        <f>INDEX(LINEST(B7:AI7,'NE HDD'!B7:AI7,TRUE,TRUE),3,1)</f>
        <v>0.67568971006245482</v>
      </c>
      <c r="AM40">
        <f>INDEX(LINEST(B7:AI7,'NE HDD'!B7:AI7,TRUE,TRUE),4,1)</f>
        <v>66.670936423764047</v>
      </c>
      <c r="AN40">
        <f t="shared" si="20"/>
        <v>2.5149557480736933E-9</v>
      </c>
      <c r="AO40">
        <f>INDEX(LINEST(B7:AI7,'NE HDD'!B7:AI7,TRUE,TRUE),5,2)</f>
        <v>20.644910439615114</v>
      </c>
      <c r="AP40">
        <f t="shared" si="21"/>
        <v>1.2601865075521748</v>
      </c>
    </row>
    <row r="41" spans="1:42" x14ac:dyDescent="0.25">
      <c r="A41" s="138" t="s">
        <v>1925</v>
      </c>
      <c r="B41" s="37">
        <f>$AJ41*'NE HDD'!B8+$AK41</f>
        <v>32.775913242657793</v>
      </c>
      <c r="C41" s="37">
        <f>$AJ41*'NE HDD'!C8+$AK41</f>
        <v>33.256110005077076</v>
      </c>
      <c r="D41" s="37">
        <f>$AJ41*'NE HDD'!D8+$AK41</f>
        <v>37.257749691904451</v>
      </c>
      <c r="E41" s="37">
        <f>$AJ41*'NE HDD'!E8+$AK41</f>
        <v>37.128807968662237</v>
      </c>
      <c r="F41" s="37">
        <f>$AJ41*'NE HDD'!F8+$AK41</f>
        <v>36.950957315914351</v>
      </c>
      <c r="G41" s="37">
        <f>$AJ41*'NE HDD'!G8+$AK41</f>
        <v>36.212877107010641</v>
      </c>
      <c r="H41" s="37">
        <f>$AJ41*'NE HDD'!H8+$AK41</f>
        <v>37.017651310694809</v>
      </c>
      <c r="I41" s="37">
        <f>$AJ41*'NE HDD'!I8+$AK41</f>
        <v>36.452975488220275</v>
      </c>
      <c r="J41" s="37">
        <f>$AJ41*'NE HDD'!J8+$AK41</f>
        <v>31.868874913643584</v>
      </c>
      <c r="K41" s="37">
        <f>$AJ41*'NE HDD'!K8+$AK41</f>
        <v>33.976405148706</v>
      </c>
      <c r="L41" s="37">
        <f>$AJ41*'NE HDD'!L8+$AK41</f>
        <v>36.128398046955397</v>
      </c>
      <c r="M41" s="37">
        <f>$AJ41*'NE HDD'!M8+$AK41</f>
        <v>33.79410822963942</v>
      </c>
      <c r="N41" s="37">
        <f>$AJ41*'NE HDD'!N8+$AK41</f>
        <v>33.905264887606847</v>
      </c>
      <c r="O41" s="37">
        <f>$AJ41*'NE HDD'!O8+$AK41</f>
        <v>37.279981023497939</v>
      </c>
      <c r="P41" s="37">
        <f>$AJ41*'NE HDD'!P8+$AK41</f>
        <v>35.817159404646596</v>
      </c>
      <c r="Q41" s="37">
        <f>$AJ41*'NE HDD'!Q8+$AK41</f>
        <v>35.817159404646596</v>
      </c>
      <c r="R41" s="37">
        <f>$AJ41*'NE HDD'!R8+$AK41</f>
        <v>32.442443268755511</v>
      </c>
      <c r="S41" s="37">
        <f>$AJ41*'NE HDD'!S8+$AK41</f>
        <v>35.110203059973756</v>
      </c>
      <c r="T41" s="37">
        <f>$AJ41*'NE HDD'!T8+$AK41</f>
        <v>34.919013608269786</v>
      </c>
      <c r="U41" s="37">
        <f>$AJ41*'NE HDD'!U8+$AK41</f>
        <v>35.790481806734412</v>
      </c>
      <c r="V41" s="37">
        <f>$AJ41*'NE HDD'!V8+$AK41</f>
        <v>33.580687446341962</v>
      </c>
      <c r="W41" s="37">
        <f>$AJ41*'NE HDD'!W8+$AK41</f>
        <v>33.687397837990687</v>
      </c>
      <c r="X41" s="37">
        <f>$AJ41*'NE HDD'!X8+$AK41</f>
        <v>31.086332041552893</v>
      </c>
      <c r="Y41" s="37">
        <f>$AJ41*'NE HDD'!Y8+$AK41</f>
        <v>35.190235853710305</v>
      </c>
      <c r="Z41" s="37">
        <f>$AJ41*'NE HDD'!Z8+$AK41</f>
        <v>36.515223216682038</v>
      </c>
      <c r="AA41" s="37">
        <f>$AJ41*'NE HDD'!AA8+$AK41</f>
        <v>35.096864261017672</v>
      </c>
      <c r="AB41" s="37">
        <f>$AJ41*'NE HDD'!AB8+$AK41</f>
        <v>32.784805775295183</v>
      </c>
      <c r="AC41" s="37">
        <f>$AJ41*'NE HDD'!AC8+$AK41</f>
        <v>33.073813086010489</v>
      </c>
      <c r="AD41" s="37">
        <f>$AJ41*'NE HDD'!AD8+$AK41</f>
        <v>34.999046402006329</v>
      </c>
      <c r="AE41" s="37">
        <f>$AJ41*'NE HDD'!AE8+$AK41</f>
        <v>35.385871571732977</v>
      </c>
      <c r="AF41" s="37">
        <f>$AJ41*'NE HDD'!AF8+$AK41</f>
        <v>32.500244730898572</v>
      </c>
      <c r="AG41" s="37">
        <f>$AJ41*'NE HDD'!AG8+$AK41</f>
        <v>32.682541649965145</v>
      </c>
      <c r="AH41" s="37">
        <f>$AJ41*'NE HDD'!AH8+$AK41</f>
        <v>34.15870206777258</v>
      </c>
      <c r="AI41" s="37">
        <f>$AJ41*'NE HDD'!AI8+$AK41</f>
        <v>31.348661754356023</v>
      </c>
      <c r="AJ41">
        <f>INDEX(LINEST(B8:AI8,'NE HDD'!B8:AI8,TRUE,TRUE),1,1)</f>
        <v>4.4462663186970878E-3</v>
      </c>
      <c r="AK41">
        <f>INDEX(LINEST(B8:AI8,'NE HDD'!B8:AI8,TRUE,TRUE),1,2)</f>
        <v>8.1524903697133162</v>
      </c>
      <c r="AL41">
        <f>INDEX(LINEST(B8:AI8,'NE HDD'!B8:AI8,TRUE,TRUE),3,1)</f>
        <v>0.48271414687616587</v>
      </c>
      <c r="AM41">
        <f>INDEX(LINEST(B8:AI8,'NE HDD'!B8:AI8,TRUE,TRUE),4,1)</f>
        <v>29.861347660593093</v>
      </c>
      <c r="AN41">
        <f t="shared" si="20"/>
        <v>5.1406593854207163E-6</v>
      </c>
      <c r="AO41">
        <f>INDEX(LINEST(B8:AI8,'NE HDD'!B8:AI8,TRUE,TRUE),5,2)</f>
        <v>115.33106840916051</v>
      </c>
      <c r="AP41">
        <f t="shared" si="21"/>
        <v>2.9785265899196705</v>
      </c>
    </row>
    <row r="42" spans="1:42" x14ac:dyDescent="0.25">
      <c r="A42" s="138" t="s">
        <v>1940</v>
      </c>
      <c r="B42" s="37">
        <f>$AJ42*'NE HDD'!B9+$AK42</f>
        <v>19.520872181989361</v>
      </c>
      <c r="C42" s="37">
        <f>$AJ42*'NE HDD'!C9+$AK42</f>
        <v>20.710555285642574</v>
      </c>
      <c r="D42" s="37">
        <f>$AJ42*'NE HDD'!D9+$AK42</f>
        <v>24.324032596323701</v>
      </c>
      <c r="E42" s="37">
        <f>$AJ42*'NE HDD'!E9+$AK42</f>
        <v>24.279604596602212</v>
      </c>
      <c r="F42" s="37">
        <f>$AJ42*'NE HDD'!F9+$AK42</f>
        <v>24.526426817277155</v>
      </c>
      <c r="G42" s="37">
        <f>$AJ42*'NE HDD'!G9+$AK42</f>
        <v>24.175939263918739</v>
      </c>
      <c r="H42" s="37">
        <f>$AJ42*'NE HDD'!H9+$AK42</f>
        <v>25.010198369800037</v>
      </c>
      <c r="I42" s="37">
        <f>$AJ42*'NE HDD'!I9+$AK42</f>
        <v>23.869879710281811</v>
      </c>
      <c r="J42" s="37">
        <f>$AJ42*'NE HDD'!J9+$AK42</f>
        <v>18.429917966606123</v>
      </c>
      <c r="K42" s="37">
        <f>$AJ42*'NE HDD'!K9+$AK42</f>
        <v>21.623797502139855</v>
      </c>
      <c r="L42" s="37">
        <f>$AJ42*'NE HDD'!L9+$AK42</f>
        <v>23.262697047421458</v>
      </c>
      <c r="M42" s="37">
        <f>$AJ42*'NE HDD'!M9+$AK42</f>
        <v>21.283182837608436</v>
      </c>
      <c r="N42" s="37">
        <f>$AJ42*'NE HDD'!N9+$AK42</f>
        <v>21.396721059118907</v>
      </c>
      <c r="O42" s="37">
        <f>$AJ42*'NE HDD'!O9+$AK42</f>
        <v>24.452380151074671</v>
      </c>
      <c r="P42" s="37">
        <f>$AJ42*'NE HDD'!P9+$AK42</f>
        <v>22.522230385396636</v>
      </c>
      <c r="Q42" s="37">
        <f>$AJ42*'NE HDD'!Q9+$AK42</f>
        <v>23.084985048535501</v>
      </c>
      <c r="R42" s="37">
        <f>$AJ42*'NE HDD'!R9+$AK42</f>
        <v>19.713393514115815</v>
      </c>
      <c r="S42" s="37">
        <f>$AJ42*'NE HDD'!S9+$AK42</f>
        <v>22.038458832873754</v>
      </c>
      <c r="T42" s="37">
        <f>$AJ42*'NE HDD'!T9+$AK42</f>
        <v>22.724624606350087</v>
      </c>
      <c r="U42" s="37">
        <f>$AJ42*'NE HDD'!U9+$AK42</f>
        <v>23.040557048814012</v>
      </c>
      <c r="V42" s="37">
        <f>$AJ42*'NE HDD'!V9+$AK42</f>
        <v>21.860746833987797</v>
      </c>
      <c r="W42" s="37">
        <f>$AJ42*'NE HDD'!W9+$AK42</f>
        <v>21.036360616933496</v>
      </c>
      <c r="X42" s="37">
        <f>$AJ42*'NE HDD'!X9+$AK42</f>
        <v>18.829769964099526</v>
      </c>
      <c r="Y42" s="37">
        <f>$AJ42*'NE HDD'!Y9+$AK42</f>
        <v>22.88259082758205</v>
      </c>
      <c r="Z42" s="37">
        <f>$AJ42*'NE HDD'!Z9+$AK42</f>
        <v>25.143482368964506</v>
      </c>
      <c r="AA42" s="37">
        <f>$AJ42*'NE HDD'!AA9+$AK42</f>
        <v>22.255662387067702</v>
      </c>
      <c r="AB42" s="37">
        <f>$AJ42*'NE HDD'!AB9+$AK42</f>
        <v>20.626635730613092</v>
      </c>
      <c r="AC42" s="37">
        <f>$AJ42*'NE HDD'!AC9+$AK42</f>
        <v>20.024389512166238</v>
      </c>
      <c r="AD42" s="37">
        <f>$AJ42*'NE HDD'!AD9+$AK42</f>
        <v>22.527166829810135</v>
      </c>
      <c r="AE42" s="37">
        <f>$AJ42*'NE HDD'!AE9+$AK42</f>
        <v>21.687971279515338</v>
      </c>
      <c r="AF42" s="37">
        <f>$AJ42*'NE HDD'!AF9+$AK42</f>
        <v>19.69364773646182</v>
      </c>
      <c r="AG42" s="37">
        <f>$AJ42*'NE HDD'!AG9+$AK42</f>
        <v>19.915787735069266</v>
      </c>
      <c r="AH42" s="37">
        <f>$AJ42*'NE HDD'!AH9+$AK42</f>
        <v>22.265535275894699</v>
      </c>
      <c r="AI42" s="37">
        <f>$AJ42*'NE HDD'!AI9+$AK42</f>
        <v>18.464473077500614</v>
      </c>
      <c r="AJ42">
        <f>INDEX(LINEST(B9:AI9,'NE HDD'!B9:AI9,TRUE,TRUE),1,1)</f>
        <v>4.9364444134988097E-3</v>
      </c>
      <c r="AK42">
        <f>INDEX(LINEST(B9:AI9,'NE HDD'!B9:AI9,TRUE,TRUE),1,2)</f>
        <v>-5.9067529919430086</v>
      </c>
      <c r="AL42">
        <f>INDEX(LINEST(B9:AI9,'NE HDD'!B9:AI9,TRUE,TRUE),3,1)</f>
        <v>0.4968199612996449</v>
      </c>
      <c r="AM42">
        <f>INDEX(LINEST(B9:AI9,'NE HDD'!B9:AI9,TRUE,TRUE),4,1)</f>
        <v>31.595527522617157</v>
      </c>
      <c r="AN42">
        <f t="shared" si="20"/>
        <v>3.2606966519281815E-6</v>
      </c>
      <c r="AO42">
        <f>INDEX(LINEST(B9:AI9,'NE HDD'!B9:AI9,TRUE,TRUE),5,2)</f>
        <v>123.40639922310912</v>
      </c>
      <c r="AP42">
        <f t="shared" si="21"/>
        <v>3.0810387761661104</v>
      </c>
    </row>
    <row r="43" spans="1:42" x14ac:dyDescent="0.25">
      <c r="A43" s="138" t="s">
        <v>1926</v>
      </c>
      <c r="B43" s="37">
        <f>$AJ43*'NE HDD'!B10+$AK43</f>
        <v>2.175451642759886</v>
      </c>
      <c r="C43" s="37">
        <f>$AJ43*'NE HDD'!C10+$AK43</f>
        <v>2.2267424894006944</v>
      </c>
      <c r="D43" s="37">
        <f>$AJ43*'NE HDD'!D10+$AK43</f>
        <v>2.6960813118880895</v>
      </c>
      <c r="E43" s="37">
        <f>$AJ43*'NE HDD'!E10+$AK43</f>
        <v>2.6238329150069508</v>
      </c>
      <c r="F43" s="37">
        <f>$AJ43*'NE HDD'!F10+$AK43</f>
        <v>2.5951541620464993</v>
      </c>
      <c r="G43" s="37">
        <f>$AJ43*'NE HDD'!G10+$AK43</f>
        <v>2.5179421348452826</v>
      </c>
      <c r="H43" s="37">
        <f>$AJ43*'NE HDD'!H10+$AK43</f>
        <v>2.6188692846868729</v>
      </c>
      <c r="I43" s="37">
        <f>$AJ43*'NE HDD'!I10+$AK43</f>
        <v>2.5615117787659689</v>
      </c>
      <c r="J43" s="37">
        <f>$AJ43*'NE HDD'!J10+$AK43</f>
        <v>2.0954820431586261</v>
      </c>
      <c r="K43" s="37">
        <f>$AJ43*'NE HDD'!K10+$AK43</f>
        <v>2.221778859080616</v>
      </c>
      <c r="L43" s="37">
        <f>$AJ43*'NE HDD'!L10+$AK43</f>
        <v>2.5179421348452826</v>
      </c>
      <c r="M43" s="37">
        <f>$AJ43*'NE HDD'!M10+$AK43</f>
        <v>2.2791363650015199</v>
      </c>
      <c r="N43" s="37">
        <f>$AJ43*'NE HDD'!N10+$AK43</f>
        <v>2.2973363428418065</v>
      </c>
      <c r="O43" s="37">
        <f>$AJ43*'NE HDD'!O10+$AK43</f>
        <v>2.707663115968272</v>
      </c>
      <c r="P43" s="37">
        <f>$AJ43*'NE HDD'!P10+$AK43</f>
        <v>2.5786087276462384</v>
      </c>
      <c r="Q43" s="37">
        <f>$AJ43*'NE HDD'!Q10+$AK43</f>
        <v>2.5670269235660559</v>
      </c>
      <c r="R43" s="37">
        <f>$AJ43*'NE HDD'!R10+$AK43</f>
        <v>2.1412577449993475</v>
      </c>
      <c r="S43" s="37">
        <f>$AJ43*'NE HDD'!S10+$AK43</f>
        <v>2.4440391945241182</v>
      </c>
      <c r="T43" s="37">
        <f>$AJ43*'NE HDD'!T10+$AK43</f>
        <v>2.3701362542029538</v>
      </c>
      <c r="U43" s="37">
        <f>$AJ43*'NE HDD'!U10+$AK43</f>
        <v>2.4947785266849176</v>
      </c>
      <c r="V43" s="37">
        <f>$AJ43*'NE HDD'!V10+$AK43</f>
        <v>2.204130395720338</v>
      </c>
      <c r="W43" s="37">
        <f>$AJ43*'NE HDD'!W10+$AK43</f>
        <v>2.2289485473207291</v>
      </c>
      <c r="X43" s="37">
        <f>$AJ43*'NE HDD'!X10+$AK43</f>
        <v>1.96753068379661</v>
      </c>
      <c r="Y43" s="37">
        <f>$AJ43*'NE HDD'!Y10+$AK43</f>
        <v>2.4208755863637532</v>
      </c>
      <c r="Z43" s="37">
        <f>$AJ43*'NE HDD'!Z10+$AK43</f>
        <v>2.527869395485439</v>
      </c>
      <c r="AA43" s="37">
        <f>$AJ43*'NE HDD'!AA10+$AK43</f>
        <v>2.4501058538042138</v>
      </c>
      <c r="AB43" s="37">
        <f>$AJ43*'NE HDD'!AB10+$AK43</f>
        <v>2.1600092373196427</v>
      </c>
      <c r="AC43" s="37">
        <f>$AJ43*'NE HDD'!AC10+$AK43</f>
        <v>2.2008213088402862</v>
      </c>
      <c r="AD43" s="37">
        <f>$AJ43*'NE HDD'!AD10+$AK43</f>
        <v>2.3171908641221193</v>
      </c>
      <c r="AE43" s="37">
        <f>$AJ43*'NE HDD'!AE10+$AK43</f>
        <v>2.4285967890838749</v>
      </c>
      <c r="AF43" s="37">
        <f>$AJ43*'NE HDD'!AF10+$AK43</f>
        <v>2.0662517757181655</v>
      </c>
      <c r="AG43" s="37">
        <f>$AJ43*'NE HDD'!AG10+$AK43</f>
        <v>2.0861062969984783</v>
      </c>
      <c r="AH43" s="37">
        <f>$AJ43*'NE HDD'!AH10+$AK43</f>
        <v>2.1925485916401555</v>
      </c>
      <c r="AI43" s="37">
        <f>$AJ43*'NE HDD'!AI10+$AK43</f>
        <v>1.9752518865167317</v>
      </c>
      <c r="AJ43">
        <f>INDEX(LINEST(B10:AI10,'NE HDD'!B10:AI10,TRUE,TRUE),1,1)</f>
        <v>5.5151448000868982E-4</v>
      </c>
      <c r="AK43">
        <f>INDEX(LINEST(B10:AI10,'NE HDD'!B10:AI10,TRUE,TRUE),1,2)</f>
        <v>-0.79279928864688243</v>
      </c>
      <c r="AL43">
        <f>INDEX(LINEST(B10:AI10,'NE HDD'!B10:AI10,TRUE,TRUE),3,1)</f>
        <v>0.61776430829315865</v>
      </c>
      <c r="AM43">
        <f>INDEX(LINEST(B10:AI10,'NE HDD'!B10:AI10,TRUE,TRUE),4,1)</f>
        <v>51.717980016744868</v>
      </c>
      <c r="AN43">
        <f t="shared" si="20"/>
        <v>3.6330321044549488E-8</v>
      </c>
      <c r="AO43">
        <f>INDEX(LINEST(B10:AI10,'NE HDD'!B10:AI10,TRUE,TRUE),5,2)</f>
        <v>0.91191368402431405</v>
      </c>
      <c r="AP43">
        <f t="shared" si="21"/>
        <v>0.26485317906985517</v>
      </c>
    </row>
    <row r="44" spans="1:42" x14ac:dyDescent="0.25">
      <c r="A44" s="138" t="s">
        <v>1927</v>
      </c>
      <c r="B44" s="37">
        <f>$AJ44*'NE HDD'!B11+$AK44</f>
        <v>1.3909476069645916</v>
      </c>
      <c r="C44" s="37">
        <f>$AJ44*'NE HDD'!C11+$AK44</f>
        <v>1.4236814158183184</v>
      </c>
      <c r="D44" s="37">
        <f>$AJ44*'NE HDD'!D11+$AK44</f>
        <v>1.5816721463062031</v>
      </c>
      <c r="E44" s="37">
        <f>$AJ44*'NE HDD'!E11+$AK44</f>
        <v>1.5653052418793398</v>
      </c>
      <c r="F44" s="37">
        <f>$AJ44*'NE HDD'!F11+$AK44</f>
        <v>1.5628001034466568</v>
      </c>
      <c r="G44" s="37">
        <f>$AJ44*'NE HDD'!G11+$AK44</f>
        <v>1.5045138825795619</v>
      </c>
      <c r="H44" s="37">
        <f>$AJ44*'NE HDD'!H11+$AK44</f>
        <v>1.5162045285987498</v>
      </c>
      <c r="I44" s="37">
        <f>$AJ44*'NE HDD'!I11+$AK44</f>
        <v>1.5633011311331932</v>
      </c>
      <c r="J44" s="37">
        <f>$AJ44*'NE HDD'!J11+$AK44</f>
        <v>1.3276511092321304</v>
      </c>
      <c r="K44" s="37">
        <f>$AJ44*'NE HDD'!K11+$AK44</f>
        <v>1.3972939576607224</v>
      </c>
      <c r="L44" s="37">
        <f>$AJ44*'NE HDD'!L11+$AK44</f>
        <v>1.5145344363102944</v>
      </c>
      <c r="M44" s="37">
        <f>$AJ44*'NE HDD'!M11+$AK44</f>
        <v>1.4114897421125936</v>
      </c>
      <c r="N44" s="37">
        <f>$AJ44*'NE HDD'!N11+$AK44</f>
        <v>1.4255185173356193</v>
      </c>
      <c r="O44" s="37">
        <f>$AJ44*'NE HDD'!O11+$AK44</f>
        <v>1.5531135681736152</v>
      </c>
      <c r="P44" s="37">
        <f>$AJ44*'NE HDD'!P11+$AK44</f>
        <v>1.5213818146929616</v>
      </c>
      <c r="Q44" s="37">
        <f>$AJ44*'NE HDD'!Q11+$AK44</f>
        <v>1.4609244738508746</v>
      </c>
      <c r="R44" s="37">
        <f>$AJ44*'NE HDD'!R11+$AK44</f>
        <v>1.3400097921667007</v>
      </c>
      <c r="S44" s="37">
        <f>$AJ44*'NE HDD'!S11+$AK44</f>
        <v>1.4969984672815122</v>
      </c>
      <c r="T44" s="37">
        <f>$AJ44*'NE HDD'!T11+$AK44</f>
        <v>1.4537430770105164</v>
      </c>
      <c r="U44" s="37">
        <f>$AJ44*'NE HDD'!U11+$AK44</f>
        <v>1.4951613657642113</v>
      </c>
      <c r="V44" s="37">
        <f>$AJ44*'NE HDD'!V11+$AK44</f>
        <v>1.3580467888820196</v>
      </c>
      <c r="W44" s="37">
        <f>$AJ44*'NE HDD'!W11+$AK44</f>
        <v>1.3902795700492094</v>
      </c>
      <c r="X44" s="37">
        <f>$AJ44*'NE HDD'!X11+$AK44</f>
        <v>1.2914101065726473</v>
      </c>
      <c r="Y44" s="37">
        <f>$AJ44*'NE HDD'!Y11+$AK44</f>
        <v>1.452741021637443</v>
      </c>
      <c r="Z44" s="37">
        <f>$AJ44*'NE HDD'!Z11+$AK44</f>
        <v>1.5150354639968311</v>
      </c>
      <c r="AA44" s="37">
        <f>$AJ44*'NE HDD'!AA11+$AK44</f>
        <v>1.4794624982527302</v>
      </c>
      <c r="AB44" s="37">
        <f>$AJ44*'NE HDD'!AB11+$AK44</f>
        <v>1.3675663149262156</v>
      </c>
      <c r="AC44" s="37">
        <f>$AJ44*'NE HDD'!AC11+$AK44</f>
        <v>1.4016361976107066</v>
      </c>
      <c r="AD44" s="37">
        <f>$AJ44*'NE HDD'!AD11+$AK44</f>
        <v>1.4650997045720133</v>
      </c>
      <c r="AE44" s="37">
        <f>$AJ44*'NE HDD'!AE11+$AK44</f>
        <v>1.526392091558328</v>
      </c>
      <c r="AF44" s="37">
        <f>$AJ44*'NE HDD'!AF11+$AK44</f>
        <v>1.3610529550012394</v>
      </c>
      <c r="AG44" s="37">
        <f>$AJ44*'NE HDD'!AG11+$AK44</f>
        <v>1.3518674474147343</v>
      </c>
      <c r="AH44" s="37">
        <f>$AJ44*'NE HDD'!AH11+$AK44</f>
        <v>1.4001331145510967</v>
      </c>
      <c r="AI44" s="37">
        <f>$AJ44*'NE HDD'!AI11+$AK44</f>
        <v>1.3004286049303069</v>
      </c>
      <c r="AJ44">
        <f>INDEX(LINEST(B11:AI11,'NE HDD'!B11:AI11,TRUE,TRUE),1,1)</f>
        <v>1.6700922884554419E-4</v>
      </c>
      <c r="AK44">
        <f>INDEX(LINEST(B11:AI11,'NE HDD'!B11:AI11,TRUE,TRUE),1,2)</f>
        <v>0.11165691400772326</v>
      </c>
      <c r="AL44">
        <f>INDEX(LINEST(B11:AI11,'NE HDD'!B11:AI11,TRUE,TRUE),3,1)</f>
        <v>0.40443602179821014</v>
      </c>
      <c r="AM44">
        <f>INDEX(LINEST(B11:AI11,'NE HDD'!B11:AI11,TRUE,TRUE),4,1)</f>
        <v>21.730583398644896</v>
      </c>
      <c r="AN44">
        <f t="shared" si="20"/>
        <v>5.2991494068828731E-5</v>
      </c>
      <c r="AO44">
        <f>INDEX(LINEST(B11:AI11,'NE HDD'!B11:AI11,TRUE,TRUE),5,2)</f>
        <v>0.3288104526883367</v>
      </c>
      <c r="AP44">
        <f t="shared" si="21"/>
        <v>0.15903808268857075</v>
      </c>
    </row>
    <row r="46" spans="1:42" x14ac:dyDescent="0.25">
      <c r="A46" s="121" t="s">
        <v>2014</v>
      </c>
      <c r="AJ46" s="250" t="s">
        <v>2016</v>
      </c>
      <c r="AK46" s="251"/>
      <c r="AL46" s="251"/>
    </row>
    <row r="47" spans="1:42" x14ac:dyDescent="0.25">
      <c r="A47" s="136" t="s">
        <v>1786</v>
      </c>
      <c r="B47" s="136" t="s">
        <v>1821</v>
      </c>
      <c r="C47" s="136" t="s">
        <v>1822</v>
      </c>
      <c r="D47" s="136" t="s">
        <v>1823</v>
      </c>
      <c r="E47" s="136" t="s">
        <v>1824</v>
      </c>
      <c r="F47" s="136" t="s">
        <v>1825</v>
      </c>
      <c r="G47" s="136" t="s">
        <v>1826</v>
      </c>
      <c r="H47" s="136" t="s">
        <v>1827</v>
      </c>
      <c r="I47" s="136" t="s">
        <v>1828</v>
      </c>
      <c r="J47" s="136" t="s">
        <v>1829</v>
      </c>
      <c r="K47" s="136" t="s">
        <v>1830</v>
      </c>
      <c r="L47" s="136" t="s">
        <v>1831</v>
      </c>
      <c r="M47" s="136" t="s">
        <v>1832</v>
      </c>
      <c r="N47" s="136" t="s">
        <v>1833</v>
      </c>
      <c r="O47" s="136" t="s">
        <v>1834</v>
      </c>
      <c r="P47" s="136" t="s">
        <v>1835</v>
      </c>
      <c r="Q47" s="136" t="s">
        <v>1836</v>
      </c>
      <c r="R47" s="136" t="s">
        <v>1837</v>
      </c>
      <c r="S47" s="136" t="s">
        <v>1838</v>
      </c>
      <c r="T47" s="136" t="s">
        <v>1839</v>
      </c>
      <c r="U47" s="136" t="s">
        <v>1840</v>
      </c>
      <c r="V47" s="136" t="s">
        <v>1841</v>
      </c>
      <c r="W47" s="136" t="s">
        <v>1842</v>
      </c>
      <c r="X47" s="136" t="s">
        <v>1843</v>
      </c>
      <c r="Y47" s="136" t="s">
        <v>1844</v>
      </c>
      <c r="Z47" s="136" t="s">
        <v>1845</v>
      </c>
      <c r="AA47" s="136" t="s">
        <v>1846</v>
      </c>
      <c r="AB47" s="136" t="s">
        <v>1847</v>
      </c>
      <c r="AC47" s="136" t="s">
        <v>1848</v>
      </c>
      <c r="AD47" s="136" t="s">
        <v>1849</v>
      </c>
      <c r="AE47" s="136" t="s">
        <v>1850</v>
      </c>
      <c r="AF47" s="136" t="s">
        <v>1851</v>
      </c>
      <c r="AG47" s="136" t="s">
        <v>1852</v>
      </c>
      <c r="AH47" s="136" t="s">
        <v>1853</v>
      </c>
      <c r="AI47" s="136" t="s">
        <v>1854</v>
      </c>
      <c r="AJ47" s="116" t="s">
        <v>2017</v>
      </c>
      <c r="AK47" s="116" t="s">
        <v>2018</v>
      </c>
      <c r="AL47" s="154" t="s">
        <v>2019</v>
      </c>
    </row>
    <row r="48" spans="1:42" x14ac:dyDescent="0.25">
      <c r="A48" s="138" t="s">
        <v>1922</v>
      </c>
      <c r="B48" s="37">
        <f>B3-B36</f>
        <v>0.92918181152511981</v>
      </c>
      <c r="C48" s="37">
        <f t="shared" ref="C48:AI48" si="22">C3-C36</f>
        <v>0.49744864332319505</v>
      </c>
      <c r="D48" s="37">
        <f t="shared" si="22"/>
        <v>0.42611201265664533</v>
      </c>
      <c r="E48" s="37">
        <f t="shared" si="22"/>
        <v>0.19402891130759059</v>
      </c>
      <c r="F48" s="37">
        <f t="shared" si="22"/>
        <v>-0.15382539395896089</v>
      </c>
      <c r="G48" s="37">
        <f t="shared" si="22"/>
        <v>-0.68159520234595483</v>
      </c>
      <c r="H48" s="37">
        <f t="shared" si="22"/>
        <v>-0.40921264971319005</v>
      </c>
      <c r="I48" s="37">
        <f t="shared" si="22"/>
        <v>-0.43607157249129003</v>
      </c>
      <c r="J48" s="37">
        <f t="shared" si="22"/>
        <v>6.2381382731889978E-2</v>
      </c>
      <c r="K48" s="37">
        <f t="shared" si="22"/>
        <v>0.32999829355312826</v>
      </c>
      <c r="L48" s="37">
        <f t="shared" si="22"/>
        <v>0.22085358013978507</v>
      </c>
      <c r="M48" s="37">
        <f t="shared" si="22"/>
        <v>0.70724543547544894</v>
      </c>
      <c r="N48" s="37">
        <f t="shared" si="22"/>
        <v>0.39810336428431103</v>
      </c>
      <c r="O48" s="37">
        <f t="shared" si="22"/>
        <v>0.65002963519800439</v>
      </c>
      <c r="P48" s="37">
        <f t="shared" si="22"/>
        <v>1.6653661435166338</v>
      </c>
      <c r="Q48" s="37">
        <f t="shared" si="22"/>
        <v>0.71794957932927161</v>
      </c>
      <c r="R48" s="37">
        <f t="shared" si="22"/>
        <v>0.76097224886360326</v>
      </c>
      <c r="S48" s="37">
        <f t="shared" si="22"/>
        <v>0.13816499781745151</v>
      </c>
      <c r="T48" s="37">
        <f t="shared" si="22"/>
        <v>4.2202879265531124E-2</v>
      </c>
      <c r="U48" s="37">
        <f t="shared" si="22"/>
        <v>-0.28153775701398942</v>
      </c>
      <c r="V48" s="37">
        <f t="shared" si="22"/>
        <v>0.16588789589110053</v>
      </c>
      <c r="W48" s="37">
        <f t="shared" si="22"/>
        <v>-0.32812520650911026</v>
      </c>
      <c r="X48" s="37">
        <f t="shared" si="22"/>
        <v>8.0674841141486375E-2</v>
      </c>
      <c r="Y48" s="37">
        <f t="shared" si="22"/>
        <v>-0.83422425203386652</v>
      </c>
      <c r="Z48" s="37">
        <f t="shared" si="22"/>
        <v>-1.0364298514663535</v>
      </c>
      <c r="AA48" s="37">
        <f t="shared" si="22"/>
        <v>-0.38278411146849756</v>
      </c>
      <c r="AB48" s="37">
        <f t="shared" si="22"/>
        <v>-0.82717151225630214</v>
      </c>
      <c r="AC48" s="37">
        <f t="shared" si="22"/>
        <v>-0.72061862106028585</v>
      </c>
      <c r="AD48" s="37">
        <f t="shared" si="22"/>
        <v>-0.26835655085666144</v>
      </c>
      <c r="AE48" s="37">
        <f t="shared" si="22"/>
        <v>-0.7906668311845868</v>
      </c>
      <c r="AF48" s="37">
        <f t="shared" si="22"/>
        <v>-0.51081887688472616</v>
      </c>
      <c r="AG48" s="37">
        <f t="shared" si="22"/>
        <v>-4.9900495006256484E-2</v>
      </c>
      <c r="AH48" s="37">
        <f>AH3-AH36</f>
        <v>-0.46622723373517605</v>
      </c>
      <c r="AI48" s="37">
        <f t="shared" si="22"/>
        <v>0.19096446196502814</v>
      </c>
      <c r="AJ48" s="100">
        <f>SLOPE(B48:AI48,B$57:AI$57)</f>
        <v>-2.7263481898660017E-2</v>
      </c>
      <c r="AK48" s="100">
        <f>SLOPE(B48:U48,B$57:U$57)</f>
        <v>1.2354438583777782E-2</v>
      </c>
      <c r="AL48" s="100">
        <f>SLOPE(V48:AI48,V$57:AI$57)</f>
        <v>3.4597435925911905E-3</v>
      </c>
    </row>
    <row r="49" spans="1:43" x14ac:dyDescent="0.25">
      <c r="A49" s="138" t="s">
        <v>1788</v>
      </c>
      <c r="B49" s="37">
        <f t="shared" ref="B49:AI49" si="23">B4-B37</f>
        <v>1.7442949631417264</v>
      </c>
      <c r="C49" s="37">
        <f t="shared" si="23"/>
        <v>0.78460943312764186</v>
      </c>
      <c r="D49" s="37">
        <f t="shared" si="23"/>
        <v>0.55197495009335995</v>
      </c>
      <c r="E49" s="37">
        <f t="shared" si="23"/>
        <v>1.0745506772185003</v>
      </c>
      <c r="F49" s="37">
        <f t="shared" si="23"/>
        <v>1.2032555496350668</v>
      </c>
      <c r="G49" s="37">
        <f t="shared" si="23"/>
        <v>-0.24469939899624826</v>
      </c>
      <c r="H49" s="37">
        <f t="shared" si="23"/>
        <v>-0.64069629039861553</v>
      </c>
      <c r="I49" s="37">
        <f t="shared" si="23"/>
        <v>-0.67287188400720233</v>
      </c>
      <c r="J49" s="37">
        <f t="shared" si="23"/>
        <v>0.50412858872948618</v>
      </c>
      <c r="K49" s="37">
        <f t="shared" si="23"/>
        <v>0.36754719706364725</v>
      </c>
      <c r="L49" s="37">
        <f t="shared" si="23"/>
        <v>0.71294912190509052</v>
      </c>
      <c r="M49" s="37">
        <f t="shared" si="23"/>
        <v>2.0624205232902622</v>
      </c>
      <c r="N49" s="37">
        <f t="shared" si="23"/>
        <v>2.0202159748152599</v>
      </c>
      <c r="O49" s="37">
        <f t="shared" si="23"/>
        <v>0.62823373636947366</v>
      </c>
      <c r="P49" s="37">
        <f t="shared" si="23"/>
        <v>-5.6706554659641029E-2</v>
      </c>
      <c r="Q49" s="37">
        <f t="shared" si="23"/>
        <v>3.5538526683858152E-2</v>
      </c>
      <c r="R49" s="37">
        <f t="shared" si="23"/>
        <v>-8.3143071464853335E-2</v>
      </c>
      <c r="S49" s="37">
        <f t="shared" si="23"/>
        <v>-0.89633369706141153</v>
      </c>
      <c r="T49" s="37">
        <f t="shared" si="23"/>
        <v>0.22604410951070619</v>
      </c>
      <c r="U49" s="37">
        <f t="shared" si="23"/>
        <v>-0.92945214377557051</v>
      </c>
      <c r="V49" s="37">
        <f t="shared" si="23"/>
        <v>0.42558718196181822</v>
      </c>
      <c r="W49" s="37">
        <f t="shared" si="23"/>
        <v>0.1701229495208274</v>
      </c>
      <c r="X49" s="37">
        <f t="shared" si="23"/>
        <v>-0.27700852492932526</v>
      </c>
      <c r="Y49" s="37">
        <f t="shared" si="23"/>
        <v>-1.8968905719801317</v>
      </c>
      <c r="Z49" s="37">
        <f t="shared" si="23"/>
        <v>-1.1122614030140188</v>
      </c>
      <c r="AA49" s="37">
        <f t="shared" si="23"/>
        <v>-0.88803635679558823</v>
      </c>
      <c r="AB49" s="37">
        <f t="shared" si="23"/>
        <v>-1.6782833079976474</v>
      </c>
      <c r="AC49" s="37">
        <f t="shared" si="23"/>
        <v>-0.91358843312995219</v>
      </c>
      <c r="AD49" s="37">
        <f t="shared" si="23"/>
        <v>-0.60167154448675575</v>
      </c>
      <c r="AE49" s="37">
        <f t="shared" si="23"/>
        <v>-0.7526960041405335</v>
      </c>
      <c r="AF49" s="37">
        <f t="shared" si="23"/>
        <v>-0.4682963284724373</v>
      </c>
      <c r="AG49" s="37">
        <f t="shared" si="23"/>
        <v>-5.9091085752680073E-2</v>
      </c>
      <c r="AH49" s="37">
        <f t="shared" si="23"/>
        <v>-0.14439117123568224</v>
      </c>
      <c r="AI49" s="37">
        <f t="shared" si="23"/>
        <v>-0.19535571076849756</v>
      </c>
      <c r="AJ49" s="100">
        <f t="shared" ref="AJ49:AJ56" si="24">SLOPE(B49:AI49,B$57:AI$57)</f>
        <v>-5.5359558283965292E-2</v>
      </c>
      <c r="AK49" s="100">
        <f t="shared" ref="AK49:AK56" si="25">SLOPE(B49:U49,B$57:U$57)</f>
        <v>-6.0794119110182579E-2</v>
      </c>
      <c r="AL49" s="100">
        <f t="shared" ref="AL49:AL56" si="26">SLOPE(V49:AI49,V$57:AI$57)</f>
        <v>8.4640000648122504E-3</v>
      </c>
    </row>
    <row r="50" spans="1:43" x14ac:dyDescent="0.25">
      <c r="A50" s="138" t="s">
        <v>1923</v>
      </c>
      <c r="B50" s="37">
        <f t="shared" ref="B50:AI50" si="27">B5-B38</f>
        <v>-0.28849008390545539</v>
      </c>
      <c r="C50" s="37">
        <f t="shared" si="27"/>
        <v>-0.36108743945289312</v>
      </c>
      <c r="D50" s="37">
        <f t="shared" si="27"/>
        <v>-0.71692891236888423</v>
      </c>
      <c r="E50" s="37">
        <f t="shared" si="27"/>
        <v>-0.57795803081894537</v>
      </c>
      <c r="F50" s="37">
        <f t="shared" si="27"/>
        <v>-0.42890832127977463</v>
      </c>
      <c r="G50" s="37">
        <f t="shared" si="27"/>
        <v>0.37567469674524023</v>
      </c>
      <c r="H50" s="37">
        <f t="shared" si="27"/>
        <v>0.50187293005224909</v>
      </c>
      <c r="I50" s="37">
        <f t="shared" si="27"/>
        <v>0.22871734106282382</v>
      </c>
      <c r="J50" s="37">
        <f t="shared" si="27"/>
        <v>1.1394683802448844</v>
      </c>
      <c r="K50" s="37">
        <f t="shared" si="27"/>
        <v>0.94755543994993285</v>
      </c>
      <c r="L50" s="37">
        <f t="shared" si="27"/>
        <v>0.39812635197457613</v>
      </c>
      <c r="M50" s="37">
        <f t="shared" si="27"/>
        <v>0.58593730546275324</v>
      </c>
      <c r="N50" s="37">
        <f t="shared" si="27"/>
        <v>9.4785506459059921E-2</v>
      </c>
      <c r="O50" s="37">
        <f t="shared" si="27"/>
        <v>1.1222947206644331</v>
      </c>
      <c r="P50" s="37">
        <f t="shared" si="27"/>
        <v>1.5761205305844586</v>
      </c>
      <c r="Q50" s="37">
        <f t="shared" si="27"/>
        <v>1.1891300956349449</v>
      </c>
      <c r="R50" s="37">
        <f t="shared" si="27"/>
        <v>1.0054771885245959</v>
      </c>
      <c r="S50" s="37">
        <f t="shared" si="27"/>
        <v>0.3184438508186731</v>
      </c>
      <c r="T50" s="37">
        <f t="shared" si="27"/>
        <v>-0.28089821223165812</v>
      </c>
      <c r="U50" s="37">
        <f t="shared" si="27"/>
        <v>-0.60330596903283551</v>
      </c>
      <c r="V50" s="37">
        <f t="shared" si="27"/>
        <v>-0.26763010053198011</v>
      </c>
      <c r="W50" s="37">
        <f t="shared" si="27"/>
        <v>-0.49629738631646436</v>
      </c>
      <c r="X50" s="37">
        <f t="shared" si="27"/>
        <v>-0.77477315427687676</v>
      </c>
      <c r="Y50" s="37">
        <f t="shared" si="27"/>
        <v>-0.95748851973722893</v>
      </c>
      <c r="Z50" s="37">
        <f t="shared" si="27"/>
        <v>-0.91057286268246784</v>
      </c>
      <c r="AA50" s="37">
        <f t="shared" si="27"/>
        <v>-0.46960022419094916</v>
      </c>
      <c r="AB50" s="37">
        <f t="shared" si="27"/>
        <v>-0.16178128920215196</v>
      </c>
      <c r="AC50" s="37">
        <f t="shared" si="27"/>
        <v>-0.25167483196460472</v>
      </c>
      <c r="AD50" s="37">
        <f t="shared" si="27"/>
        <v>-0.29836282364271893</v>
      </c>
      <c r="AE50" s="37">
        <f t="shared" si="27"/>
        <v>-0.52060178443255767</v>
      </c>
      <c r="AF50" s="37">
        <f t="shared" si="27"/>
        <v>-0.21330613295762335</v>
      </c>
      <c r="AG50" s="37">
        <f t="shared" si="27"/>
        <v>-0.30129926998358858</v>
      </c>
      <c r="AH50" s="37">
        <f t="shared" si="27"/>
        <v>-0.45559906189005828</v>
      </c>
      <c r="AI50" s="37">
        <f t="shared" si="27"/>
        <v>-0.14703992727891668</v>
      </c>
      <c r="AJ50" s="100">
        <f t="shared" si="24"/>
        <v>-2.0819356841498785E-2</v>
      </c>
      <c r="AK50" s="100">
        <f t="shared" si="25"/>
        <v>4.62877221685562E-2</v>
      </c>
      <c r="AL50" s="100">
        <f t="shared" si="26"/>
        <v>3.0460592389470145E-2</v>
      </c>
    </row>
    <row r="51" spans="1:43" x14ac:dyDescent="0.25">
      <c r="A51" s="138" t="s">
        <v>1924</v>
      </c>
      <c r="B51" s="37">
        <f t="shared" ref="B51:AI51" si="28">B6-B39</f>
        <v>-0.17876633490737381</v>
      </c>
      <c r="C51" s="37">
        <f t="shared" si="28"/>
        <v>-0.21478194079824675</v>
      </c>
      <c r="D51" s="37">
        <f t="shared" si="28"/>
        <v>-0.35950365248306015</v>
      </c>
      <c r="E51" s="37">
        <f t="shared" si="28"/>
        <v>-0.32175943611326252</v>
      </c>
      <c r="F51" s="37">
        <f t="shared" si="28"/>
        <v>-0.25968703782018521</v>
      </c>
      <c r="G51" s="37">
        <f t="shared" si="28"/>
        <v>-7.4727564348987308E-2</v>
      </c>
      <c r="H51" s="37">
        <f t="shared" si="28"/>
        <v>8.1333311508772432E-2</v>
      </c>
      <c r="I51" s="37">
        <f t="shared" si="28"/>
        <v>1.6270791512289939E-2</v>
      </c>
      <c r="J51" s="37">
        <f t="shared" si="28"/>
        <v>0.3008073207172699</v>
      </c>
      <c r="K51" s="37">
        <f t="shared" si="28"/>
        <v>0.23225229520611546</v>
      </c>
      <c r="L51" s="37">
        <f t="shared" si="28"/>
        <v>9.3538882161996018E-2</v>
      </c>
      <c r="M51" s="37">
        <f t="shared" si="28"/>
        <v>0.14506613077558317</v>
      </c>
      <c r="N51" s="37">
        <f t="shared" si="28"/>
        <v>-4.2820802026511728E-2</v>
      </c>
      <c r="O51" s="37">
        <f t="shared" si="28"/>
        <v>0.36714345173812601</v>
      </c>
      <c r="P51" s="37">
        <f t="shared" si="28"/>
        <v>0.55359489473266166</v>
      </c>
      <c r="Q51" s="37">
        <f t="shared" si="28"/>
        <v>0.38768315852900015</v>
      </c>
      <c r="R51" s="37">
        <f t="shared" si="28"/>
        <v>0.2285147769847895</v>
      </c>
      <c r="S51" s="37">
        <f t="shared" si="28"/>
        <v>-8.4877817128119482E-3</v>
      </c>
      <c r="T51" s="37">
        <f t="shared" si="28"/>
        <v>-1.5553124766664705E-2</v>
      </c>
      <c r="U51" s="37">
        <f t="shared" si="28"/>
        <v>-0.2678038294051972</v>
      </c>
      <c r="V51" s="37">
        <f t="shared" si="28"/>
        <v>-0.27377683847611367</v>
      </c>
      <c r="W51" s="37">
        <f t="shared" si="28"/>
        <v>-0.26648217723460377</v>
      </c>
      <c r="X51" s="37">
        <f t="shared" si="28"/>
        <v>-0.51741365561572406</v>
      </c>
      <c r="Y51" s="37">
        <f t="shared" si="28"/>
        <v>-0.41229117353437594</v>
      </c>
      <c r="Z51" s="37">
        <f t="shared" si="28"/>
        <v>-7.627632188557909E-2</v>
      </c>
      <c r="AA51" s="37">
        <f t="shared" si="28"/>
        <v>-1.5945518536904846E-2</v>
      </c>
      <c r="AB51" s="37">
        <f t="shared" si="28"/>
        <v>-6.1657967618322651E-3</v>
      </c>
      <c r="AC51" s="37">
        <f t="shared" si="28"/>
        <v>0.18902879685135199</v>
      </c>
      <c r="AD51" s="37">
        <f t="shared" si="28"/>
        <v>0.33964848876886355</v>
      </c>
      <c r="AE51" s="37">
        <f t="shared" si="28"/>
        <v>0.18258140322775684</v>
      </c>
      <c r="AF51" s="37">
        <f t="shared" si="28"/>
        <v>0.22979925184412098</v>
      </c>
      <c r="AG51" s="37">
        <f t="shared" si="28"/>
        <v>-6.1944234690827216E-2</v>
      </c>
      <c r="AH51" s="37">
        <f t="shared" si="28"/>
        <v>-6.6313363803646386E-2</v>
      </c>
      <c r="AI51" s="37">
        <f t="shared" si="28"/>
        <v>9.3237630363230739E-2</v>
      </c>
      <c r="AJ51" s="100">
        <f t="shared" si="24"/>
        <v>3.6048494054670178E-3</v>
      </c>
      <c r="AK51" s="100">
        <f t="shared" si="25"/>
        <v>2.1044534309417159E-2</v>
      </c>
      <c r="AL51" s="100">
        <f t="shared" si="26"/>
        <v>3.9831138570819179E-2</v>
      </c>
    </row>
    <row r="52" spans="1:43" x14ac:dyDescent="0.25">
      <c r="A52" s="138" t="s">
        <v>1939</v>
      </c>
      <c r="B52" s="37">
        <f t="shared" ref="B52:AI52" si="29">B7-B40</f>
        <v>1.2359993011399109</v>
      </c>
      <c r="C52" s="37">
        <f t="shared" si="29"/>
        <v>0.58358895474460404</v>
      </c>
      <c r="D52" s="37">
        <f t="shared" si="29"/>
        <v>-0.47683693154451845</v>
      </c>
      <c r="E52" s="37">
        <f t="shared" si="29"/>
        <v>-0.74784924254115737</v>
      </c>
      <c r="F52" s="37">
        <f t="shared" si="29"/>
        <v>1.0778962157634702</v>
      </c>
      <c r="G52" s="37">
        <f t="shared" si="29"/>
        <v>-0.64515257247337487</v>
      </c>
      <c r="H52" s="37">
        <f t="shared" si="29"/>
        <v>0.52962895458908577</v>
      </c>
      <c r="I52" s="37">
        <f t="shared" si="29"/>
        <v>0.44313573295732311</v>
      </c>
      <c r="J52" s="37">
        <f t="shared" si="29"/>
        <v>1.2844124455459855</v>
      </c>
      <c r="K52" s="37">
        <f t="shared" si="29"/>
        <v>0.70386477985478102</v>
      </c>
      <c r="L52" s="37">
        <f t="shared" si="29"/>
        <v>0.44545057978990243</v>
      </c>
      <c r="M52" s="37">
        <f t="shared" si="29"/>
        <v>1.0467479705607143</v>
      </c>
      <c r="N52" s="37">
        <f t="shared" si="29"/>
        <v>0.56419143646920311</v>
      </c>
      <c r="O52" s="37">
        <f t="shared" si="29"/>
        <v>0.99066412665486681</v>
      </c>
      <c r="P52" s="37">
        <f t="shared" si="29"/>
        <v>1.2340081424952842</v>
      </c>
      <c r="Q52" s="37">
        <f t="shared" si="29"/>
        <v>0.31173501606925669</v>
      </c>
      <c r="R52" s="37">
        <f t="shared" si="29"/>
        <v>-1.2724705319243412E-2</v>
      </c>
      <c r="S52" s="37">
        <f t="shared" si="29"/>
        <v>0.35285549828904195</v>
      </c>
      <c r="T52" s="37">
        <f t="shared" si="29"/>
        <v>0.11777017022692782</v>
      </c>
      <c r="U52" s="37">
        <f t="shared" si="29"/>
        <v>-0.58237270480267789</v>
      </c>
      <c r="V52" s="37">
        <f t="shared" si="29"/>
        <v>-0.62400093875172935</v>
      </c>
      <c r="W52" s="37">
        <f t="shared" si="29"/>
        <v>-0.90261040458226027</v>
      </c>
      <c r="X52" s="37">
        <f t="shared" si="29"/>
        <v>-1.0727673528151325</v>
      </c>
      <c r="Y52" s="37">
        <f t="shared" si="29"/>
        <v>-1.5021914003840919</v>
      </c>
      <c r="Z52" s="37">
        <f t="shared" si="29"/>
        <v>-1.1598984396416014</v>
      </c>
      <c r="AA52" s="37">
        <f t="shared" si="29"/>
        <v>-0.47044151989372374</v>
      </c>
      <c r="AB52" s="37">
        <f t="shared" si="29"/>
        <v>-1.3461367327919387</v>
      </c>
      <c r="AC52" s="37">
        <f t="shared" si="29"/>
        <v>-0.79850433460936543</v>
      </c>
      <c r="AD52" s="37">
        <f t="shared" si="29"/>
        <v>-0.14517856353015723</v>
      </c>
      <c r="AE52" s="37">
        <f t="shared" si="29"/>
        <v>-0.36160207831073343</v>
      </c>
      <c r="AF52" s="37">
        <f t="shared" si="29"/>
        <v>-0.15496309744577097</v>
      </c>
      <c r="AG52" s="37">
        <f t="shared" si="29"/>
        <v>0.21991679159091326</v>
      </c>
      <c r="AH52" s="37">
        <f t="shared" si="29"/>
        <v>-0.41335131962528671</v>
      </c>
      <c r="AI52" s="37">
        <f t="shared" si="29"/>
        <v>0.27471622232110349</v>
      </c>
      <c r="AJ52" s="100">
        <f t="shared" si="24"/>
        <v>-3.8657571869913469E-2</v>
      </c>
      <c r="AK52" s="100">
        <f t="shared" si="25"/>
        <v>-6.8572869798801785E-3</v>
      </c>
      <c r="AL52" s="100">
        <f t="shared" si="26"/>
        <v>9.5922706643129255E-2</v>
      </c>
    </row>
    <row r="53" spans="1:43" x14ac:dyDescent="0.25">
      <c r="A53" s="138" t="s">
        <v>1925</v>
      </c>
      <c r="B53" s="37">
        <f t="shared" ref="B53:AI53" si="30">B8-B41</f>
        <v>0.87030294261510477</v>
      </c>
      <c r="C53" s="37">
        <f t="shared" si="30"/>
        <v>-0.3010528372347423</v>
      </c>
      <c r="D53" s="37">
        <f t="shared" si="30"/>
        <v>-0.95561584052545356</v>
      </c>
      <c r="E53" s="37">
        <f t="shared" si="30"/>
        <v>-1.3703965974761516</v>
      </c>
      <c r="F53" s="37">
        <f t="shared" si="30"/>
        <v>-1.5479927405391791</v>
      </c>
      <c r="G53" s="37">
        <f t="shared" si="30"/>
        <v>-1.8977460083180162</v>
      </c>
      <c r="H53" s="37">
        <f t="shared" si="30"/>
        <v>-0.28182031615828862</v>
      </c>
      <c r="I53" s="37">
        <f t="shared" si="30"/>
        <v>-1.6064269243151017</v>
      </c>
      <c r="J53" s="37">
        <f t="shared" si="30"/>
        <v>-0.13230247219776814</v>
      </c>
      <c r="K53" s="37">
        <f t="shared" si="30"/>
        <v>0.47455823114782447</v>
      </c>
      <c r="L53" s="37">
        <f t="shared" si="30"/>
        <v>3.2280839802231753</v>
      </c>
      <c r="M53" s="37">
        <f t="shared" si="30"/>
        <v>4.4728454533707236</v>
      </c>
      <c r="N53" s="37">
        <f t="shared" si="30"/>
        <v>2.3121831756537148</v>
      </c>
      <c r="O53" s="37">
        <f t="shared" si="30"/>
        <v>1.9660017899473061</v>
      </c>
      <c r="P53" s="37">
        <f t="shared" si="30"/>
        <v>2.4608999991758864</v>
      </c>
      <c r="Q53" s="37">
        <f t="shared" si="30"/>
        <v>3.4828913219868767</v>
      </c>
      <c r="R53" s="37">
        <f t="shared" si="30"/>
        <v>0.3116600855912921</v>
      </c>
      <c r="S53" s="37">
        <f t="shared" si="30"/>
        <v>1.4060523762663806</v>
      </c>
      <c r="T53" s="37">
        <f t="shared" si="30"/>
        <v>0.42199332970687919</v>
      </c>
      <c r="U53" s="37">
        <f t="shared" si="30"/>
        <v>-2.8805223058544129</v>
      </c>
      <c r="V53" s="37">
        <f t="shared" si="30"/>
        <v>-1.9030799352319612</v>
      </c>
      <c r="W53" s="37">
        <f t="shared" si="30"/>
        <v>-2.661373351757355</v>
      </c>
      <c r="X53" s="37">
        <f t="shared" si="30"/>
        <v>-0.88202357142956345</v>
      </c>
      <c r="Y53" s="37">
        <f t="shared" si="30"/>
        <v>-3.1989264068736389</v>
      </c>
      <c r="Z53" s="37">
        <f t="shared" si="30"/>
        <v>-1.1332879214187059</v>
      </c>
      <c r="AA53" s="37">
        <f t="shared" si="30"/>
        <v>0.33473366095899593</v>
      </c>
      <c r="AB53" s="37">
        <f t="shared" si="30"/>
        <v>-1.9548522498251835</v>
      </c>
      <c r="AC53" s="37">
        <f t="shared" si="30"/>
        <v>-1.608677481617157</v>
      </c>
      <c r="AD53" s="37">
        <f t="shared" si="30"/>
        <v>1.492462255773674</v>
      </c>
      <c r="AE53" s="37">
        <f t="shared" si="30"/>
        <v>0.44219681980369074</v>
      </c>
      <c r="AF53" s="37">
        <f t="shared" si="30"/>
        <v>-0.93117321684523802</v>
      </c>
      <c r="AG53" s="37">
        <f t="shared" si="30"/>
        <v>1.1197121383415194</v>
      </c>
      <c r="AH53" s="37">
        <f t="shared" si="30"/>
        <v>-0.12834198757258264</v>
      </c>
      <c r="AI53" s="37">
        <f t="shared" si="30"/>
        <v>0.57903460462731005</v>
      </c>
      <c r="AJ53" s="100">
        <f t="shared" si="24"/>
        <v>-1.5927058073446319E-2</v>
      </c>
      <c r="AK53" s="100">
        <f t="shared" si="25"/>
        <v>0.10885878103190737</v>
      </c>
      <c r="AL53" s="100">
        <f t="shared" si="26"/>
        <v>0.23234618022221015</v>
      </c>
    </row>
    <row r="54" spans="1:43" x14ac:dyDescent="0.25">
      <c r="A54" s="138" t="s">
        <v>1940</v>
      </c>
      <c r="B54" s="37">
        <f t="shared" ref="B54:AI54" si="31">B9-B42</f>
        <v>3.3734369556016652</v>
      </c>
      <c r="C54" s="37">
        <f t="shared" si="31"/>
        <v>2.4832167044414319</v>
      </c>
      <c r="D54" s="37">
        <f t="shared" si="31"/>
        <v>0.358533815774841</v>
      </c>
      <c r="E54" s="37">
        <f t="shared" si="31"/>
        <v>1.2797437421140643</v>
      </c>
      <c r="F54" s="37">
        <f t="shared" si="31"/>
        <v>0.82085847714778026</v>
      </c>
      <c r="G54" s="37">
        <f t="shared" si="31"/>
        <v>0.37272788613137919</v>
      </c>
      <c r="H54" s="37">
        <f t="shared" si="31"/>
        <v>0.81161715472278217</v>
      </c>
      <c r="I54" s="37">
        <f t="shared" si="31"/>
        <v>0.4556972653917164</v>
      </c>
      <c r="J54" s="37">
        <f t="shared" si="31"/>
        <v>2.3838022473964173</v>
      </c>
      <c r="K54" s="37">
        <f t="shared" si="31"/>
        <v>1.6291256056115522</v>
      </c>
      <c r="L54" s="37">
        <f t="shared" si="31"/>
        <v>2.1697482452325012</v>
      </c>
      <c r="M54" s="37">
        <f t="shared" si="31"/>
        <v>2.6479983272453076</v>
      </c>
      <c r="N54" s="37">
        <f t="shared" si="31"/>
        <v>2.1325312836156911</v>
      </c>
      <c r="O54" s="37">
        <f t="shared" si="31"/>
        <v>1.5803579067263094</v>
      </c>
      <c r="P54" s="37">
        <f t="shared" si="31"/>
        <v>2.456834056509738</v>
      </c>
      <c r="Q54" s="37">
        <f t="shared" si="31"/>
        <v>0.56840593436016462</v>
      </c>
      <c r="R54" s="37">
        <f t="shared" si="31"/>
        <v>0.32927985717120123</v>
      </c>
      <c r="S54" s="37">
        <f t="shared" si="31"/>
        <v>-0.5463247589075948</v>
      </c>
      <c r="T54" s="37">
        <f t="shared" si="31"/>
        <v>2.647500975639911</v>
      </c>
      <c r="U54" s="37">
        <f t="shared" si="31"/>
        <v>-3.2253823490906761</v>
      </c>
      <c r="V54" s="37">
        <f t="shared" si="31"/>
        <v>-1.6566418335677966</v>
      </c>
      <c r="W54" s="37">
        <f t="shared" si="31"/>
        <v>-1.617679207223496</v>
      </c>
      <c r="X54" s="37">
        <f t="shared" si="31"/>
        <v>-1.6382093744528632</v>
      </c>
      <c r="Y54" s="37">
        <f t="shared" si="31"/>
        <v>-3.0279476264053855</v>
      </c>
      <c r="Z54" s="37">
        <f t="shared" si="31"/>
        <v>-3.0140388794045023</v>
      </c>
      <c r="AA54" s="37">
        <f t="shared" si="31"/>
        <v>-1.6490958335277028</v>
      </c>
      <c r="AB54" s="37">
        <f t="shared" si="31"/>
        <v>-2.2111646600597616</v>
      </c>
      <c r="AC54" s="37">
        <f t="shared" si="31"/>
        <v>-1.5619506413929045</v>
      </c>
      <c r="AD54" s="37">
        <f t="shared" si="31"/>
        <v>-0.90566508690680081</v>
      </c>
      <c r="AE54" s="37">
        <f t="shared" si="31"/>
        <v>-2.194192392222007</v>
      </c>
      <c r="AF54" s="37">
        <f t="shared" si="31"/>
        <v>-1.9119439746984881</v>
      </c>
      <c r="AG54" s="37">
        <f t="shared" si="31"/>
        <v>-0.6770924492225987</v>
      </c>
      <c r="AH54" s="37">
        <f t="shared" si="31"/>
        <v>-2.1954351243280321</v>
      </c>
      <c r="AI54" s="37">
        <f t="shared" si="31"/>
        <v>-0.4686522494239469</v>
      </c>
      <c r="AJ54" s="100">
        <f t="shared" si="24"/>
        <v>-0.14143863265599238</v>
      </c>
      <c r="AK54" s="100">
        <f t="shared" si="25"/>
        <v>-8.829706729791012E-2</v>
      </c>
      <c r="AL54" s="100">
        <f t="shared" si="26"/>
        <v>7.1493112283918359E-2</v>
      </c>
    </row>
    <row r="55" spans="1:43" x14ac:dyDescent="0.25">
      <c r="A55" s="138" t="s">
        <v>1926</v>
      </c>
      <c r="B55" s="37">
        <f t="shared" ref="B55:AI55" si="32">B10-B43</f>
        <v>0.16260474121089352</v>
      </c>
      <c r="C55" s="37">
        <f t="shared" si="32"/>
        <v>0.12344024785675201</v>
      </c>
      <c r="D55" s="37">
        <f t="shared" si="32"/>
        <v>9.316878365935688E-2</v>
      </c>
      <c r="E55" s="37">
        <f t="shared" si="32"/>
        <v>3.0851233677161805E-2</v>
      </c>
      <c r="F55" s="37">
        <f t="shared" si="32"/>
        <v>0.10619634501016684</v>
      </c>
      <c r="G55" s="37">
        <f t="shared" si="32"/>
        <v>-1.9807161225282588E-2</v>
      </c>
      <c r="H55" s="37">
        <f t="shared" si="32"/>
        <v>-1.8344515280206419E-2</v>
      </c>
      <c r="I55" s="37">
        <f t="shared" si="32"/>
        <v>5.1557133387364118E-2</v>
      </c>
      <c r="J55" s="37">
        <f t="shared" si="32"/>
        <v>0.29109277853470727</v>
      </c>
      <c r="K55" s="37">
        <f t="shared" si="32"/>
        <v>0.11028631016271717</v>
      </c>
      <c r="L55" s="37">
        <f t="shared" si="32"/>
        <v>-2.0301432878615966E-2</v>
      </c>
      <c r="M55" s="37">
        <f t="shared" si="32"/>
        <v>0.3026221110351468</v>
      </c>
      <c r="N55" s="37">
        <f t="shared" si="32"/>
        <v>0.17024477865819287</v>
      </c>
      <c r="O55" s="37">
        <f t="shared" si="32"/>
        <v>0.10549200295584082</v>
      </c>
      <c r="P55" s="37">
        <f t="shared" si="32"/>
        <v>0.21587718708709458</v>
      </c>
      <c r="Q55" s="37">
        <f t="shared" si="32"/>
        <v>0.14465155708061062</v>
      </c>
      <c r="R55" s="37">
        <f t="shared" si="32"/>
        <v>7.0996907557318689E-2</v>
      </c>
      <c r="S55" s="37">
        <f t="shared" si="32"/>
        <v>-0.15069721938745184</v>
      </c>
      <c r="T55" s="37">
        <f t="shared" si="32"/>
        <v>-0.12310386473295365</v>
      </c>
      <c r="U55" s="37">
        <f t="shared" si="32"/>
        <v>-0.14711614911158444</v>
      </c>
      <c r="V55" s="37">
        <f t="shared" si="32"/>
        <v>3.1079046349661965E-2</v>
      </c>
      <c r="W55" s="37">
        <f t="shared" si="32"/>
        <v>-9.4505570464062494E-2</v>
      </c>
      <c r="X55" s="37">
        <f t="shared" si="32"/>
        <v>8.8236743066723022E-2</v>
      </c>
      <c r="Y55" s="37">
        <f t="shared" si="32"/>
        <v>-0.16405983018708659</v>
      </c>
      <c r="Z55" s="37">
        <f t="shared" si="32"/>
        <v>-0.19846706117877266</v>
      </c>
      <c r="AA55" s="37">
        <f t="shared" si="32"/>
        <v>-6.8992748421381478E-4</v>
      </c>
      <c r="AB55" s="37">
        <f t="shared" si="32"/>
        <v>-0.33135326165297618</v>
      </c>
      <c r="AC55" s="37">
        <f t="shared" si="32"/>
        <v>-0.34538805066361977</v>
      </c>
      <c r="AD55" s="37">
        <f t="shared" si="32"/>
        <v>-4.7208198421189174E-3</v>
      </c>
      <c r="AE55" s="37">
        <f t="shared" si="32"/>
        <v>-0.35637281599720838</v>
      </c>
      <c r="AF55" s="37">
        <f t="shared" si="32"/>
        <v>-0.16811331577149913</v>
      </c>
      <c r="AG55" s="37">
        <f t="shared" si="32"/>
        <v>5.0314101678188283E-2</v>
      </c>
      <c r="AH55" s="37">
        <f t="shared" si="32"/>
        <v>-8.6358530866822214E-2</v>
      </c>
      <c r="AI55" s="37">
        <f t="shared" si="32"/>
        <v>8.0687517756601324E-2</v>
      </c>
      <c r="AJ55" s="100">
        <f t="shared" si="24"/>
        <v>-9.2810679520258406E-3</v>
      </c>
      <c r="AK55" s="100">
        <f t="shared" si="25"/>
        <v>-6.9951748416236335E-3</v>
      </c>
      <c r="AL55" s="100">
        <f t="shared" si="26"/>
        <v>-9.9078428110853552E-4</v>
      </c>
    </row>
    <row r="56" spans="1:43" x14ac:dyDescent="0.25">
      <c r="A56" s="138" t="s">
        <v>1927</v>
      </c>
      <c r="B56" s="37">
        <f t="shared" ref="B56:AI56" si="33">B11-B44</f>
        <v>3.8443751828547423E-3</v>
      </c>
      <c r="C56" s="37">
        <f t="shared" si="33"/>
        <v>3.9434127459127888E-2</v>
      </c>
      <c r="D56" s="37">
        <f t="shared" si="33"/>
        <v>1.0463721407910187E-2</v>
      </c>
      <c r="E56" s="37">
        <f t="shared" si="33"/>
        <v>-1.2940406198560073E-2</v>
      </c>
      <c r="F56" s="37">
        <f t="shared" si="33"/>
        <v>-8.2518592302543547E-2</v>
      </c>
      <c r="G56" s="37">
        <f t="shared" si="33"/>
        <v>-7.2993093456228619E-2</v>
      </c>
      <c r="H56" s="37">
        <f t="shared" si="33"/>
        <v>-1.2321538135416477E-2</v>
      </c>
      <c r="I56" s="37">
        <f t="shared" si="33"/>
        <v>-9.3439453673193507E-2</v>
      </c>
      <c r="J56" s="37">
        <f t="shared" si="33"/>
        <v>7.1177912174536173E-2</v>
      </c>
      <c r="K56" s="37">
        <f t="shared" si="33"/>
        <v>-2.1554545177389306E-2</v>
      </c>
      <c r="L56" s="37">
        <f t="shared" si="33"/>
        <v>8.0449176219705487E-2</v>
      </c>
      <c r="M56" s="37">
        <f t="shared" si="33"/>
        <v>0.17122211469407289</v>
      </c>
      <c r="N56" s="37">
        <f t="shared" si="33"/>
        <v>5.8544286991047079E-2</v>
      </c>
      <c r="O56" s="37">
        <f t="shared" si="33"/>
        <v>3.6456865706384178E-2</v>
      </c>
      <c r="P56" s="37">
        <f t="shared" si="33"/>
        <v>0.26124526582703789</v>
      </c>
      <c r="Q56" s="37">
        <f t="shared" si="33"/>
        <v>0.18363832016245851</v>
      </c>
      <c r="R56" s="37">
        <f t="shared" si="33"/>
        <v>0.1983621903066326</v>
      </c>
      <c r="S56" s="37">
        <f t="shared" si="33"/>
        <v>1.5056775805154299E-2</v>
      </c>
      <c r="T56" s="37">
        <f t="shared" si="33"/>
        <v>-0.1285992018271831</v>
      </c>
      <c r="U56" s="37">
        <f t="shared" si="33"/>
        <v>-8.9484090008782324E-3</v>
      </c>
      <c r="V56" s="37">
        <f t="shared" si="33"/>
        <v>-3.833187738535293E-2</v>
      </c>
      <c r="W56" s="37">
        <f t="shared" si="33"/>
        <v>-0.102853134992543</v>
      </c>
      <c r="X56" s="37">
        <f t="shared" si="33"/>
        <v>-0.17833605525264762</v>
      </c>
      <c r="Y56" s="37">
        <f t="shared" si="33"/>
        <v>-0.17220168757077636</v>
      </c>
      <c r="Z56" s="37">
        <f t="shared" si="33"/>
        <v>-0.11568273970349785</v>
      </c>
      <c r="AA56" s="37">
        <f t="shared" si="33"/>
        <v>-4.7374946889396918E-2</v>
      </c>
      <c r="AB56" s="37">
        <f t="shared" si="33"/>
        <v>-4.6044534262882353E-2</v>
      </c>
      <c r="AC56" s="37">
        <f t="shared" si="33"/>
        <v>-1.7131805754040164E-2</v>
      </c>
      <c r="AD56" s="37">
        <f t="shared" si="33"/>
        <v>1.2544959271319822E-2</v>
      </c>
      <c r="AE56" s="37">
        <f t="shared" si="33"/>
        <v>2.6336182131672103E-2</v>
      </c>
      <c r="AF56" s="37">
        <f t="shared" si="33"/>
        <v>5.8181538012093581E-2</v>
      </c>
      <c r="AG56" s="37">
        <f t="shared" si="33"/>
        <v>3.6765041052655434E-3</v>
      </c>
      <c r="AH56" s="37">
        <f t="shared" si="33"/>
        <v>-7.6818558801097003E-2</v>
      </c>
      <c r="AI56" s="37">
        <f t="shared" si="33"/>
        <v>-2.543735073640585E-3</v>
      </c>
      <c r="AJ56" s="100">
        <f t="shared" si="24"/>
        <v>-1.7734075283421971E-3</v>
      </c>
      <c r="AK56" s="100">
        <f t="shared" si="25"/>
        <v>5.3801317315803647E-3</v>
      </c>
      <c r="AL56" s="100">
        <f t="shared" si="26"/>
        <v>1.0815799687090805E-2</v>
      </c>
    </row>
    <row r="57" spans="1:43" x14ac:dyDescent="0.25">
      <c r="A57" s="122" t="s">
        <v>2015</v>
      </c>
      <c r="B57">
        <v>1</v>
      </c>
      <c r="C57" s="37">
        <f>+B57+1</f>
        <v>2</v>
      </c>
      <c r="D57" s="37">
        <f t="shared" ref="D57:AI57" si="34">+C57+1</f>
        <v>3</v>
      </c>
      <c r="E57" s="37">
        <f t="shared" si="34"/>
        <v>4</v>
      </c>
      <c r="F57" s="37">
        <f t="shared" si="34"/>
        <v>5</v>
      </c>
      <c r="G57" s="37">
        <f t="shared" si="34"/>
        <v>6</v>
      </c>
      <c r="H57" s="37">
        <f t="shared" si="34"/>
        <v>7</v>
      </c>
      <c r="I57" s="37">
        <f t="shared" si="34"/>
        <v>8</v>
      </c>
      <c r="J57" s="37">
        <f t="shared" si="34"/>
        <v>9</v>
      </c>
      <c r="K57" s="37">
        <f t="shared" si="34"/>
        <v>10</v>
      </c>
      <c r="L57" s="37">
        <f t="shared" si="34"/>
        <v>11</v>
      </c>
      <c r="M57" s="37">
        <f t="shared" si="34"/>
        <v>12</v>
      </c>
      <c r="N57" s="37">
        <f t="shared" si="34"/>
        <v>13</v>
      </c>
      <c r="O57" s="37">
        <f t="shared" si="34"/>
        <v>14</v>
      </c>
      <c r="P57" s="37">
        <f t="shared" si="34"/>
        <v>15</v>
      </c>
      <c r="Q57" s="37">
        <f t="shared" si="34"/>
        <v>16</v>
      </c>
      <c r="R57" s="37">
        <f t="shared" si="34"/>
        <v>17</v>
      </c>
      <c r="S57" s="37">
        <f t="shared" si="34"/>
        <v>18</v>
      </c>
      <c r="T57" s="37">
        <f t="shared" si="34"/>
        <v>19</v>
      </c>
      <c r="U57" s="37">
        <f t="shared" si="34"/>
        <v>20</v>
      </c>
      <c r="V57" s="37">
        <f t="shared" si="34"/>
        <v>21</v>
      </c>
      <c r="W57" s="37">
        <f t="shared" si="34"/>
        <v>22</v>
      </c>
      <c r="X57" s="37">
        <f t="shared" si="34"/>
        <v>23</v>
      </c>
      <c r="Y57" s="37">
        <f t="shared" si="34"/>
        <v>24</v>
      </c>
      <c r="Z57" s="37">
        <f t="shared" si="34"/>
        <v>25</v>
      </c>
      <c r="AA57" s="37">
        <f t="shared" si="34"/>
        <v>26</v>
      </c>
      <c r="AB57" s="37">
        <f t="shared" si="34"/>
        <v>27</v>
      </c>
      <c r="AC57" s="37">
        <f t="shared" si="34"/>
        <v>28</v>
      </c>
      <c r="AD57" s="37">
        <f t="shared" si="34"/>
        <v>29</v>
      </c>
      <c r="AE57" s="37">
        <f t="shared" si="34"/>
        <v>30</v>
      </c>
      <c r="AF57" s="37">
        <f t="shared" si="34"/>
        <v>31</v>
      </c>
      <c r="AG57" s="37">
        <f t="shared" si="34"/>
        <v>32</v>
      </c>
      <c r="AH57" s="37">
        <f t="shared" si="34"/>
        <v>33</v>
      </c>
      <c r="AI57" s="37">
        <f t="shared" si="34"/>
        <v>34</v>
      </c>
      <c r="AK57" s="37"/>
    </row>
    <row r="58" spans="1:43" x14ac:dyDescent="0.25">
      <c r="A58" s="235" t="s">
        <v>2173</v>
      </c>
      <c r="AJ58" t="s">
        <v>2174</v>
      </c>
    </row>
    <row r="59" spans="1:43" x14ac:dyDescent="0.25">
      <c r="A59" s="230" t="s">
        <v>1786</v>
      </c>
      <c r="B59" s="230" t="s">
        <v>1821</v>
      </c>
      <c r="C59" s="230" t="s">
        <v>1822</v>
      </c>
      <c r="D59" s="230" t="s">
        <v>1823</v>
      </c>
      <c r="E59" s="230" t="s">
        <v>1824</v>
      </c>
      <c r="F59" s="230" t="s">
        <v>1825</v>
      </c>
      <c r="G59" s="230" t="s">
        <v>1826</v>
      </c>
      <c r="H59" s="230" t="s">
        <v>1827</v>
      </c>
      <c r="I59" s="230" t="s">
        <v>1828</v>
      </c>
      <c r="J59" s="230" t="s">
        <v>1829</v>
      </c>
      <c r="K59" s="230" t="s">
        <v>1830</v>
      </c>
      <c r="L59" s="230" t="s">
        <v>1831</v>
      </c>
      <c r="M59" s="230" t="s">
        <v>1832</v>
      </c>
      <c r="N59" s="230" t="s">
        <v>1833</v>
      </c>
      <c r="O59" s="230" t="s">
        <v>1834</v>
      </c>
      <c r="P59" s="230" t="s">
        <v>1835</v>
      </c>
      <c r="Q59" s="230" t="s">
        <v>1836</v>
      </c>
      <c r="R59" s="230" t="s">
        <v>1837</v>
      </c>
      <c r="S59" s="230" t="s">
        <v>1838</v>
      </c>
      <c r="T59" s="230" t="s">
        <v>1839</v>
      </c>
      <c r="U59" s="230" t="s">
        <v>1840</v>
      </c>
      <c r="V59" s="230" t="s">
        <v>1841</v>
      </c>
      <c r="W59" s="230" t="s">
        <v>1842</v>
      </c>
      <c r="X59" s="230" t="s">
        <v>1843</v>
      </c>
      <c r="Y59" s="230" t="s">
        <v>1844</v>
      </c>
      <c r="Z59" s="230" t="s">
        <v>1845</v>
      </c>
      <c r="AA59" s="230" t="s">
        <v>1846</v>
      </c>
      <c r="AB59" s="230" t="s">
        <v>1847</v>
      </c>
      <c r="AC59" s="230" t="s">
        <v>1848</v>
      </c>
      <c r="AD59" s="230" t="s">
        <v>1849</v>
      </c>
      <c r="AE59" s="230" t="s">
        <v>1850</v>
      </c>
      <c r="AF59" s="230" t="s">
        <v>1851</v>
      </c>
      <c r="AG59" s="230" t="s">
        <v>1852</v>
      </c>
      <c r="AH59" s="230" t="s">
        <v>1853</v>
      </c>
      <c r="AI59" s="230" t="s">
        <v>1854</v>
      </c>
      <c r="AJ59" s="116" t="s">
        <v>2017</v>
      </c>
      <c r="AK59" s="116" t="s">
        <v>2018</v>
      </c>
      <c r="AL59" s="154" t="s">
        <v>2019</v>
      </c>
      <c r="AM59" t="s">
        <v>2017</v>
      </c>
      <c r="AN59" t="s">
        <v>2018</v>
      </c>
      <c r="AO59" t="s">
        <v>2019</v>
      </c>
    </row>
    <row r="60" spans="1:43" x14ac:dyDescent="0.25">
      <c r="A60" s="231" t="s">
        <v>1922</v>
      </c>
      <c r="B60" s="236">
        <f>1000*B3/'NE Pop'!B3</f>
        <v>2.4611782051250182</v>
      </c>
      <c r="C60" s="236">
        <f>1000*C3/'NE Pop'!C3</f>
        <v>2.3774603100075362</v>
      </c>
      <c r="D60" s="236">
        <f>1000*D3/'NE Pop'!D3</f>
        <v>2.8222855024375804</v>
      </c>
      <c r="E60" s="236">
        <f>1000*E3/'NE Pop'!E3</f>
        <v>2.6897225187594112</v>
      </c>
      <c r="F60" s="236">
        <f>1000*F3/'NE Pop'!F3</f>
        <v>2.564243942680406</v>
      </c>
      <c r="G60" s="236">
        <f>1000*G3/'NE Pop'!G3</f>
        <v>2.3500953245384091</v>
      </c>
      <c r="H60" s="236">
        <f>1000*H3/'NE Pop'!H3</f>
        <v>2.4863800580024304</v>
      </c>
      <c r="I60" s="236">
        <f>1000*I3/'NE Pop'!I3</f>
        <v>2.4033211271824757</v>
      </c>
      <c r="J60" s="236">
        <f>1000*J3/'NE Pop'!J3</f>
        <v>2.0823521306649169</v>
      </c>
      <c r="K60" s="236">
        <f>1000*K3/'NE Pop'!K3</f>
        <v>2.3386577605397063</v>
      </c>
      <c r="L60" s="236">
        <f>1000*L3/'NE Pop'!L3</f>
        <v>2.5355018147635793</v>
      </c>
      <c r="M60" s="236">
        <f>1000*M3/'NE Pop'!M3</f>
        <v>2.4453106641042823</v>
      </c>
      <c r="N60" s="236">
        <f>1000*N3/'NE Pop'!N3</f>
        <v>2.3498697910118529</v>
      </c>
      <c r="O60" s="236">
        <f>1000*O3/'NE Pop'!O3</f>
        <v>2.7774312873327913</v>
      </c>
      <c r="P60" s="236">
        <f>1000*P3/'NE Pop'!P3</f>
        <v>2.9072623068764298</v>
      </c>
      <c r="Q60" s="236">
        <f>1000*Q3/'NE Pop'!Q3</f>
        <v>2.6425664849643566</v>
      </c>
      <c r="R60" s="236">
        <f>1000*R3/'NE Pop'!R3</f>
        <v>2.2781788451871856</v>
      </c>
      <c r="S60" s="236">
        <f>1000*S3/'NE Pop'!S3</f>
        <v>2.3506537316359508</v>
      </c>
      <c r="T60" s="236">
        <f>1000*T3/'NE Pop'!T3</f>
        <v>2.2932205706852788</v>
      </c>
      <c r="U60" s="236">
        <f>1000*U3/'NE Pop'!U3</f>
        <v>2.2852955702227207</v>
      </c>
      <c r="V60" s="236">
        <f>1000*V3/'NE Pop'!V3</f>
        <v>2.1238502858824617</v>
      </c>
      <c r="W60" s="236">
        <f>1000*W3/'NE Pop'!W3</f>
        <v>2.0187348053747565</v>
      </c>
      <c r="X60" s="236">
        <f>1000*X3/'NE Pop'!X3</f>
        <v>1.855649006050069</v>
      </c>
      <c r="Y60" s="236">
        <f>1000*Y3/'NE Pop'!Y3</f>
        <v>2.028034583028365</v>
      </c>
      <c r="Z60" s="236">
        <f>1000*Z3/'NE Pop'!Z3</f>
        <v>2.102085265261401</v>
      </c>
      <c r="AA60" s="236">
        <f>1000*AA3/'NE Pop'!AA3</f>
        <v>2.1615718459273703</v>
      </c>
      <c r="AB60" s="236">
        <f>1000*AB3/'NE Pop'!AB3</f>
        <v>1.7697272868901299</v>
      </c>
      <c r="AC60" s="236">
        <f>1000*AC3/'NE Pop'!AC3</f>
        <v>1.8382239693128202</v>
      </c>
      <c r="AD60" s="236">
        <f>1000*AD3/'NE Pop'!AD3</f>
        <v>2.107214314666666</v>
      </c>
      <c r="AE60" s="236">
        <f>1000*AE3/'NE Pop'!AE3</f>
        <v>2.0606548033034207</v>
      </c>
      <c r="AF60" s="236">
        <f>1000*AF3/'NE Pop'!AF3</f>
        <v>1.8496098903558782</v>
      </c>
      <c r="AG60" s="236">
        <f>1000*AG3/'NE Pop'!AG3</f>
        <v>1.9953553313623751</v>
      </c>
      <c r="AH60" s="236">
        <f>1000*AH3/'NE Pop'!AH3</f>
        <v>1.9796665385102055</v>
      </c>
      <c r="AI60" s="236">
        <f>1000*AI3/'NE Pop'!AI3</f>
        <v>1.9045272386010503</v>
      </c>
      <c r="AJ60" s="100">
        <f>SLOPE(B60:AI60,B$57:AI$57)</f>
        <v>-2.2630487428679277E-2</v>
      </c>
      <c r="AK60" s="100">
        <f>SLOPE(B60:U60,B$57:U$57)</f>
        <v>-6.2154267405401331E-3</v>
      </c>
      <c r="AL60" s="100">
        <f>SLOPE(V60:AI60,V$57:AI$57)</f>
        <v>-7.8555927301415078E-3</v>
      </c>
      <c r="AM60" s="100">
        <v>-5.4129190955657269E-2</v>
      </c>
      <c r="AN60" s="100">
        <v>1.7342291692675309E-2</v>
      </c>
      <c r="AO60" s="100">
        <v>-2.6164292682322333E-2</v>
      </c>
      <c r="AP60" t="b">
        <f>AL60&lt;AO60</f>
        <v>0</v>
      </c>
      <c r="AQ60" s="149">
        <f>+'NE Pop'!AI3/'NE Pop'!V3</f>
        <v>1.0106174909192511</v>
      </c>
    </row>
    <row r="61" spans="1:43" x14ac:dyDescent="0.25">
      <c r="A61" s="231" t="s">
        <v>1788</v>
      </c>
      <c r="B61" s="236">
        <f>1000*B4/'NE Pop'!B4</f>
        <v>2.4879171226863916</v>
      </c>
      <c r="C61" s="236">
        <f>1000*C4/'NE Pop'!C4</f>
        <v>2.3587582816279884</v>
      </c>
      <c r="D61" s="236">
        <f>1000*D4/'NE Pop'!D4</f>
        <v>2.6989448600112453</v>
      </c>
      <c r="E61" s="236">
        <f>1000*E4/'NE Pop'!E4</f>
        <v>2.7036942584957768</v>
      </c>
      <c r="F61" s="236">
        <f>1000*F4/'NE Pop'!F4</f>
        <v>2.6802017414786445</v>
      </c>
      <c r="G61" s="236">
        <f>1000*G4/'NE Pop'!G4</f>
        <v>2.3986979769890544</v>
      </c>
      <c r="H61" s="236">
        <f>1000*H4/'NE Pop'!H4</f>
        <v>2.3518397708748302</v>
      </c>
      <c r="I61" s="236">
        <f>1000*I4/'NE Pop'!I4</f>
        <v>2.3136383747225087</v>
      </c>
      <c r="J61" s="236">
        <f>1000*J4/'NE Pop'!J4</f>
        <v>2.1109141260781787</v>
      </c>
      <c r="K61" s="236">
        <f>1000*K4/'NE Pop'!K4</f>
        <v>2.1850467631174797</v>
      </c>
      <c r="L61" s="236">
        <f>1000*L4/'NE Pop'!L4</f>
        <v>2.4305290943323725</v>
      </c>
      <c r="M61" s="236">
        <f>1000*M4/'NE Pop'!M4</f>
        <v>2.4711245665580219</v>
      </c>
      <c r="N61" s="236">
        <f>1000*N4/'NE Pop'!N4</f>
        <v>2.45645182614855</v>
      </c>
      <c r="O61" s="236">
        <f>1000*O4/'NE Pop'!O4</f>
        <v>2.5382540569161027</v>
      </c>
      <c r="P61" s="236">
        <f>1000*P4/'NE Pop'!P4</f>
        <v>2.3246880023559657</v>
      </c>
      <c r="Q61" s="236">
        <f>1000*Q4/'NE Pop'!Q4</f>
        <v>2.3298703096926974</v>
      </c>
      <c r="R61" s="236">
        <f>1000*R4/'NE Pop'!R4</f>
        <v>2.0132346750313226</v>
      </c>
      <c r="S61" s="236">
        <f>1000*S4/'NE Pop'!S4</f>
        <v>2.1158050904283101</v>
      </c>
      <c r="T61" s="236">
        <f>1000*T4/'NE Pop'!T4</f>
        <v>2.2455208980553407</v>
      </c>
      <c r="U61" s="236">
        <f>1000*U4/'NE Pop'!U4</f>
        <v>2.1272914042748283</v>
      </c>
      <c r="V61" s="236">
        <f>1000*V4/'NE Pop'!V4</f>
        <v>2.0676262518027206</v>
      </c>
      <c r="W61" s="236">
        <f>1000*W4/'NE Pop'!W4</f>
        <v>2.0665262178212878</v>
      </c>
      <c r="X61" s="236">
        <f>1000*X4/'NE Pop'!X4</f>
        <v>1.7720045752200877</v>
      </c>
      <c r="Y61" s="236">
        <f>1000*Y4/'NE Pop'!Y4</f>
        <v>1.8418982260987835</v>
      </c>
      <c r="Z61" s="236">
        <f>1000*Z4/'NE Pop'!Z4</f>
        <v>2.0292487292737129</v>
      </c>
      <c r="AA61" s="236">
        <f>1000*AA4/'NE Pop'!AA4</f>
        <v>2.004877711024962</v>
      </c>
      <c r="AB61" s="236">
        <f>1000*AB4/'NE Pop'!AB4</f>
        <v>1.6763832795595917</v>
      </c>
      <c r="AC61" s="236">
        <f>1000*AC4/'NE Pop'!AC4</f>
        <v>1.8097062315064103</v>
      </c>
      <c r="AD61" s="236">
        <f>1000*AD4/'NE Pop'!AD4</f>
        <v>1.9454132889137377</v>
      </c>
      <c r="AE61" s="236">
        <f>1000*AE4/'NE Pop'!AE4</f>
        <v>1.9876729463176213</v>
      </c>
      <c r="AF61" s="236">
        <f>1000*AF4/'NE Pop'!AF4</f>
        <v>1.7454613249352195</v>
      </c>
      <c r="AG61" s="236">
        <f>1000*AG4/'NE Pop'!AG4</f>
        <v>1.7983342384062735</v>
      </c>
      <c r="AH61" s="236">
        <f>1000*AH4/'NE Pop'!AH4</f>
        <v>1.8575200052074088</v>
      </c>
      <c r="AI61" s="236">
        <f>1000*AI4/'NE Pop'!AI4</f>
        <v>1.6833753812455361</v>
      </c>
      <c r="AJ61" s="100">
        <f t="shared" ref="AJ61:AJ68" si="35">SLOPE(B61:AI61,B$57:AI$57)</f>
        <v>-2.6391593091647122E-2</v>
      </c>
      <c r="AK61" s="100">
        <f t="shared" ref="AK61:AK68" si="36">SLOPE(B61:U61,B$57:U$57)</f>
        <v>-2.0808007450079949E-2</v>
      </c>
      <c r="AL61" s="238">
        <f t="shared" ref="AL61:AL68" si="37">SLOPE(V61:AI61,V$57:AI$57)</f>
        <v>-1.7550264229961886E-2</v>
      </c>
      <c r="AM61" s="100">
        <v>-0.10433239670973943</v>
      </c>
      <c r="AN61" s="100">
        <v>-6.4900489798162722E-2</v>
      </c>
      <c r="AO61" s="100">
        <v>-5.4864750826204997E-2</v>
      </c>
      <c r="AP61" t="b">
        <f t="shared" ref="AP61:AP68" si="38">AL61&lt;AO61</f>
        <v>0</v>
      </c>
      <c r="AQ61" s="149">
        <f>+'NE Pop'!AI4/'NE Pop'!V4</f>
        <v>1.0662503807493147</v>
      </c>
    </row>
    <row r="62" spans="1:43" x14ac:dyDescent="0.25">
      <c r="A62" s="231" t="s">
        <v>1923</v>
      </c>
      <c r="B62" s="236">
        <f>1000*B5/'NE Pop'!B5</f>
        <v>2.3965462710013687</v>
      </c>
      <c r="C62" s="236">
        <f>1000*C5/'NE Pop'!C5</f>
        <v>2.4029048839516776</v>
      </c>
      <c r="D62" s="236">
        <f>1000*D5/'NE Pop'!D5</f>
        <v>2.4048288792746941</v>
      </c>
      <c r="E62" s="236">
        <f>1000*E5/'NE Pop'!E5</f>
        <v>2.4979498958914919</v>
      </c>
      <c r="F62" s="236">
        <f>1000*F5/'NE Pop'!F5</f>
        <v>2.5648767713361056</v>
      </c>
      <c r="G62" s="236">
        <f>1000*G5/'NE Pop'!G5</f>
        <v>3.1561793222418864</v>
      </c>
      <c r="H62" s="236">
        <f>1000*H5/'NE Pop'!H5</f>
        <v>3.2320772964665059</v>
      </c>
      <c r="I62" s="236">
        <f>1000*I5/'NE Pop'!I5</f>
        <v>3.1115332908818054</v>
      </c>
      <c r="J62" s="236">
        <f>1000*J5/'NE Pop'!J5</f>
        <v>3.3465212498014294</v>
      </c>
      <c r="K62" s="236">
        <f>1000*K5/'NE Pop'!K5</f>
        <v>3.1644925678400413</v>
      </c>
      <c r="L62" s="236">
        <f>1000*L5/'NE Pop'!L5</f>
        <v>3.0372634256878093</v>
      </c>
      <c r="M62" s="236">
        <f>1000*M5/'NE Pop'!M5</f>
        <v>3.000911803880248</v>
      </c>
      <c r="N62" s="236">
        <f>1000*N5/'NE Pop'!N5</f>
        <v>2.6793300167129623</v>
      </c>
      <c r="O62" s="236">
        <f>1000*O5/'NE Pop'!O5</f>
        <v>3.642019266508544</v>
      </c>
      <c r="P62" s="236">
        <f>1000*P5/'NE Pop'!P5</f>
        <v>3.9363747077803128</v>
      </c>
      <c r="Q62" s="236">
        <f>1000*Q5/'NE Pop'!Q5</f>
        <v>3.4992994127925185</v>
      </c>
      <c r="R62" s="236">
        <f>1000*R5/'NE Pop'!R5</f>
        <v>3.0276785490181259</v>
      </c>
      <c r="S62" s="236">
        <f>1000*S5/'NE Pop'!S5</f>
        <v>2.8952596775558894</v>
      </c>
      <c r="T62" s="236">
        <f>1000*T5/'NE Pop'!T5</f>
        <v>2.3387138055922865</v>
      </c>
      <c r="U62" s="236">
        <f>1000*U5/'NE Pop'!U5</f>
        <v>2.2066178880400997</v>
      </c>
      <c r="V62" s="236">
        <f>1000*V5/'NE Pop'!V5</f>
        <v>2.003969083024598</v>
      </c>
      <c r="W62" s="236">
        <f>1000*W5/'NE Pop'!W5</f>
        <v>2.0543059136847388</v>
      </c>
      <c r="X62" s="236">
        <f>1000*X5/'NE Pop'!X5</f>
        <v>1.6956077995381524</v>
      </c>
      <c r="Y62" s="236">
        <f>1000*Y5/'NE Pop'!Y5</f>
        <v>1.818286057755204</v>
      </c>
      <c r="Z62" s="236">
        <f>1000*Z5/'NE Pop'!Z5</f>
        <v>1.9335249321212116</v>
      </c>
      <c r="AA62" s="236">
        <f>1000*AA5/'NE Pop'!AA5</f>
        <v>2.2952069318284414</v>
      </c>
      <c r="AB62" s="236">
        <f>1000*AB5/'NE Pop'!AB5</f>
        <v>2.2267520997322316</v>
      </c>
      <c r="AC62" s="236">
        <f>1000*AC5/'NE Pop'!AC5</f>
        <v>2.2425987345908185</v>
      </c>
      <c r="AD62" s="236">
        <f>1000*AD5/'NE Pop'!AD5</f>
        <v>2.331289659457711</v>
      </c>
      <c r="AE62" s="236">
        <f>1000*AE5/'NE Pop'!AE5</f>
        <v>2.2568803346879642</v>
      </c>
      <c r="AF62" s="236">
        <f>1000*AF5/'NE Pop'!AF5</f>
        <v>2.1032109132625147</v>
      </c>
      <c r="AG62" s="236">
        <f>1000*AG5/'NE Pop'!AG5</f>
        <v>1.9333098267851097</v>
      </c>
      <c r="AH62" s="236">
        <f>1000*AH5/'NE Pop'!AH5</f>
        <v>1.9126243986297091</v>
      </c>
      <c r="AI62" s="236">
        <f>1000*AI5/'NE Pop'!AI5</f>
        <v>2.0143150922612221</v>
      </c>
      <c r="AJ62" s="100">
        <f t="shared" si="35"/>
        <v>-3.2437437794296857E-2</v>
      </c>
      <c r="AK62" s="100">
        <f t="shared" si="36"/>
        <v>1.9840582196910584E-2</v>
      </c>
      <c r="AL62" s="100">
        <f t="shared" si="37"/>
        <v>9.7816824589554655E-3</v>
      </c>
      <c r="AM62" s="100">
        <v>-3.1605732271668019E-2</v>
      </c>
      <c r="AN62" s="100">
        <v>4.1668561569241064E-2</v>
      </c>
      <c r="AO62" s="100">
        <v>2.3415589233465178E-2</v>
      </c>
      <c r="AP62" t="b">
        <f t="shared" si="38"/>
        <v>1</v>
      </c>
      <c r="AQ62" s="149">
        <f>+'NE Pop'!AI5/'NE Pop'!V5</f>
        <v>1.0512048192771084</v>
      </c>
    </row>
    <row r="63" spans="1:43" x14ac:dyDescent="0.25">
      <c r="A63" s="231" t="s">
        <v>1924</v>
      </c>
      <c r="B63" s="236">
        <f>1000*B6/'NE Pop'!B6</f>
        <v>2.1902508520607551</v>
      </c>
      <c r="C63" s="236">
        <f>1000*C6/'NE Pop'!C6</f>
        <v>2.189161372879687</v>
      </c>
      <c r="D63" s="236">
        <f>1000*D6/'NE Pop'!D6</f>
        <v>2.2770900137438934</v>
      </c>
      <c r="E63" s="236">
        <f>1000*E6/'NE Pop'!E6</f>
        <v>2.2475191181354237</v>
      </c>
      <c r="F63" s="236">
        <f>1000*F6/'NE Pop'!F6</f>
        <v>2.2735216927682527</v>
      </c>
      <c r="G63" s="236">
        <f>1000*G6/'NE Pop'!G6</f>
        <v>2.356603211183748</v>
      </c>
      <c r="H63" s="236">
        <f>1000*H6/'NE Pop'!H6</f>
        <v>2.4681468830503088</v>
      </c>
      <c r="I63" s="236">
        <f>1000*I6/'NE Pop'!I6</f>
        <v>2.4236186937236726</v>
      </c>
      <c r="J63" s="236">
        <f>1000*J6/'NE Pop'!J6</f>
        <v>2.3290133192813705</v>
      </c>
      <c r="K63" s="236">
        <f>1000*K6/'NE Pop'!K6</f>
        <v>2.3178384388406985</v>
      </c>
      <c r="L63" s="236">
        <f>1000*L6/'NE Pop'!L6</f>
        <v>2.321930493903225</v>
      </c>
      <c r="M63" s="236">
        <f>1000*M6/'NE Pop'!M6</f>
        <v>2.2357736815578551</v>
      </c>
      <c r="N63" s="236">
        <f>1000*N6/'NE Pop'!N6</f>
        <v>2.0676040682190702</v>
      </c>
      <c r="O63" s="236">
        <f>1000*O6/'NE Pop'!O6</f>
        <v>2.544588398802083</v>
      </c>
      <c r="P63" s="236">
        <f>1000*P6/'NE Pop'!P6</f>
        <v>2.5949774507441856</v>
      </c>
      <c r="Q63" s="236">
        <f>1000*Q6/'NE Pop'!Q6</f>
        <v>2.4240809382485873</v>
      </c>
      <c r="R63" s="236">
        <f>1000*R6/'NE Pop'!R6</f>
        <v>2.118320679584607</v>
      </c>
      <c r="S63" s="236">
        <f>1000*S6/'NE Pop'!S6</f>
        <v>2.1113064870576288</v>
      </c>
      <c r="T63" s="236">
        <f>1000*T6/'NE Pop'!T6</f>
        <v>2.0703729711550145</v>
      </c>
      <c r="U63" s="236">
        <f>1000*U6/'NE Pop'!U6</f>
        <v>1.9296466602051667</v>
      </c>
      <c r="V63" s="236">
        <f>1000*V6/'NE Pop'!V6</f>
        <v>1.7150522150822576</v>
      </c>
      <c r="W63" s="236">
        <f>1000*W6/'NE Pop'!W6</f>
        <v>1.7959004491666664</v>
      </c>
      <c r="X63" s="236">
        <f>1000*X6/'NE Pop'!X6</f>
        <v>1.4664228978389935</v>
      </c>
      <c r="Y63" s="236">
        <f>1000*Y6/'NE Pop'!Y6</f>
        <v>1.7399905356568701</v>
      </c>
      <c r="Z63" s="236">
        <f>1000*Z6/'NE Pop'!Z6</f>
        <v>2.0547121247876059</v>
      </c>
      <c r="AA63" s="236">
        <f>1000*AA6/'NE Pop'!AA6</f>
        <v>2.0519215951159313</v>
      </c>
      <c r="AB63" s="236">
        <f>1000*AB6/'NE Pop'!AB6</f>
        <v>1.8994943779712297</v>
      </c>
      <c r="AC63" s="236">
        <f>1000*AC6/'NE Pop'!AC6</f>
        <v>2.0748080827358022</v>
      </c>
      <c r="AD63" s="236">
        <f>1000*AD6/'NE Pop'!AD6</f>
        <v>2.2493798387872075</v>
      </c>
      <c r="AE63" s="236">
        <f>1000*AE6/'NE Pop'!AE6</f>
        <v>2.1889536983517019</v>
      </c>
      <c r="AF63" s="236">
        <f>1000*AF6/'NE Pop'!AF6</f>
        <v>2.0191838676069613</v>
      </c>
      <c r="AG63" s="236">
        <f>1000*AG6/'NE Pop'!AG6</f>
        <v>1.7720651372963221</v>
      </c>
      <c r="AH63" s="236">
        <f>1000*AH6/'NE Pop'!AH6</f>
        <v>1.8122300879032642</v>
      </c>
      <c r="AI63" s="236">
        <f>1000*AI6/'NE Pop'!AI6</f>
        <v>1.8079574073894433</v>
      </c>
      <c r="AJ63" s="100">
        <f t="shared" si="35"/>
        <v>-1.6079839713497E-2</v>
      </c>
      <c r="AK63" s="100">
        <f t="shared" si="36"/>
        <v>-6.6588756353918735E-3</v>
      </c>
      <c r="AL63" s="100">
        <f t="shared" si="37"/>
        <v>1.6552578699915312E-2</v>
      </c>
      <c r="AM63" s="100">
        <v>-2.2617727276593087E-3</v>
      </c>
      <c r="AN63" s="100">
        <v>1.974301533538118E-2</v>
      </c>
      <c r="AO63" s="100">
        <v>3.453803277635896E-2</v>
      </c>
      <c r="AP63" t="b">
        <f t="shared" si="38"/>
        <v>1</v>
      </c>
      <c r="AQ63" s="149">
        <f>+'NE Pop'!AI6/'NE Pop'!V6</f>
        <v>1.064540622627183</v>
      </c>
    </row>
    <row r="64" spans="1:43" x14ac:dyDescent="0.25">
      <c r="A64" s="231" t="s">
        <v>1939</v>
      </c>
      <c r="B64" s="236">
        <f>1000*B7/'NE Pop'!B7</f>
        <v>2.0056841129901248</v>
      </c>
      <c r="C64" s="236">
        <f>1000*C7/'NE Pop'!C7</f>
        <v>1.9884033138317203</v>
      </c>
      <c r="D64" s="236">
        <f>1000*D7/'NE Pop'!D7</f>
        <v>2.137711655493677</v>
      </c>
      <c r="E64" s="236">
        <f>1000*E7/'NE Pop'!E7</f>
        <v>2.0601522437733193</v>
      </c>
      <c r="F64" s="236">
        <f>1000*F7/'NE Pop'!F7</f>
        <v>2.2663430903595656</v>
      </c>
      <c r="G64" s="236">
        <f>1000*G7/'NE Pop'!G7</f>
        <v>2.0086909819498677</v>
      </c>
      <c r="H64" s="236">
        <f>1000*H7/'NE Pop'!H7</f>
        <v>2.195111790231588</v>
      </c>
      <c r="I64" s="236">
        <f>1000*I7/'NE Pop'!I7</f>
        <v>2.0894164718433847</v>
      </c>
      <c r="J64" s="236">
        <f>1000*J7/'NE Pop'!J7</f>
        <v>1.8331073437525578</v>
      </c>
      <c r="K64" s="236">
        <f>1000*K7/'NE Pop'!K7</f>
        <v>1.9348286753872539</v>
      </c>
      <c r="L64" s="236">
        <f>1000*L7/'NE Pop'!L7</f>
        <v>2.013772771833406</v>
      </c>
      <c r="M64" s="236">
        <f>1000*M7/'NE Pop'!M7</f>
        <v>1.9352612987754618</v>
      </c>
      <c r="N64" s="236">
        <f>1000*N7/'NE Pop'!N7</f>
        <v>1.8443472361132545</v>
      </c>
      <c r="O64" s="236">
        <f>1000*O7/'NE Pop'!O7</f>
        <v>2.1392530859431975</v>
      </c>
      <c r="P64" s="236">
        <f>1000*P7/'NE Pop'!P7</f>
        <v>2.0143233256657918</v>
      </c>
      <c r="Q64" s="236">
        <f>1000*Q7/'NE Pop'!Q7</f>
        <v>1.9433747075261982</v>
      </c>
      <c r="R64" s="236">
        <f>1000*R7/'NE Pop'!R7</f>
        <v>1.6320042779419688</v>
      </c>
      <c r="S64" s="236">
        <f>1000*S7/'NE Pop'!S7</f>
        <v>1.8559781299043561</v>
      </c>
      <c r="T64" s="236">
        <f>1000*T7/'NE Pop'!T7</f>
        <v>1.824744879820916</v>
      </c>
      <c r="U64" s="236">
        <f>1000*U7/'NE Pop'!U7</f>
        <v>1.7835453617797319</v>
      </c>
      <c r="V64" s="236">
        <f>1000*V7/'NE Pop'!V7</f>
        <v>1.6725657201322119</v>
      </c>
      <c r="W64" s="236">
        <f>1000*W7/'NE Pop'!W7</f>
        <v>1.5910190958262544</v>
      </c>
      <c r="X64" s="236">
        <f>1000*X7/'NE Pop'!X7</f>
        <v>1.4182337837960661</v>
      </c>
      <c r="Y64" s="236">
        <f>1000*Y7/'NE Pop'!Y7</f>
        <v>1.644788973423271</v>
      </c>
      <c r="Z64" s="236">
        <f>1000*Z7/'NE Pop'!Z7</f>
        <v>1.8086027160561635</v>
      </c>
      <c r="AA64" s="236">
        <f>1000*AA7/'NE Pop'!AA7</f>
        <v>1.7335837409252164</v>
      </c>
      <c r="AB64" s="236">
        <f>1000*AB7/'NE Pop'!AB7</f>
        <v>1.5169095278585381</v>
      </c>
      <c r="AC64" s="236">
        <f>1000*AC7/'NE Pop'!AC7</f>
        <v>1.5539578036468646</v>
      </c>
      <c r="AD64" s="236">
        <f>1000*AD7/'NE Pop'!AD7</f>
        <v>1.7682611372732042</v>
      </c>
      <c r="AE64" s="236">
        <f>1000*AE7/'NE Pop'!AE7</f>
        <v>1.7093288174258614</v>
      </c>
      <c r="AF64" s="236">
        <f>1000*AF7/'NE Pop'!AF7</f>
        <v>1.5060243698572764</v>
      </c>
      <c r="AG64" s="236">
        <f>1000*AG7/'NE Pop'!AG7</f>
        <v>1.593413385784155</v>
      </c>
      <c r="AH64" s="236">
        <f>1000*AH7/'NE Pop'!AH7</f>
        <v>1.6328294470949865</v>
      </c>
      <c r="AI64" s="236">
        <f>1000*AI7/'NE Pop'!AI7</f>
        <v>1.4819554764424354</v>
      </c>
      <c r="AJ64" s="100">
        <f t="shared" si="35"/>
        <v>-1.8907715684201503E-2</v>
      </c>
      <c r="AK64" s="100">
        <f t="shared" si="36"/>
        <v>-1.618621680880207E-2</v>
      </c>
      <c r="AL64" s="100">
        <f t="shared" si="37"/>
        <v>-3.8858112953833526E-3</v>
      </c>
      <c r="AM64" s="100">
        <v>-8.6156857109774873E-2</v>
      </c>
      <c r="AN64" s="100">
        <v>-2.7516848023696382E-2</v>
      </c>
      <c r="AO64" s="100">
        <v>2.738887087941384E-2</v>
      </c>
      <c r="AP64" t="b">
        <f t="shared" si="38"/>
        <v>1</v>
      </c>
      <c r="AQ64" s="149">
        <f>+'NE Pop'!AI7/'NE Pop'!V7</f>
        <v>1.0559154449369246</v>
      </c>
    </row>
    <row r="65" spans="1:43" x14ac:dyDescent="0.25">
      <c r="A65" s="231" t="s">
        <v>1925</v>
      </c>
      <c r="B65" s="236">
        <f>1000*B8/'NE Pop'!B8</f>
        <v>1.8670560005145607</v>
      </c>
      <c r="C65" s="236">
        <f>1000*C8/'NE Pop'!C8</f>
        <v>1.8184107028550647</v>
      </c>
      <c r="D65" s="236">
        <f>1000*D8/'NE Pop'!D8</f>
        <v>1.9894850578932972</v>
      </c>
      <c r="E65" s="236">
        <f>1000*E8/'NE Pop'!E8</f>
        <v>1.9460359929897189</v>
      </c>
      <c r="F65" s="236">
        <f>1000*F8/'NE Pop'!F8</f>
        <v>1.9179242957568219</v>
      </c>
      <c r="G65" s="236">
        <f>1000*G8/'NE Pop'!G8</f>
        <v>1.8524687485798221</v>
      </c>
      <c r="H65" s="236">
        <f>1000*H8/'NE Pop'!H8</f>
        <v>1.9763197221076241</v>
      </c>
      <c r="I65" s="236">
        <f>1000*I8/'NE Pop'!I8</f>
        <v>1.8677466132767957</v>
      </c>
      <c r="J65" s="236">
        <f>1000*J8/'NE Pop'!J8</f>
        <v>1.6920757326426645</v>
      </c>
      <c r="K65" s="236">
        <f>1000*K8/'NE Pop'!K8</f>
        <v>1.8244433289124518</v>
      </c>
      <c r="L65" s="236">
        <f>1000*L8/'NE Pop'!L8</f>
        <v>2.0711757724017774</v>
      </c>
      <c r="M65" s="236">
        <f>1000*M8/'NE Pop'!M8</f>
        <v>2.0052902417340115</v>
      </c>
      <c r="N65" s="236">
        <f>1000*N8/'NE Pop'!N8</f>
        <v>1.8924364125436599</v>
      </c>
      <c r="O65" s="236">
        <f>1000*O8/'NE Pop'!O8</f>
        <v>2.0466198797165855</v>
      </c>
      <c r="P65" s="236">
        <f>1000*P8/'NE Pop'!P8</f>
        <v>1.9965605781255207</v>
      </c>
      <c r="Q65" s="236">
        <f>1000*Q8/'NE Pop'!Q8</f>
        <v>2.0540454046220393</v>
      </c>
      <c r="R65" s="236">
        <f>1000*R8/'NE Pop'!R8</f>
        <v>1.7144257186258469</v>
      </c>
      <c r="S65" s="236">
        <f>1000*S8/'NE Pop'!S8</f>
        <v>1.908648099322608</v>
      </c>
      <c r="T65" s="236">
        <f>1000*T8/'NE Pop'!T8</f>
        <v>1.839527739848879</v>
      </c>
      <c r="U65" s="236">
        <f>1000*U8/'NE Pop'!U8</f>
        <v>1.7045610141855287</v>
      </c>
      <c r="V65" s="236">
        <f>1000*V8/'NE Pop'!V8</f>
        <v>1.6328663665520617</v>
      </c>
      <c r="W65" s="236">
        <f>1000*W8/'NE Pop'!W8</f>
        <v>1.5910781787811965</v>
      </c>
      <c r="X65" s="236">
        <f>1000*X8/'NE Pop'!X8</f>
        <v>1.5430830933954904</v>
      </c>
      <c r="Y65" s="236">
        <f>1000*Y8/'NE Pop'!Y8</f>
        <v>1.6300473579352219</v>
      </c>
      <c r="Z65" s="236">
        <f>1000*Z8/'NE Pop'!Z8</f>
        <v>1.8003325342320935</v>
      </c>
      <c r="AA65" s="236">
        <f>1000*AA8/'NE Pop'!AA8</f>
        <v>1.8024926449598955</v>
      </c>
      <c r="AB65" s="236">
        <f>1000*AB8/'NE Pop'!AB8</f>
        <v>1.5700730049638418</v>
      </c>
      <c r="AC65" s="236">
        <f>1000*AC8/'NE Pop'!AC8</f>
        <v>1.6058556499128984</v>
      </c>
      <c r="AD65" s="236">
        <f>1000*AD8/'NE Pop'!AD8</f>
        <v>1.8671463701279167</v>
      </c>
      <c r="AE65" s="236">
        <f>1000*AE8/'NE Pop'!AE8</f>
        <v>1.8408296969396634</v>
      </c>
      <c r="AF65" s="236">
        <f>1000*AF8/'NE Pop'!AF8</f>
        <v>1.570209973342618</v>
      </c>
      <c r="AG65" s="236">
        <f>1000*AG8/'NE Pop'!AG8</f>
        <v>1.7024554917303782</v>
      </c>
      <c r="AH65" s="236">
        <f>1000*AH8/'NE Pop'!AH8</f>
        <v>1.7298002378996595</v>
      </c>
      <c r="AI65" s="236">
        <f>1000*AI8/'NE Pop'!AI8</f>
        <v>1.6313778733321411</v>
      </c>
      <c r="AJ65" s="100">
        <f t="shared" si="35"/>
        <v>-9.2959718668647589E-3</v>
      </c>
      <c r="AK65" s="100">
        <f t="shared" si="36"/>
        <v>-1.7712919720739401E-3</v>
      </c>
      <c r="AL65" s="100">
        <f t="shared" si="37"/>
        <v>6.4929928907711161E-3</v>
      </c>
      <c r="AM65" s="100">
        <v>-8.8252763744964408E-2</v>
      </c>
      <c r="AN65" s="100">
        <v>8.8860611769917872E-2</v>
      </c>
      <c r="AO65" s="100">
        <v>0.15773685419308425</v>
      </c>
      <c r="AP65" t="b">
        <f t="shared" si="38"/>
        <v>1</v>
      </c>
      <c r="AQ65" s="149">
        <f>+'NE Pop'!AI8/'NE Pop'!V8</f>
        <v>1.0088144329896906</v>
      </c>
    </row>
    <row r="66" spans="1:43" x14ac:dyDescent="0.25">
      <c r="A66" s="231" t="s">
        <v>1940</v>
      </c>
      <c r="B66" s="236">
        <f>1000*B9/'NE Pop'!B9</f>
        <v>1.9234066317391436</v>
      </c>
      <c r="C66" s="236">
        <f>1000*C9/'NE Pop'!C9</f>
        <v>1.935717909371057</v>
      </c>
      <c r="D66" s="236">
        <f>1000*D9/'NE Pop'!D9</f>
        <v>2.0485157616481486</v>
      </c>
      <c r="E66" s="236">
        <f>1000*E9/'NE Pop'!E9</f>
        <v>2.1088571236564584</v>
      </c>
      <c r="F66" s="236">
        <f>1000*F9/'NE Pop'!F9</f>
        <v>2.0834526791406325</v>
      </c>
      <c r="G66" s="236">
        <f>1000*G9/'NE Pop'!G9</f>
        <v>2.0125157525864994</v>
      </c>
      <c r="H66" s="236">
        <f>1000*H9/'NE Pop'!H9</f>
        <v>2.1130781934961389</v>
      </c>
      <c r="I66" s="236">
        <f>1000*I9/'NE Pop'!I9</f>
        <v>1.9893340673596278</v>
      </c>
      <c r="J66" s="236">
        <f>1000*J9/'NE Pop'!J9</f>
        <v>1.6996341837336715</v>
      </c>
      <c r="K66" s="236">
        <f>1000*K9/'NE Pop'!K9</f>
        <v>1.8960309122432655</v>
      </c>
      <c r="L66" s="236">
        <f>1000*L9/'NE Pop'!L9</f>
        <v>2.0703716454456171</v>
      </c>
      <c r="M66" s="236">
        <f>1000*M9/'NE Pop'!M9</f>
        <v>1.9457826786611712</v>
      </c>
      <c r="N66" s="236">
        <f>1000*N9/'NE Pop'!N9</f>
        <v>1.9081382161004459</v>
      </c>
      <c r="O66" s="236">
        <f>1000*O9/'NE Pop'!O9</f>
        <v>2.1036556006303821</v>
      </c>
      <c r="P66" s="236">
        <f>1000*P9/'NE Pop'!P9</f>
        <v>2.0126552608094737</v>
      </c>
      <c r="Q66" s="236">
        <f>1000*Q9/'NE Pop'!Q9</f>
        <v>1.8998707616783665</v>
      </c>
      <c r="R66" s="236">
        <f>1000*R9/'NE Pop'!R9</f>
        <v>1.6020041060896024</v>
      </c>
      <c r="S66" s="236">
        <f>1000*S9/'NE Pop'!S9</f>
        <v>1.7106123904780453</v>
      </c>
      <c r="T66" s="236">
        <f>1000*T9/'NE Pop'!T9</f>
        <v>2.0117448130344115</v>
      </c>
      <c r="U66" s="236">
        <f>1000*U9/'NE Pop'!U9</f>
        <v>1.564314731169443</v>
      </c>
      <c r="V66" s="236">
        <f>1000*V9/'NE Pop'!V9</f>
        <v>1.5894976792085596</v>
      </c>
      <c r="W66" s="236">
        <f>1000*W9/'NE Pop'!W9</f>
        <v>1.5233922812983447</v>
      </c>
      <c r="X66" s="236">
        <f>1000*X9/'NE Pop'!X9</f>
        <v>1.3463513657801442</v>
      </c>
      <c r="Y66" s="236">
        <f>1000*Y9/'NE Pop'!Y9</f>
        <v>1.5535714554911317</v>
      </c>
      <c r="Z66" s="236">
        <f>1000*Z9/'NE Pop'!Z9</f>
        <v>1.729943987614134</v>
      </c>
      <c r="AA66" s="236">
        <f>1000*AA9/'NE Pop'!AA9</f>
        <v>1.611146720370602</v>
      </c>
      <c r="AB66" s="236">
        <f>1000*AB9/'NE Pop'!AB9</f>
        <v>1.4400587324486493</v>
      </c>
      <c r="AC66" s="236">
        <f>1000*AC9/'NE Pop'!AC9</f>
        <v>1.4429416858752118</v>
      </c>
      <c r="AD66" s="236">
        <f>1000*AD9/'NE Pop'!AD9</f>
        <v>1.6879929536188096</v>
      </c>
      <c r="AE66" s="236">
        <f>1000*AE9/'NE Pop'!AE9</f>
        <v>1.5230704654499048</v>
      </c>
      <c r="AF66" s="236">
        <f>1000*AF9/'NE Pop'!AF9</f>
        <v>1.3683496546181864</v>
      </c>
      <c r="AG66" s="236">
        <f>1000*AG9/'NE Pop'!AG9</f>
        <v>1.4783076137887405</v>
      </c>
      <c r="AH66" s="236">
        <f>1000*AH9/'NE Pop'!AH9</f>
        <v>1.5471862589860212</v>
      </c>
      <c r="AI66" s="236">
        <f>1000*AI9/'NE Pop'!AI9</f>
        <v>1.388352170041403</v>
      </c>
      <c r="AJ66" s="100">
        <f t="shared" si="35"/>
        <v>-2.1142967581728782E-2</v>
      </c>
      <c r="AK66" s="100">
        <f t="shared" si="36"/>
        <v>-1.4109191917983066E-2</v>
      </c>
      <c r="AL66" s="100">
        <f t="shared" si="37"/>
        <v>-7.1715388929490236E-3</v>
      </c>
      <c r="AM66" s="100">
        <v>-0.20945521893701946</v>
      </c>
      <c r="AN66" s="100">
        <v>-0.11035889105267474</v>
      </c>
      <c r="AO66" s="100">
        <v>-6.0912091281662958E-2</v>
      </c>
      <c r="AP66" t="b">
        <f t="shared" si="38"/>
        <v>0</v>
      </c>
      <c r="AQ66" s="149">
        <f>+'NE Pop'!AI9/'NE Pop'!V9</f>
        <v>1.0197466761073086</v>
      </c>
    </row>
    <row r="67" spans="1:43" x14ac:dyDescent="0.25">
      <c r="A67" s="231" t="s">
        <v>1926</v>
      </c>
      <c r="B67" s="236">
        <f>1000*B10/'NE Pop'!B10</f>
        <v>2.324111713688648</v>
      </c>
      <c r="C67" s="236">
        <f>1000*C10/'NE Pop'!C10</f>
        <v>2.3246120052002435</v>
      </c>
      <c r="D67" s="236">
        <f>1000*D10/'NE Pop'!D10</f>
        <v>2.7534551782304506</v>
      </c>
      <c r="E67" s="236">
        <f>1000*E10/'NE Pop'!E10</f>
        <v>2.6154523632355788</v>
      </c>
      <c r="F67" s="236">
        <f>1000*F10/'NE Pop'!F10</f>
        <v>2.6588095541896322</v>
      </c>
      <c r="G67" s="236">
        <f>1000*G10/'NE Pop'!G10</f>
        <v>2.4563765718977386</v>
      </c>
      <c r="H67" s="236">
        <f>1000*H10/'NE Pop'!H10</f>
        <v>2.5470369925628469</v>
      </c>
      <c r="I67" s="236">
        <f>1000*I10/'NE Pop'!I10</f>
        <v>2.5493355240520326</v>
      </c>
      <c r="J67" s="236">
        <f>1000*J10/'NE Pop'!J10</f>
        <v>2.3148155399547368</v>
      </c>
      <c r="K67" s="236">
        <f>1000*K10/'NE Pop'!K10</f>
        <v>2.2423703550416665</v>
      </c>
      <c r="L67" s="236">
        <f>1000*L10/'NE Pop'!L10</f>
        <v>2.3787054304444446</v>
      </c>
      <c r="M67" s="236">
        <f>1000*M10/'NE Pop'!M10</f>
        <v>2.4425340359854935</v>
      </c>
      <c r="N67" s="236">
        <f>1000*N10/'NE Pop'!N10</f>
        <v>2.3148040539399619</v>
      </c>
      <c r="O67" s="236">
        <f>1000*O10/'NE Pop'!O10</f>
        <v>2.626662109172841</v>
      </c>
      <c r="P67" s="236">
        <f>1000*P10/'NE Pop'!P10</f>
        <v>2.5995217811472866</v>
      </c>
      <c r="Q67" s="236">
        <f>1000*Q10/'NE Pop'!Q10</f>
        <v>2.5390247946129838</v>
      </c>
      <c r="R67" s="236">
        <f>1000*R10/'NE Pop'!R10</f>
        <v>2.0811426646817179</v>
      </c>
      <c r="S67" s="236">
        <f>1000*S10/'NE Pop'!S10</f>
        <v>2.1696707427972246</v>
      </c>
      <c r="T67" s="236">
        <f>1000*T10/'NE Pop'!T10</f>
        <v>2.1298885208246445</v>
      </c>
      <c r="U67" s="236">
        <f>1000*U10/'NE Pop'!U10</f>
        <v>2.2273836599367489</v>
      </c>
      <c r="V67" s="236">
        <f>1000*V10/'NE Pop'!V10</f>
        <v>2.1206920702751422</v>
      </c>
      <c r="W67" s="236">
        <f>1000*W10/'NE Pop'!W10</f>
        <v>2.0250882133364958</v>
      </c>
      <c r="X67" s="236">
        <f>1000*X10/'NE Pop'!X10</f>
        <v>1.948594717406003</v>
      </c>
      <c r="Y67" s="236">
        <f>1000*Y10/'NE Pop'!Y10</f>
        <v>2.1371361327430556</v>
      </c>
      <c r="Z67" s="236">
        <f>1000*Z10/'NE Pop'!Z10</f>
        <v>2.2037865036013873</v>
      </c>
      <c r="AA67" s="236">
        <f>1000*AA10/'NE Pop'!AA10</f>
        <v>2.3173282178997163</v>
      </c>
      <c r="AB67" s="236">
        <f>1000*AB10/'NE Pop'!AB10</f>
        <v>1.7284082945809702</v>
      </c>
      <c r="AC67" s="236">
        <f>1000*AC10/'NE Pop'!AC10</f>
        <v>1.7553767816240931</v>
      </c>
      <c r="AD67" s="236">
        <f>1000*AD10/'NE Pop'!AD10</f>
        <v>2.1836355470066104</v>
      </c>
      <c r="AE67" s="236">
        <f>1000*AE10/'NE Pop'!AE10</f>
        <v>1.9586237930875863</v>
      </c>
      <c r="AF67" s="236">
        <f>1000*AF10/'NE Pop'!AF10</f>
        <v>1.7318781568856445</v>
      </c>
      <c r="AG67" s="236">
        <f>1000*AG10/'NE Pop'!AG10</f>
        <v>1.9475117581373442</v>
      </c>
      <c r="AH67" s="236">
        <f>1000*AH10/'NE Pop'!AH10</f>
        <v>1.9252194339792807</v>
      </c>
      <c r="AI67" s="236">
        <f>1000*AI10/'NE Pop'!AI10</f>
        <v>1.8758571206873476</v>
      </c>
      <c r="AJ67" s="100">
        <f t="shared" si="35"/>
        <v>-2.2713702555966608E-2</v>
      </c>
      <c r="AK67" s="100">
        <f t="shared" si="36"/>
        <v>-1.5771459632528115E-2</v>
      </c>
      <c r="AL67" s="100">
        <f t="shared" si="37"/>
        <v>-1.9182168044386157E-2</v>
      </c>
      <c r="AM67" s="100">
        <v>-1.9138388635206366E-2</v>
      </c>
      <c r="AN67" s="100">
        <v>-7.8709632489757739E-3</v>
      </c>
      <c r="AO67" s="100">
        <v>-1.3398041901699638E-2</v>
      </c>
      <c r="AP67" t="b">
        <f t="shared" si="38"/>
        <v>1</v>
      </c>
      <c r="AQ67" s="149">
        <f>+'NE Pop'!AI10/'NE Pop'!V10</f>
        <v>1.0398481973434535</v>
      </c>
    </row>
    <row r="68" spans="1:43" x14ac:dyDescent="0.25">
      <c r="A68" s="231" t="s">
        <v>1927</v>
      </c>
      <c r="B68" s="236">
        <f>1000*B11/'NE Pop'!B11</f>
        <v>2.4686583754822058</v>
      </c>
      <c r="C68" s="236">
        <f>1000*C11/'NE Pop'!C11</f>
        <v>2.5713805681501691</v>
      </c>
      <c r="D68" s="236">
        <f>1000*D11/'NE Pop'!D11</f>
        <v>2.7785966277733216</v>
      </c>
      <c r="E68" s="236">
        <f>1000*E11/'NE Pop'!E11</f>
        <v>2.685752310866401</v>
      </c>
      <c r="F68" s="236">
        <f>1000*F11/'NE Pop'!F11</f>
        <v>2.5347286149727966</v>
      </c>
      <c r="G68" s="236">
        <f>1000*G11/'NE Pop'!G11</f>
        <v>2.430425787985286</v>
      </c>
      <c r="H68" s="236">
        <f>1000*H11/'NE Pop'!H11</f>
        <v>2.5317895462345676</v>
      </c>
      <c r="I68" s="236">
        <f>1000*I11/'NE Pop'!I11</f>
        <v>2.4620798617420432</v>
      </c>
      <c r="J68" s="236">
        <f>1000*J11/'NE Pop'!J11</f>
        <v>2.3313817023444443</v>
      </c>
      <c r="K68" s="236">
        <f>1000*K11/'NE Pop'!K11</f>
        <v>2.2739494421212116</v>
      </c>
      <c r="L68" s="236">
        <f>1000*L11/'NE Pop'!L11</f>
        <v>2.6147272336557377</v>
      </c>
      <c r="M68" s="236">
        <f>1000*M11/'NE Pop'!M11</f>
        <v>2.586130484978213</v>
      </c>
      <c r="N68" s="236">
        <f>1000*N11/'NE Pop'!N11</f>
        <v>2.413110250937669</v>
      </c>
      <c r="O68" s="236">
        <f>1000*O11/'NE Pop'!O11</f>
        <v>2.5721204431715199</v>
      </c>
      <c r="P68" s="236">
        <f>1000*P11/'NE Pop'!P11</f>
        <v>2.8752049685806442</v>
      </c>
      <c r="Q68" s="236">
        <f>1000*Q11/'NE Pop'!Q11</f>
        <v>2.6482492657219536</v>
      </c>
      <c r="R68" s="236">
        <f>1000*R11/'NE Pop'!R11</f>
        <v>2.4692969221080792</v>
      </c>
      <c r="S68" s="236">
        <f>1000*S11/'NE Pop'!S11</f>
        <v>2.4270549648261097</v>
      </c>
      <c r="T68" s="236">
        <f>1000*T11/'NE Pop'!T11</f>
        <v>2.1236280051014957</v>
      </c>
      <c r="U68" s="236">
        <f>1000*U11/'NE Pop'!U11</f>
        <v>2.3779407308213329</v>
      </c>
      <c r="V68" s="236">
        <f>1000*V11/'NE Pop'!V11</f>
        <v>2.1081707851384452</v>
      </c>
      <c r="W68" s="236">
        <f>1000*W11/'NE Pop'!W11</f>
        <v>2.0533116986549702</v>
      </c>
      <c r="X68" s="236">
        <f>1000*X11/'NE Pop'!X11</f>
        <v>1.7780735644089452</v>
      </c>
      <c r="Y68" s="236">
        <f>1000*Y11/'NE Pop'!Y11</f>
        <v>2.0423274865497079</v>
      </c>
      <c r="Z68" s="236">
        <f>1000*Z11/'NE Pop'!Z11</f>
        <v>2.235387738487753</v>
      </c>
      <c r="AA68" s="236">
        <f>1000*AA11/'NE Pop'!AA11</f>
        <v>2.2876797945101175</v>
      </c>
      <c r="AB68" s="236">
        <f>1000*AB11/'NE Pop'!AB11</f>
        <v>2.1178233664476491</v>
      </c>
      <c r="AC68" s="236">
        <f>1000*AC11/'NE Pop'!AC11</f>
        <v>2.2152070269706661</v>
      </c>
      <c r="AD68" s="236">
        <f>1000*AD11/'NE Pop'!AD11</f>
        <v>2.3642314621493328</v>
      </c>
      <c r="AE68" s="236">
        <f>1000*AE11/'NE Pop'!AE11</f>
        <v>2.4883465924519235</v>
      </c>
      <c r="AF68" s="236">
        <f>1000*AF11/'NE Pop'!AF11</f>
        <v>2.2072076096630373</v>
      </c>
      <c r="AG68" s="236">
        <f>1000*AG11/'NE Pop'!AG11</f>
        <v>2.0951220270788249</v>
      </c>
      <c r="AH68" s="236">
        <f>1000*AH11/'NE Pop'!AH11</f>
        <v>2.045308432380216</v>
      </c>
      <c r="AI68" s="236">
        <f>1000*AI11/'NE Pop'!AI11</f>
        <v>2.0060044356362692</v>
      </c>
      <c r="AJ68" s="100">
        <f t="shared" si="35"/>
        <v>-1.6566517231450167E-2</v>
      </c>
      <c r="AK68" s="100">
        <f t="shared" si="36"/>
        <v>-8.2919110307359493E-3</v>
      </c>
      <c r="AL68" s="100">
        <f t="shared" si="37"/>
        <v>9.1939153550179217E-3</v>
      </c>
      <c r="AM68" s="100">
        <v>-5.3323754708942848E-3</v>
      </c>
      <c r="AN68" s="100">
        <v>3.3211465245274437E-3</v>
      </c>
      <c r="AO68" s="100">
        <v>9.298034497472513E-3</v>
      </c>
      <c r="AP68" t="b">
        <f t="shared" si="38"/>
        <v>1</v>
      </c>
      <c r="AQ68" s="149">
        <f>+'NE Pop'!AI11/'NE Pop'!V11</f>
        <v>1.0335463258785942</v>
      </c>
    </row>
    <row r="70" spans="1:43" ht="30" x14ac:dyDescent="0.25">
      <c r="A70" s="237" t="s">
        <v>2175</v>
      </c>
    </row>
    <row r="72" spans="1:43" x14ac:dyDescent="0.25">
      <c r="A72" s="138" t="s">
        <v>2233</v>
      </c>
      <c r="C72" s="128" t="s">
        <v>1788</v>
      </c>
    </row>
    <row r="73" spans="1:43" x14ac:dyDescent="0.25">
      <c r="A73" s="146">
        <v>14.984724829940138</v>
      </c>
      <c r="B73" s="136" t="s">
        <v>1821</v>
      </c>
      <c r="C73" s="108">
        <v>5758</v>
      </c>
    </row>
    <row r="74" spans="1:43" x14ac:dyDescent="0.25">
      <c r="A74" s="146">
        <v>14.195007338837232</v>
      </c>
      <c r="B74" s="136" t="s">
        <v>1822</v>
      </c>
      <c r="C74" s="108">
        <v>5826</v>
      </c>
    </row>
    <row r="75" spans="1:43" x14ac:dyDescent="0.25">
      <c r="A75" s="146">
        <v>16.271938561007797</v>
      </c>
      <c r="B75" s="136" t="s">
        <v>1823</v>
      </c>
      <c r="C75" s="108">
        <v>6750</v>
      </c>
    </row>
    <row r="76" spans="1:43" x14ac:dyDescent="0.25">
      <c r="A76" s="146">
        <v>16.387090900742905</v>
      </c>
      <c r="B76" s="136" t="s">
        <v>1824</v>
      </c>
      <c r="C76" s="108">
        <v>6587</v>
      </c>
    </row>
    <row r="77" spans="1:43" x14ac:dyDescent="0.25">
      <c r="A77" s="146">
        <v>16.335829614312338</v>
      </c>
      <c r="B77" s="136" t="s">
        <v>1825</v>
      </c>
      <c r="C77" s="108">
        <v>6515</v>
      </c>
    </row>
    <row r="78" spans="1:43" x14ac:dyDescent="0.25">
      <c r="A78" s="146">
        <v>14.730404276689784</v>
      </c>
      <c r="B78" s="136" t="s">
        <v>1826</v>
      </c>
      <c r="C78" s="108">
        <v>6452</v>
      </c>
    </row>
    <row r="79" spans="1:43" x14ac:dyDescent="0.25">
      <c r="A79" s="146">
        <v>14.534369784006451</v>
      </c>
      <c r="B79" s="136" t="s">
        <v>1827</v>
      </c>
      <c r="C79" s="108">
        <v>6532</v>
      </c>
    </row>
    <row r="80" spans="1:43" x14ac:dyDescent="0.25">
      <c r="A80" s="146">
        <v>14.404712521022338</v>
      </c>
      <c r="B80" s="136" t="s">
        <v>1828</v>
      </c>
      <c r="C80" s="108">
        <v>6493</v>
      </c>
    </row>
    <row r="81" spans="1:3" x14ac:dyDescent="0.25">
      <c r="A81" s="146">
        <v>13.239653398762337</v>
      </c>
      <c r="B81" s="136" t="s">
        <v>1829</v>
      </c>
      <c r="C81" s="108">
        <v>5556</v>
      </c>
    </row>
    <row r="82" spans="1:3" x14ac:dyDescent="0.25">
      <c r="A82" s="146">
        <v>13.802940402613117</v>
      </c>
      <c r="B82" s="136" t="s">
        <v>1830</v>
      </c>
      <c r="C82" s="108">
        <v>5836</v>
      </c>
    </row>
    <row r="83" spans="1:3" x14ac:dyDescent="0.25">
      <c r="A83" s="146">
        <v>15.460595569048223</v>
      </c>
      <c r="B83" s="136" t="s">
        <v>1831</v>
      </c>
      <c r="C83" s="108">
        <v>6361</v>
      </c>
    </row>
    <row r="84" spans="1:3" x14ac:dyDescent="0.25">
      <c r="A84" s="146">
        <v>15.810254976838223</v>
      </c>
      <c r="B84" s="136" t="s">
        <v>1832</v>
      </c>
      <c r="C84" s="108">
        <v>5961</v>
      </c>
    </row>
    <row r="85" spans="1:3" x14ac:dyDescent="0.25">
      <c r="A85" s="146">
        <v>15.763051368395246</v>
      </c>
      <c r="B85" s="136" t="s">
        <v>1833</v>
      </c>
      <c r="C85" s="108">
        <v>5959</v>
      </c>
    </row>
    <row r="86" spans="1:3" x14ac:dyDescent="0.25">
      <c r="A86" s="146">
        <v>16.303205807572127</v>
      </c>
      <c r="B86" s="136" t="s">
        <v>1834</v>
      </c>
      <c r="C86" s="108">
        <v>6732</v>
      </c>
    </row>
    <row r="87" spans="1:3" x14ac:dyDescent="0.25">
      <c r="A87" s="146">
        <v>14.905899471106451</v>
      </c>
      <c r="B87" s="136" t="s">
        <v>1835</v>
      </c>
      <c r="C87" s="108">
        <v>6447</v>
      </c>
    </row>
    <row r="88" spans="1:3" x14ac:dyDescent="0.25">
      <c r="A88" s="146">
        <v>14.91815959296234</v>
      </c>
      <c r="B88" s="136" t="s">
        <v>1836</v>
      </c>
      <c r="C88" s="108">
        <v>6415</v>
      </c>
    </row>
    <row r="89" spans="1:3" x14ac:dyDescent="0.25">
      <c r="A89" s="146">
        <v>12.904834266950779</v>
      </c>
      <c r="B89" s="136" t="s">
        <v>1837</v>
      </c>
      <c r="C89" s="108">
        <v>5657</v>
      </c>
    </row>
    <row r="90" spans="1:3" x14ac:dyDescent="0.25">
      <c r="A90" s="146">
        <v>13.608858341634892</v>
      </c>
      <c r="B90" s="136" t="s">
        <v>1838</v>
      </c>
      <c r="C90" s="108">
        <v>6264</v>
      </c>
    </row>
    <row r="91" spans="1:3" x14ac:dyDescent="0.25">
      <c r="A91" s="146">
        <v>14.526274689519999</v>
      </c>
      <c r="B91" s="136" t="s">
        <v>1839</v>
      </c>
      <c r="C91" s="108">
        <v>6182</v>
      </c>
    </row>
    <row r="92" spans="1:3" x14ac:dyDescent="0.25">
      <c r="A92" s="146">
        <v>13.865685373063332</v>
      </c>
      <c r="B92" s="136" t="s">
        <v>1840</v>
      </c>
      <c r="C92" s="108">
        <v>6380</v>
      </c>
    </row>
    <row r="93" spans="1:3" x14ac:dyDescent="0.25">
      <c r="A93" s="146">
        <v>13.576033969336665</v>
      </c>
      <c r="B93" s="136" t="s">
        <v>1841</v>
      </c>
      <c r="C93" s="108">
        <v>5722</v>
      </c>
    </row>
    <row r="94" spans="1:3" x14ac:dyDescent="0.25">
      <c r="A94" s="146">
        <v>13.668004404669997</v>
      </c>
      <c r="B94" s="136" t="s">
        <v>1842</v>
      </c>
      <c r="C94" s="108">
        <v>5861</v>
      </c>
    </row>
    <row r="95" spans="1:3" x14ac:dyDescent="0.25">
      <c r="A95" s="146">
        <v>11.808638489266665</v>
      </c>
      <c r="B95" s="136" t="s">
        <v>1843</v>
      </c>
      <c r="C95" s="108">
        <v>5296</v>
      </c>
    </row>
    <row r="96" spans="1:3" x14ac:dyDescent="0.25">
      <c r="A96" s="146">
        <v>12.368346588253331</v>
      </c>
      <c r="B96" s="136" t="s">
        <v>1844</v>
      </c>
      <c r="C96" s="108">
        <v>6168</v>
      </c>
    </row>
    <row r="97" spans="1:3" x14ac:dyDescent="0.25">
      <c r="A97" s="146">
        <v>13.727867653536666</v>
      </c>
      <c r="B97" s="136" t="s">
        <v>1845</v>
      </c>
      <c r="C97" s="108">
        <v>6398</v>
      </c>
    </row>
    <row r="98" spans="1:3" x14ac:dyDescent="0.25">
      <c r="A98" s="146">
        <v>13.627153801836666</v>
      </c>
      <c r="B98" s="136" t="s">
        <v>1846</v>
      </c>
      <c r="C98" s="108">
        <v>6268</v>
      </c>
    </row>
    <row r="99" spans="1:3" x14ac:dyDescent="0.25">
      <c r="A99" s="146">
        <v>11.444668649553332</v>
      </c>
      <c r="B99" s="136" t="s">
        <v>1847</v>
      </c>
      <c r="C99" s="108">
        <v>5711</v>
      </c>
    </row>
    <row r="100" spans="1:3" x14ac:dyDescent="0.25">
      <c r="A100" s="146">
        <v>12.421823573060001</v>
      </c>
      <c r="B100" s="136" t="s">
        <v>1848</v>
      </c>
      <c r="C100" s="108">
        <v>5796</v>
      </c>
    </row>
    <row r="101" spans="1:3" x14ac:dyDescent="0.25">
      <c r="A101" s="146">
        <v>13.396115907459999</v>
      </c>
      <c r="B101" s="136" t="s">
        <v>1849</v>
      </c>
      <c r="C101" s="108">
        <v>6061</v>
      </c>
    </row>
    <row r="102" spans="1:3" x14ac:dyDescent="0.25">
      <c r="A102" s="146">
        <v>13.705004964859999</v>
      </c>
      <c r="B102" s="136" t="s">
        <v>1850</v>
      </c>
      <c r="C102" s="108">
        <v>6245</v>
      </c>
    </row>
    <row r="103" spans="1:3" x14ac:dyDescent="0.25">
      <c r="A103" s="146">
        <v>12.214738351896667</v>
      </c>
      <c r="B103" s="136" t="s">
        <v>1851</v>
      </c>
      <c r="C103" s="108">
        <v>5535</v>
      </c>
    </row>
    <row r="104" spans="1:3" x14ac:dyDescent="0.25">
      <c r="A104" s="146">
        <v>12.573952994936665</v>
      </c>
      <c r="B104" s="136" t="s">
        <v>1852</v>
      </c>
      <c r="C104" s="108">
        <v>5515</v>
      </c>
    </row>
    <row r="105" spans="1:3" x14ac:dyDescent="0.25">
      <c r="A105" s="146">
        <v>12.971062196363334</v>
      </c>
      <c r="B105" s="136" t="s">
        <v>1853</v>
      </c>
      <c r="C105" s="108">
        <v>5708</v>
      </c>
    </row>
    <row r="106" spans="1:3" x14ac:dyDescent="0.25">
      <c r="A106" s="146">
        <v>11.785311044099998</v>
      </c>
      <c r="B106" s="136" t="s">
        <v>1854</v>
      </c>
      <c r="C106" s="108">
        <v>5254</v>
      </c>
    </row>
    <row r="108" spans="1:3" x14ac:dyDescent="0.25">
      <c r="C108" s="113"/>
    </row>
    <row r="110" spans="1:3" x14ac:dyDescent="0.25">
      <c r="C110" s="149"/>
    </row>
  </sheetData>
  <mergeCells count="2">
    <mergeCell ref="AJ46:AL46"/>
    <mergeCell ref="AJ1:AL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F7B8D-5F87-4B2E-A786-714A08BAF351}">
  <dimension ref="A1:BA120"/>
  <sheetViews>
    <sheetView workbookViewId="0">
      <selection activeCell="AU7" sqref="AU7"/>
    </sheetView>
    <sheetView workbookViewId="1"/>
  </sheetViews>
  <sheetFormatPr defaultRowHeight="15" x14ac:dyDescent="0.25"/>
  <cols>
    <col min="40" max="40" width="15.85546875" customWidth="1"/>
    <col min="42" max="42" width="12" bestFit="1" customWidth="1"/>
    <col min="45" max="46" width="12.7109375" bestFit="1" customWidth="1"/>
    <col min="47" max="48" width="12" bestFit="1" customWidth="1"/>
    <col min="49" max="49" width="12.140625" bestFit="1" customWidth="1"/>
    <col min="50" max="50" width="11.28515625" bestFit="1" customWidth="1"/>
  </cols>
  <sheetData>
    <row r="1" spans="1:53" x14ac:dyDescent="0.25">
      <c r="A1" t="s">
        <v>2086</v>
      </c>
      <c r="AJ1" s="252" t="s">
        <v>2020</v>
      </c>
      <c r="AK1" s="252"/>
      <c r="AL1" s="252"/>
      <c r="AS1" t="s">
        <v>2180</v>
      </c>
      <c r="AY1" t="s">
        <v>2186</v>
      </c>
    </row>
    <row r="2" spans="1:53" x14ac:dyDescent="0.25">
      <c r="A2" s="187" t="s">
        <v>1786</v>
      </c>
      <c r="B2" s="187" t="s">
        <v>1821</v>
      </c>
      <c r="C2" s="187" t="s">
        <v>1822</v>
      </c>
      <c r="D2" s="187" t="s">
        <v>1823</v>
      </c>
      <c r="E2" s="187" t="s">
        <v>1824</v>
      </c>
      <c r="F2" s="187" t="s">
        <v>1825</v>
      </c>
      <c r="G2" s="187" t="s">
        <v>1826</v>
      </c>
      <c r="H2" s="187" t="s">
        <v>1827</v>
      </c>
      <c r="I2" s="187" t="s">
        <v>1828</v>
      </c>
      <c r="J2" s="187" t="s">
        <v>1829</v>
      </c>
      <c r="K2" s="187" t="s">
        <v>1830</v>
      </c>
      <c r="L2" s="187" t="s">
        <v>1831</v>
      </c>
      <c r="M2" s="187" t="s">
        <v>1832</v>
      </c>
      <c r="N2" s="187" t="s">
        <v>1833</v>
      </c>
      <c r="O2" s="187" t="s">
        <v>1834</v>
      </c>
      <c r="P2" s="187" t="s">
        <v>1835</v>
      </c>
      <c r="Q2" s="187" t="s">
        <v>1836</v>
      </c>
      <c r="R2" s="187" t="s">
        <v>1837</v>
      </c>
      <c r="S2" s="187" t="s">
        <v>1838</v>
      </c>
      <c r="T2" s="187" t="s">
        <v>1839</v>
      </c>
      <c r="U2" s="187" t="s">
        <v>1840</v>
      </c>
      <c r="V2" s="187" t="s">
        <v>1841</v>
      </c>
      <c r="W2" s="187" t="s">
        <v>1842</v>
      </c>
      <c r="X2" s="187" t="s">
        <v>1843</v>
      </c>
      <c r="Y2" s="187" t="s">
        <v>1844</v>
      </c>
      <c r="Z2" s="187" t="s">
        <v>1845</v>
      </c>
      <c r="AA2" s="187" t="s">
        <v>1846</v>
      </c>
      <c r="AB2" s="187" t="s">
        <v>1847</v>
      </c>
      <c r="AC2" s="187" t="s">
        <v>1848</v>
      </c>
      <c r="AD2" s="187" t="s">
        <v>1849</v>
      </c>
      <c r="AE2" s="187" t="s">
        <v>1850</v>
      </c>
      <c r="AF2" s="187" t="s">
        <v>1851</v>
      </c>
      <c r="AG2" s="187" t="s">
        <v>1852</v>
      </c>
      <c r="AH2" s="187" t="s">
        <v>1853</v>
      </c>
      <c r="AI2" s="187" t="s">
        <v>1854</v>
      </c>
      <c r="AJ2" s="116" t="s">
        <v>2017</v>
      </c>
      <c r="AK2" s="116" t="s">
        <v>2018</v>
      </c>
      <c r="AL2" s="154" t="s">
        <v>2019</v>
      </c>
      <c r="AM2" s="116" t="s">
        <v>1954</v>
      </c>
      <c r="AN2" s="116" t="s">
        <v>1955</v>
      </c>
      <c r="AO2" s="116" t="s">
        <v>1956</v>
      </c>
      <c r="AP2" s="110" t="s">
        <v>1957</v>
      </c>
      <c r="AQ2" s="116" t="s">
        <v>2010</v>
      </c>
      <c r="AS2" s="239" t="s">
        <v>2184</v>
      </c>
      <c r="AT2" s="239" t="s">
        <v>2185</v>
      </c>
      <c r="AU2" s="239" t="s">
        <v>1984</v>
      </c>
      <c r="AV2" s="239" t="s">
        <v>2181</v>
      </c>
      <c r="AW2" s="239" t="s">
        <v>2182</v>
      </c>
      <c r="AX2" s="239" t="s">
        <v>2183</v>
      </c>
      <c r="AY2" s="239" t="s">
        <v>2184</v>
      </c>
      <c r="AZ2" s="239" t="s">
        <v>2182</v>
      </c>
      <c r="BA2" s="239" t="s">
        <v>2183</v>
      </c>
    </row>
    <row r="3" spans="1:53" x14ac:dyDescent="0.25">
      <c r="A3" s="188" t="s">
        <v>1922</v>
      </c>
      <c r="B3" s="189">
        <v>3.7661983067111331</v>
      </c>
      <c r="C3" s="189">
        <v>3.5921555172152466</v>
      </c>
      <c r="D3" s="189">
        <v>4.2155564542924804</v>
      </c>
      <c r="E3" s="189">
        <v>3.771091141481913</v>
      </c>
      <c r="F3" s="189">
        <v>4.105329902224466</v>
      </c>
      <c r="G3" s="189">
        <v>3.7629639773904935</v>
      </c>
      <c r="H3" s="189">
        <v>4.0869659659939002</v>
      </c>
      <c r="I3" s="189">
        <v>4.2540404562721266</v>
      </c>
      <c r="J3" s="189">
        <v>4.0005977317813466</v>
      </c>
      <c r="K3" s="189">
        <v>4.2647879984664536</v>
      </c>
      <c r="L3" s="189">
        <v>4.5088945390931192</v>
      </c>
      <c r="M3" s="189">
        <v>4.2996024494197869</v>
      </c>
      <c r="N3" s="189">
        <v>4.0997406792531192</v>
      </c>
      <c r="O3" s="189">
        <v>4.9102521792090066</v>
      </c>
      <c r="P3" s="189">
        <v>3.9187269884831202</v>
      </c>
      <c r="Q3" s="189">
        <v>3.7287614559239</v>
      </c>
      <c r="R3" s="189">
        <v>3.3108636824590065</v>
      </c>
      <c r="S3" s="189">
        <v>3.3555905035723397</v>
      </c>
      <c r="T3" s="189">
        <v>3.3930480018233333</v>
      </c>
      <c r="U3" s="189">
        <v>3.3017183234199998</v>
      </c>
      <c r="V3" s="189">
        <v>3.37193274385</v>
      </c>
      <c r="W3" s="189">
        <v>3.6059338092066668</v>
      </c>
      <c r="X3" s="189">
        <v>3.24830892617</v>
      </c>
      <c r="Y3" s="189">
        <v>3.6038995114466665</v>
      </c>
      <c r="Z3" s="189">
        <v>3.8277210616700001</v>
      </c>
      <c r="AA3" s="189">
        <v>4.3687808427266663</v>
      </c>
      <c r="AB3" s="189">
        <v>3.931813586103333</v>
      </c>
      <c r="AC3" s="189">
        <v>3.9435832358266665</v>
      </c>
      <c r="AD3" s="189">
        <v>4.3490003778100004</v>
      </c>
      <c r="AE3" s="189">
        <v>4.2163848625433333</v>
      </c>
      <c r="AF3" s="189">
        <v>3.8315319830700001</v>
      </c>
      <c r="AG3" s="189">
        <v>4.2175988726300009</v>
      </c>
      <c r="AH3" s="189">
        <v>4.2673559385233331</v>
      </c>
      <c r="AI3" s="189">
        <v>4.2479901587199995</v>
      </c>
      <c r="AJ3" s="100">
        <f>SLOPE(B3:AI3,B$57:AI$57)</f>
        <v>4.2128806064905752E-4</v>
      </c>
      <c r="AK3" s="100">
        <f>SLOPE(B3:U3,B$57:U$57)</f>
        <v>-2.0827183594596878E-2</v>
      </c>
      <c r="AL3" s="100">
        <f>SLOPE(V3:AI3,V$57:AI$57)</f>
        <v>6.7861920647553114E-2</v>
      </c>
      <c r="AM3">
        <f t="shared" ref="AM3:AM11" si="0">MIN(B3:AI3)</f>
        <v>3.24830892617</v>
      </c>
      <c r="AN3" s="113">
        <f t="shared" ref="AN3:AN11" si="1">AI3/AM3-1</f>
        <v>0.307754359351744</v>
      </c>
      <c r="AO3">
        <f t="shared" ref="AO3:AO11" si="2">MAX(B3:AI3)</f>
        <v>4.9102521792090066</v>
      </c>
      <c r="AP3" s="149">
        <f t="shared" ref="AP3:AP11" si="3">AM3/AO3-1</f>
        <v>-0.33846393064617086</v>
      </c>
      <c r="AQ3">
        <f>CORREL(B3:AI3,'NE HDD'!B3:AI3)</f>
        <v>0.25928600422164044</v>
      </c>
      <c r="AR3" s="113">
        <f>+AL3/AVERAGE(V3:AI3)</f>
        <v>1.7263950463407719E-2</v>
      </c>
      <c r="AS3">
        <f>INDEX(LINEST(V3:AI3,V$57:AI$57,TRUE,TRUE),1,1)</f>
        <v>6.7861920647553128E-2</v>
      </c>
      <c r="AT3">
        <f>INDEX(LINEST(V3:AI3,V$57:AI$57,TRUE,TRUE),2,1)</f>
        <v>1.6102816163968612E-2</v>
      </c>
      <c r="AU3">
        <f>INDEX(LINEST(V3:AI3,V$57:AI$57,TRUE,TRUE),4,2)</f>
        <v>12</v>
      </c>
      <c r="AV3">
        <f>_xlfn.T.INV.2T(0.05,AU3)</f>
        <v>2.1788128296672284</v>
      </c>
      <c r="AW3" s="345">
        <f>+AS3-AV3*AT3</f>
        <v>3.277689819572549E-2</v>
      </c>
      <c r="AX3" s="345">
        <f>AS3+AT3*AV3</f>
        <v>0.10294694309938077</v>
      </c>
      <c r="AY3">
        <f>AS3/AVERAGE(V3:AI3)</f>
        <v>1.7263950463407722E-2</v>
      </c>
      <c r="AZ3">
        <f t="shared" ref="AZ3:AZ11" si="4">AW3/AVERAGE(V3:AI3)</f>
        <v>8.3383839036033202E-3</v>
      </c>
      <c r="BA3">
        <f t="shared" ref="BA3:BA11" si="5">AX3/AVERAGE(V3:AI3)</f>
        <v>2.6189517023212122E-2</v>
      </c>
    </row>
    <row r="4" spans="1:53" x14ac:dyDescent="0.25">
      <c r="A4" s="188" t="s">
        <v>1788</v>
      </c>
      <c r="B4" s="189">
        <v>8.2436340146856661</v>
      </c>
      <c r="C4" s="189">
        <v>9.0733242425638281</v>
      </c>
      <c r="D4" s="189">
        <v>8.7731958416707734</v>
      </c>
      <c r="E4" s="189">
        <v>7.8593064581380805</v>
      </c>
      <c r="F4" s="189">
        <v>8.8428244351548209</v>
      </c>
      <c r="G4" s="189">
        <v>8.9164746765879404</v>
      </c>
      <c r="H4" s="189">
        <v>9.0137298002959536</v>
      </c>
      <c r="I4" s="189">
        <v>9.4539774915902797</v>
      </c>
      <c r="J4" s="189">
        <v>8.0917947839946081</v>
      </c>
      <c r="K4" s="189">
        <v>6.007387837135739</v>
      </c>
      <c r="L4" s="189">
        <v>6.6758156775609185</v>
      </c>
      <c r="M4" s="189">
        <v>5.6657419103675863</v>
      </c>
      <c r="N4" s="189">
        <v>5.6723000231933938</v>
      </c>
      <c r="O4" s="189">
        <v>6.9850804448309871</v>
      </c>
      <c r="P4" s="189">
        <v>6.4472042757616261</v>
      </c>
      <c r="Q4" s="189">
        <v>6.6171921062045334</v>
      </c>
      <c r="R4" s="189">
        <v>5.0325846073217013</v>
      </c>
      <c r="S4" s="189">
        <v>5.3523574274197134</v>
      </c>
      <c r="T4" s="189">
        <v>5.6720630559633332</v>
      </c>
      <c r="U4" s="189">
        <v>5.8011713980000001</v>
      </c>
      <c r="V4" s="189">
        <v>6.7136842662999996</v>
      </c>
      <c r="W4" s="189">
        <v>6.3516471911566672</v>
      </c>
      <c r="X4" s="189">
        <v>5.2351624247633337</v>
      </c>
      <c r="Y4" s="189">
        <v>6.7672685907200014</v>
      </c>
      <c r="Z4" s="189">
        <v>7.2071672654666665</v>
      </c>
      <c r="AA4" s="189">
        <v>7.6189326138933327</v>
      </c>
      <c r="AB4" s="189">
        <v>7.0324210341366662</v>
      </c>
      <c r="AC4" s="189">
        <v>7.3788659441566677</v>
      </c>
      <c r="AD4" s="189">
        <v>7.9212817119700007</v>
      </c>
      <c r="AE4" s="189">
        <v>8.1033406311733334</v>
      </c>
      <c r="AF4" s="189">
        <v>7.3149852073833328</v>
      </c>
      <c r="AG4" s="189">
        <v>7.4474480110066663</v>
      </c>
      <c r="AH4" s="189">
        <v>8.2031815594299999</v>
      </c>
      <c r="AI4" s="189">
        <v>7.6097484345666677</v>
      </c>
      <c r="AJ4" s="100">
        <f t="shared" ref="AJ4:AJ11" si="6">SLOPE(B4:AI4,B$57:AI$57)</f>
        <v>-3.3288790608376473E-2</v>
      </c>
      <c r="AK4" s="100">
        <f t="shared" ref="AK4:AK11" si="7">SLOPE(B4:U4,B$57:U$57)</f>
        <v>-0.20955807744375937</v>
      </c>
      <c r="AL4" s="238">
        <f t="shared" ref="AL4:AL11" si="8">SLOPE(V4:AI4,V$57:AI$57)</f>
        <v>0.1351530942067912</v>
      </c>
      <c r="AM4">
        <f t="shared" si="0"/>
        <v>5.0325846073217013</v>
      </c>
      <c r="AN4" s="113">
        <f t="shared" si="1"/>
        <v>0.51209547942732181</v>
      </c>
      <c r="AO4">
        <f t="shared" si="2"/>
        <v>9.4539774915902797</v>
      </c>
      <c r="AP4" s="149">
        <f t="shared" si="3"/>
        <v>-0.46767541896536113</v>
      </c>
      <c r="AQ4">
        <f>CORREL(B4:AI4,'NE HDD'!B4:AI4)</f>
        <v>0.25664473555447892</v>
      </c>
      <c r="AR4" s="113">
        <f t="shared" ref="AR4:AR10" si="9">+AL4/AVERAGE(V4:AI4)</f>
        <v>1.8751704965564518E-2</v>
      </c>
      <c r="AS4">
        <f t="shared" ref="AS4:AS11" si="10">INDEX(LINEST(V4:AI4,V$57:AI$57,TRUE,TRUE),1,1)</f>
        <v>0.13515309420679122</v>
      </c>
      <c r="AT4">
        <f t="shared" ref="AT4:AT11" si="11">INDEX(LINEST(V4:AI4,V$57:AI$57,TRUE,TRUE),2,1)</f>
        <v>3.6656433122495252E-2</v>
      </c>
      <c r="AU4">
        <f t="shared" ref="AU4:AU11" si="12">INDEX(LINEST(V4:AI4,V$57:AI$57,TRUE,TRUE),4,2)</f>
        <v>12</v>
      </c>
      <c r="AV4">
        <f t="shared" ref="AV4:AV11" si="13">_xlfn.T.INV.2T(0.05,AU4)</f>
        <v>2.1788128296672284</v>
      </c>
      <c r="AW4" s="345">
        <f t="shared" ref="AW4:AW11" si="14">+AS4-AV4*AT4</f>
        <v>5.5285587429659819E-2</v>
      </c>
      <c r="AX4" s="345">
        <f t="shared" ref="AX4:AX11" si="15">AS4+AT4*AV4</f>
        <v>0.21502060098392262</v>
      </c>
      <c r="AY4">
        <f t="shared" ref="AY4:AY11" si="16">AS4/AVERAGE(V4:AI4)</f>
        <v>1.8751704965564522E-2</v>
      </c>
      <c r="AZ4">
        <f t="shared" si="4"/>
        <v>7.670553385501485E-3</v>
      </c>
      <c r="BA4">
        <f t="shared" si="5"/>
        <v>2.9832856545627558E-2</v>
      </c>
    </row>
    <row r="5" spans="1:53" x14ac:dyDescent="0.25">
      <c r="A5" s="188" t="s">
        <v>1923</v>
      </c>
      <c r="B5" s="189">
        <v>2.1465153392098539</v>
      </c>
      <c r="C5" s="189">
        <v>2.1783831479752465</v>
      </c>
      <c r="D5" s="189">
        <v>1.7156221963400666</v>
      </c>
      <c r="E5" s="189">
        <v>1.7154071931763799</v>
      </c>
      <c r="F5" s="189">
        <v>1.7881159156838997</v>
      </c>
      <c r="G5" s="189">
        <v>1.5156771388690065</v>
      </c>
      <c r="H5" s="189">
        <v>1.6708209060464532</v>
      </c>
      <c r="I5" s="189">
        <v>1.6396501317964529</v>
      </c>
      <c r="J5" s="189">
        <v>1.7009324943923398</v>
      </c>
      <c r="K5" s="189">
        <v>1.5810233383956733</v>
      </c>
      <c r="L5" s="189">
        <v>1.8600316605890064</v>
      </c>
      <c r="M5" s="189">
        <v>1.5601059317390065</v>
      </c>
      <c r="N5" s="189">
        <v>1.7975108704882263</v>
      </c>
      <c r="O5" s="189">
        <v>2.2985225746848927</v>
      </c>
      <c r="P5" s="189">
        <v>2.1611797638048929</v>
      </c>
      <c r="Q5" s="189">
        <v>2.0798547559490066</v>
      </c>
      <c r="R5" s="189">
        <v>1.7947878334790066</v>
      </c>
      <c r="S5" s="189">
        <v>2.1562467760748931</v>
      </c>
      <c r="T5" s="189">
        <v>2.1699714668499994</v>
      </c>
      <c r="U5" s="189">
        <v>1.8181150990566666</v>
      </c>
      <c r="V5" s="189">
        <v>1.7129800760966665</v>
      </c>
      <c r="W5" s="189">
        <v>1.8528111970133332</v>
      </c>
      <c r="X5" s="189">
        <v>1.5855838179133335</v>
      </c>
      <c r="Y5" s="189">
        <v>1.6213872504866669</v>
      </c>
      <c r="Z5" s="189">
        <v>1.7166670934233332</v>
      </c>
      <c r="AA5" s="189">
        <v>1.7891425484166668</v>
      </c>
      <c r="AB5" s="189">
        <v>1.6326107333433333</v>
      </c>
      <c r="AC5" s="189">
        <v>1.7093478918633336</v>
      </c>
      <c r="AD5" s="189">
        <v>1.7535627288666669</v>
      </c>
      <c r="AE5" s="189">
        <v>1.7840543669666669</v>
      </c>
      <c r="AF5" s="189">
        <v>1.6223259909633332</v>
      </c>
      <c r="AG5" s="189">
        <v>1.7583057640866666</v>
      </c>
      <c r="AH5" s="189">
        <v>1.7628808341099997</v>
      </c>
      <c r="AI5" s="189">
        <v>1.8442845178266667</v>
      </c>
      <c r="AJ5" s="100">
        <f t="shared" si="6"/>
        <v>-3.3700400284837825E-3</v>
      </c>
      <c r="AK5" s="100">
        <f t="shared" si="7"/>
        <v>1.1516623122870088E-2</v>
      </c>
      <c r="AL5" s="100">
        <f t="shared" si="8"/>
        <v>5.682915422058607E-3</v>
      </c>
      <c r="AM5">
        <f t="shared" si="0"/>
        <v>1.5156771388690065</v>
      </c>
      <c r="AN5" s="113">
        <f t="shared" si="1"/>
        <v>0.21680565770284432</v>
      </c>
      <c r="AO5">
        <f t="shared" si="2"/>
        <v>2.2985225746848927</v>
      </c>
      <c r="AP5" s="149">
        <f t="shared" si="3"/>
        <v>-0.34058635944578775</v>
      </c>
      <c r="AQ5">
        <f>CORREL(B5:AI5,'NE HDD'!B5:AI5)</f>
        <v>0.24178665079619094</v>
      </c>
      <c r="AR5" s="113">
        <f t="shared" si="9"/>
        <v>3.2949970080000525E-3</v>
      </c>
      <c r="AS5">
        <f t="shared" si="10"/>
        <v>5.682915422058607E-3</v>
      </c>
      <c r="AT5">
        <f t="shared" si="11"/>
        <v>5.5432678269500364E-3</v>
      </c>
      <c r="AU5">
        <f t="shared" si="12"/>
        <v>12</v>
      </c>
      <c r="AV5">
        <f t="shared" si="13"/>
        <v>2.1788128296672284</v>
      </c>
      <c r="AW5" s="100">
        <f t="shared" si="14"/>
        <v>-6.3948276375817101E-3</v>
      </c>
      <c r="AX5" s="100">
        <f t="shared" si="15"/>
        <v>1.7760658481698922E-2</v>
      </c>
      <c r="AY5">
        <f t="shared" si="16"/>
        <v>3.2949970080000525E-3</v>
      </c>
      <c r="AZ5">
        <f t="shared" si="4"/>
        <v>-3.7077690529617171E-3</v>
      </c>
      <c r="BA5">
        <f t="shared" si="5"/>
        <v>1.029776306896182E-2</v>
      </c>
    </row>
    <row r="6" spans="1:53" x14ac:dyDescent="0.25">
      <c r="A6" s="188" t="s">
        <v>1924</v>
      </c>
      <c r="B6" s="189">
        <v>1.3483308394211333</v>
      </c>
      <c r="C6" s="189">
        <v>1.2890605677873732</v>
      </c>
      <c r="D6" s="189">
        <v>1.1697543177401399</v>
      </c>
      <c r="E6" s="189">
        <v>1.1695394763929066</v>
      </c>
      <c r="F6" s="189">
        <v>1.3211888907821268</v>
      </c>
      <c r="G6" s="189">
        <v>1.2084032401854601</v>
      </c>
      <c r="H6" s="189">
        <v>1.3410327304387932</v>
      </c>
      <c r="I6" s="189">
        <v>1.3648512110005666</v>
      </c>
      <c r="J6" s="189">
        <v>1.2120231032864535</v>
      </c>
      <c r="K6" s="189">
        <v>1.2488417560623399</v>
      </c>
      <c r="L6" s="189">
        <v>1.5057477411597864</v>
      </c>
      <c r="M6" s="189">
        <v>1.3668680732364531</v>
      </c>
      <c r="N6" s="189">
        <v>1.3686799577064532</v>
      </c>
      <c r="O6" s="189">
        <v>1.7184804691115603</v>
      </c>
      <c r="P6" s="189">
        <v>1.8623752204782267</v>
      </c>
      <c r="Q6" s="189">
        <v>1.9817740086531197</v>
      </c>
      <c r="R6" s="189">
        <v>1.3755763874664535</v>
      </c>
      <c r="S6" s="189">
        <v>1.4299034246523401</v>
      </c>
      <c r="T6" s="189">
        <v>1.4332205797433335</v>
      </c>
      <c r="U6" s="189">
        <v>1.3726169345166663</v>
      </c>
      <c r="V6" s="189">
        <v>1.2326236919333333</v>
      </c>
      <c r="W6" s="189">
        <v>1.3555030176233331</v>
      </c>
      <c r="X6" s="189">
        <v>1.2450843954999999</v>
      </c>
      <c r="Y6" s="189">
        <v>1.2835397376266668</v>
      </c>
      <c r="Z6" s="189">
        <v>1.4246179203300002</v>
      </c>
      <c r="AA6" s="189">
        <v>1.4874758027433332</v>
      </c>
      <c r="AB6" s="189">
        <v>1.3945161537633335</v>
      </c>
      <c r="AC6" s="189">
        <v>1.3139984169033334</v>
      </c>
      <c r="AD6" s="189">
        <v>1.4733495417666667</v>
      </c>
      <c r="AE6" s="189">
        <v>1.4838479783233334</v>
      </c>
      <c r="AF6" s="189">
        <v>1.3385465818633333</v>
      </c>
      <c r="AG6" s="189">
        <v>1.4074510579433333</v>
      </c>
      <c r="AH6" s="189">
        <v>1.44001135267</v>
      </c>
      <c r="AI6" s="189">
        <v>1.4530838088066667</v>
      </c>
      <c r="AJ6" s="100">
        <f t="shared" si="6"/>
        <v>3.8625170910966187E-3</v>
      </c>
      <c r="AK6" s="100">
        <f t="shared" si="7"/>
        <v>1.9569755921885441E-2</v>
      </c>
      <c r="AL6" s="100">
        <f t="shared" si="8"/>
        <v>1.2780604058659342E-2</v>
      </c>
      <c r="AM6">
        <f t="shared" si="0"/>
        <v>1.1695394763929066</v>
      </c>
      <c r="AN6" s="113">
        <f t="shared" si="1"/>
        <v>0.24244101044649424</v>
      </c>
      <c r="AO6">
        <f t="shared" si="2"/>
        <v>1.9817740086531197</v>
      </c>
      <c r="AP6" s="149">
        <f t="shared" si="3"/>
        <v>-0.40985224789189512</v>
      </c>
      <c r="AQ6">
        <f>CORREL(B6:AI6,'NE HDD'!B6:AI6)</f>
        <v>0.21879645769646916</v>
      </c>
      <c r="AR6" s="113">
        <f t="shared" si="9"/>
        <v>9.2547688532272649E-3</v>
      </c>
      <c r="AS6">
        <f t="shared" si="10"/>
        <v>1.2780604058659341E-2</v>
      </c>
      <c r="AT6">
        <f t="shared" si="11"/>
        <v>4.7530393519159189E-3</v>
      </c>
      <c r="AU6">
        <f t="shared" si="12"/>
        <v>12</v>
      </c>
      <c r="AV6">
        <f t="shared" si="13"/>
        <v>2.1788128296672284</v>
      </c>
      <c r="AW6" s="345">
        <f t="shared" si="14"/>
        <v>2.4246209387917272E-3</v>
      </c>
      <c r="AX6" s="345">
        <f t="shared" si="15"/>
        <v>2.3136587178526954E-2</v>
      </c>
      <c r="AY6">
        <f t="shared" si="16"/>
        <v>9.2547688532272632E-3</v>
      </c>
      <c r="AZ6">
        <f t="shared" si="4"/>
        <v>1.7557312817314647E-3</v>
      </c>
      <c r="BA6">
        <f t="shared" si="5"/>
        <v>1.6753806424723062E-2</v>
      </c>
    </row>
    <row r="7" spans="1:53" x14ac:dyDescent="0.25">
      <c r="A7" s="188" t="s">
        <v>1939</v>
      </c>
      <c r="B7" s="189">
        <v>10.944726192874468</v>
      </c>
      <c r="C7" s="189">
        <v>11.04962687013702</v>
      </c>
      <c r="D7" s="189">
        <v>11.450123778079361</v>
      </c>
      <c r="E7" s="189">
        <v>10.744572292192126</v>
      </c>
      <c r="F7" s="189">
        <v>10.962335554707021</v>
      </c>
      <c r="G7" s="189">
        <v>10.053207241174681</v>
      </c>
      <c r="H7" s="189">
        <v>11.208941539108794</v>
      </c>
      <c r="I7" s="189">
        <v>11.516781986690567</v>
      </c>
      <c r="J7" s="189">
        <v>10.17581676764312</v>
      </c>
      <c r="K7" s="189">
        <v>11.689338906966453</v>
      </c>
      <c r="L7" s="189">
        <v>10.999787761239787</v>
      </c>
      <c r="M7" s="189">
        <v>9.5186071961631207</v>
      </c>
      <c r="N7" s="189">
        <v>9.4985824707097866</v>
      </c>
      <c r="O7" s="189">
        <v>10.589286530492339</v>
      </c>
      <c r="P7" s="189">
        <v>10.834099794960567</v>
      </c>
      <c r="Q7" s="189">
        <v>11.205647082075672</v>
      </c>
      <c r="R7" s="189">
        <v>9.5187391903115621</v>
      </c>
      <c r="S7" s="189">
        <v>10.969981669261559</v>
      </c>
      <c r="T7" s="189">
        <v>10.655841379443332</v>
      </c>
      <c r="U7" s="189">
        <v>11.162728380136667</v>
      </c>
      <c r="V7" s="189">
        <v>10.987773339509999</v>
      </c>
      <c r="W7" s="189">
        <v>11.762583186896668</v>
      </c>
      <c r="X7" s="189">
        <v>10.512330284719999</v>
      </c>
      <c r="Y7" s="189">
        <v>10.423080536990001</v>
      </c>
      <c r="Z7" s="189">
        <v>12.167260655696667</v>
      </c>
      <c r="AA7" s="189">
        <v>10.611685775826667</v>
      </c>
      <c r="AB7" s="189">
        <v>9.9559046702133323</v>
      </c>
      <c r="AC7" s="189">
        <v>9.6539820084033341</v>
      </c>
      <c r="AD7" s="189">
        <v>10.657935175983335</v>
      </c>
      <c r="AE7" s="189">
        <v>10.08464180086</v>
      </c>
      <c r="AF7" s="189">
        <v>8.9573777432700012</v>
      </c>
      <c r="AG7" s="189">
        <v>9.8900110381600008</v>
      </c>
      <c r="AH7" s="189">
        <v>10.169539840863335</v>
      </c>
      <c r="AI7" s="189">
        <v>9.5525761486833343</v>
      </c>
      <c r="AJ7" s="100">
        <f t="shared" si="6"/>
        <v>-2.9708609673509259E-2</v>
      </c>
      <c r="AK7" s="100">
        <f t="shared" si="7"/>
        <v>-2.4868854478032245E-2</v>
      </c>
      <c r="AL7" s="100">
        <f t="shared" si="8"/>
        <v>-0.13762220175322334</v>
      </c>
      <c r="AM7">
        <f t="shared" si="0"/>
        <v>8.9573777432700012</v>
      </c>
      <c r="AN7" s="113">
        <f t="shared" si="1"/>
        <v>6.6447840257772617E-2</v>
      </c>
      <c r="AO7">
        <f t="shared" si="2"/>
        <v>12.167260655696667</v>
      </c>
      <c r="AP7" s="149">
        <f t="shared" si="3"/>
        <v>-0.26381311317792888</v>
      </c>
      <c r="AQ7">
        <f>CORREL(B7:AI7,'NE HDD'!B7:AI7)</f>
        <v>0.55643664189257291</v>
      </c>
      <c r="AR7" s="113">
        <f t="shared" si="9"/>
        <v>-1.3252319918918934E-2</v>
      </c>
      <c r="AS7">
        <f t="shared" si="10"/>
        <v>-0.13762220175322329</v>
      </c>
      <c r="AT7">
        <f t="shared" si="11"/>
        <v>4.3236478702074727E-2</v>
      </c>
      <c r="AU7">
        <f t="shared" si="12"/>
        <v>12</v>
      </c>
      <c r="AV7">
        <f t="shared" si="13"/>
        <v>2.1788128296672284</v>
      </c>
      <c r="AW7" s="344">
        <f t="shared" si="14"/>
        <v>-0.23182639625893758</v>
      </c>
      <c r="AX7" s="344">
        <f t="shared" si="15"/>
        <v>-4.3418007247508994E-2</v>
      </c>
      <c r="AY7">
        <f t="shared" si="16"/>
        <v>-1.3252319918918927E-2</v>
      </c>
      <c r="AZ7">
        <f t="shared" si="4"/>
        <v>-2.232370598446377E-2</v>
      </c>
      <c r="BA7">
        <f t="shared" si="5"/>
        <v>-4.1809338533740862E-3</v>
      </c>
    </row>
    <row r="8" spans="1:53" x14ac:dyDescent="0.25">
      <c r="A8" s="188" t="s">
        <v>1925</v>
      </c>
      <c r="B8" s="189">
        <v>26.294148860470038</v>
      </c>
      <c r="C8" s="189">
        <v>25.946254371228619</v>
      </c>
      <c r="D8" s="189">
        <v>26.991095760949612</v>
      </c>
      <c r="E8" s="189">
        <v>27.764513504928203</v>
      </c>
      <c r="F8" s="189">
        <v>27.323190258765791</v>
      </c>
      <c r="G8" s="189">
        <v>26.456337753162313</v>
      </c>
      <c r="H8" s="189">
        <v>27.248552958667553</v>
      </c>
      <c r="I8" s="189">
        <v>29.169070877592947</v>
      </c>
      <c r="J8" s="189">
        <v>27.426672802082177</v>
      </c>
      <c r="K8" s="189">
        <v>29.870891387056574</v>
      </c>
      <c r="L8" s="189">
        <v>31.834373147993535</v>
      </c>
      <c r="M8" s="189">
        <v>30.380675234542892</v>
      </c>
      <c r="N8" s="189">
        <v>31.235412786077866</v>
      </c>
      <c r="O8" s="189">
        <v>32.876979936000275</v>
      </c>
      <c r="P8" s="189">
        <v>34.436646114553099</v>
      </c>
      <c r="Q8" s="189">
        <v>28.26949986810466</v>
      </c>
      <c r="R8" s="189">
        <v>25.198680172722394</v>
      </c>
      <c r="S8" s="189">
        <v>26.493832200402821</v>
      </c>
      <c r="T8" s="189">
        <v>25.809296789099712</v>
      </c>
      <c r="U8" s="189">
        <v>25.158607064230495</v>
      </c>
      <c r="V8" s="189">
        <v>24.294503762682336</v>
      </c>
      <c r="W8" s="189">
        <v>24.284970460159787</v>
      </c>
      <c r="X8" s="189">
        <v>20.956153691000001</v>
      </c>
      <c r="Y8" s="189">
        <v>22.402372605579998</v>
      </c>
      <c r="Z8" s="189">
        <v>22.077527086230003</v>
      </c>
      <c r="AA8" s="189">
        <v>22.902571244446669</v>
      </c>
      <c r="AB8" s="189">
        <v>21.815885445310002</v>
      </c>
      <c r="AC8" s="189">
        <v>22.135807365723331</v>
      </c>
      <c r="AD8" s="189">
        <v>23.26563545834</v>
      </c>
      <c r="AE8" s="189">
        <v>22.989967381333333</v>
      </c>
      <c r="AF8" s="189">
        <v>20.363052627389997</v>
      </c>
      <c r="AG8" s="189">
        <v>21.827636843136666</v>
      </c>
      <c r="AH8" s="189">
        <v>22.384281395043331</v>
      </c>
      <c r="AI8" s="189">
        <v>21.590195073809998</v>
      </c>
      <c r="AJ8" s="100">
        <f t="shared" si="6"/>
        <v>-0.25045518663766952</v>
      </c>
      <c r="AK8" s="100">
        <f t="shared" si="7"/>
        <v>5.8699254620824995E-2</v>
      </c>
      <c r="AL8" s="100">
        <f t="shared" si="8"/>
        <v>-0.12422894090573944</v>
      </c>
      <c r="AM8">
        <f t="shared" si="0"/>
        <v>20.363052627389997</v>
      </c>
      <c r="AN8" s="113">
        <f t="shared" si="1"/>
        <v>6.0263186903980692E-2</v>
      </c>
      <c r="AO8">
        <f t="shared" si="2"/>
        <v>34.436646114553099</v>
      </c>
      <c r="AP8" s="149">
        <f t="shared" si="3"/>
        <v>-0.40868072460794991</v>
      </c>
      <c r="AQ8">
        <f>CORREL(B8:AI8,'NE HDD'!B8:AI8)</f>
        <v>0.47239228260698862</v>
      </c>
      <c r="AR8" s="113">
        <f t="shared" si="9"/>
        <v>-5.551412625508732E-3</v>
      </c>
      <c r="AS8">
        <f t="shared" si="10"/>
        <v>-0.12422894090573947</v>
      </c>
      <c r="AT8">
        <f t="shared" si="11"/>
        <v>6.8224133438604895E-2</v>
      </c>
      <c r="AU8">
        <f t="shared" si="12"/>
        <v>12</v>
      </c>
      <c r="AV8">
        <f t="shared" si="13"/>
        <v>2.1788128296672284</v>
      </c>
      <c r="AW8" s="100">
        <f t="shared" si="14"/>
        <v>-0.2728765581347008</v>
      </c>
      <c r="AX8" s="100">
        <f t="shared" si="15"/>
        <v>2.4418676323221838E-2</v>
      </c>
      <c r="AY8">
        <f t="shared" si="16"/>
        <v>-5.5514126255087337E-3</v>
      </c>
      <c r="AZ8">
        <f t="shared" si="4"/>
        <v>-1.2194021449347787E-2</v>
      </c>
      <c r="BA8">
        <f t="shared" si="5"/>
        <v>1.0911961983303201E-3</v>
      </c>
    </row>
    <row r="9" spans="1:53" x14ac:dyDescent="0.25">
      <c r="A9" s="188" t="s">
        <v>1940</v>
      </c>
      <c r="B9" s="189">
        <v>10.616059712482546</v>
      </c>
      <c r="C9" s="189">
        <v>10.361704599274233</v>
      </c>
      <c r="D9" s="189">
        <v>10.869333830993073</v>
      </c>
      <c r="E9" s="189">
        <v>10.811742426030847</v>
      </c>
      <c r="F9" s="189">
        <v>11.922901830620074</v>
      </c>
      <c r="G9" s="189">
        <v>11.658441080109853</v>
      </c>
      <c r="H9" s="189">
        <v>12.250116540685832</v>
      </c>
      <c r="I9" s="189">
        <v>10.936066559980905</v>
      </c>
      <c r="J9" s="189">
        <v>10.152396768514219</v>
      </c>
      <c r="K9" s="189">
        <v>10.642548545106793</v>
      </c>
      <c r="L9" s="189">
        <v>11.188470235361468</v>
      </c>
      <c r="M9" s="189">
        <v>10.80706238253444</v>
      </c>
      <c r="N9" s="189">
        <v>11.364147275019146</v>
      </c>
      <c r="O9" s="189">
        <v>11.83333922558502</v>
      </c>
      <c r="P9" s="189">
        <v>11.395288339340691</v>
      </c>
      <c r="Q9" s="189">
        <v>11.430522516616939</v>
      </c>
      <c r="R9" s="189">
        <v>10.309395733413039</v>
      </c>
      <c r="S9" s="189">
        <v>10.8132819794131</v>
      </c>
      <c r="T9" s="189">
        <v>11.136096114391673</v>
      </c>
      <c r="U9" s="189">
        <v>10.294679017334653</v>
      </c>
      <c r="V9" s="189">
        <v>10.078754260523519</v>
      </c>
      <c r="W9" s="189">
        <v>9.8688831467959339</v>
      </c>
      <c r="X9" s="189">
        <v>8.6798431817355137</v>
      </c>
      <c r="Y9" s="189">
        <v>10.069167247259486</v>
      </c>
      <c r="Z9" s="189">
        <v>10.793979660801261</v>
      </c>
      <c r="AA9" s="189">
        <v>11.223539359781833</v>
      </c>
      <c r="AB9" s="189">
        <v>10.489460414783753</v>
      </c>
      <c r="AC9" s="189">
        <v>10.803714691452834</v>
      </c>
      <c r="AD9" s="189">
        <v>12.130258130287586</v>
      </c>
      <c r="AE9" s="189">
        <v>11.89441612987936</v>
      </c>
      <c r="AF9" s="189">
        <v>10.696505911910354</v>
      </c>
      <c r="AG9" s="189">
        <v>11.406600025262126</v>
      </c>
      <c r="AH9" s="189">
        <v>12.136254427692341</v>
      </c>
      <c r="AI9" s="189">
        <v>11.521781396788228</v>
      </c>
      <c r="AJ9" s="100">
        <f t="shared" si="6"/>
        <v>2.9881615448795187E-3</v>
      </c>
      <c r="AK9" s="100">
        <f t="shared" si="7"/>
        <v>-4.7853597351132718E-3</v>
      </c>
      <c r="AL9" s="100">
        <f t="shared" si="8"/>
        <v>0.17839387261356945</v>
      </c>
      <c r="AM9">
        <f t="shared" si="0"/>
        <v>8.6798431817355137</v>
      </c>
      <c r="AN9" s="113">
        <f t="shared" si="1"/>
        <v>0.32741815209666902</v>
      </c>
      <c r="AO9">
        <f t="shared" si="2"/>
        <v>12.250116540685832</v>
      </c>
      <c r="AP9" s="149">
        <f t="shared" si="3"/>
        <v>-0.29144811374589863</v>
      </c>
      <c r="AQ9">
        <f>CORREL(B9:AI9,'NE HDD'!B9:AI9)</f>
        <v>0.46051562247441774</v>
      </c>
      <c r="AR9" s="113">
        <f t="shared" si="9"/>
        <v>1.6453404420491261E-2</v>
      </c>
      <c r="AS9">
        <f t="shared" si="10"/>
        <v>0.17839387261356948</v>
      </c>
      <c r="AT9">
        <f t="shared" si="11"/>
        <v>4.3135369051469585E-2</v>
      </c>
      <c r="AU9">
        <f t="shared" si="12"/>
        <v>12</v>
      </c>
      <c r="AV9">
        <f t="shared" si="13"/>
        <v>2.1788128296672284</v>
      </c>
      <c r="AW9" s="345">
        <f t="shared" si="14"/>
        <v>8.4409977111796847E-2</v>
      </c>
      <c r="AX9" s="345">
        <f t="shared" si="15"/>
        <v>0.27237776811534209</v>
      </c>
      <c r="AY9">
        <f t="shared" si="16"/>
        <v>1.6453404420491261E-2</v>
      </c>
      <c r="AZ9">
        <f t="shared" si="4"/>
        <v>7.7851972727406528E-3</v>
      </c>
      <c r="BA9">
        <f t="shared" si="5"/>
        <v>2.5121611568241869E-2</v>
      </c>
    </row>
    <row r="10" spans="1:53" x14ac:dyDescent="0.25">
      <c r="A10" s="188" t="s">
        <v>1926</v>
      </c>
      <c r="B10" s="189">
        <v>1.1068988392797865</v>
      </c>
      <c r="C10" s="189">
        <v>1.1534339415090067</v>
      </c>
      <c r="D10" s="189">
        <v>1.08018004175312</v>
      </c>
      <c r="E10" s="189">
        <v>1.1302327421582266</v>
      </c>
      <c r="F10" s="189">
        <v>1.3751845785290067</v>
      </c>
      <c r="G10" s="189">
        <v>1.2566918926790067</v>
      </c>
      <c r="H10" s="189">
        <v>1.3726389708123399</v>
      </c>
      <c r="I10" s="189">
        <v>1.3357930367423401</v>
      </c>
      <c r="J10" s="189">
        <v>1.1441547123082265</v>
      </c>
      <c r="K10" s="189">
        <v>1.08473537514078</v>
      </c>
      <c r="L10" s="189">
        <v>1.21584268973156</v>
      </c>
      <c r="M10" s="189">
        <v>1.2530659623015601</v>
      </c>
      <c r="N10" s="189">
        <v>1.15390747046234</v>
      </c>
      <c r="O10" s="189">
        <v>1.28781047970234</v>
      </c>
      <c r="P10" s="189">
        <v>1.2053097967856736</v>
      </c>
      <c r="Q10" s="189">
        <v>1.1384767082656735</v>
      </c>
      <c r="R10" s="189">
        <v>0.9526259766315599</v>
      </c>
      <c r="S10" s="189">
        <v>1.0467745341641133</v>
      </c>
      <c r="T10" s="189">
        <v>0.94387574548666653</v>
      </c>
      <c r="U10" s="189">
        <v>1.0489136569999999</v>
      </c>
      <c r="V10" s="189">
        <v>0.92288134554000001</v>
      </c>
      <c r="W10" s="189">
        <v>0.86865416175999988</v>
      </c>
      <c r="X10" s="189">
        <v>0.78955883948333327</v>
      </c>
      <c r="Y10" s="189">
        <v>0.91056972706333339</v>
      </c>
      <c r="Z10" s="189">
        <v>1.1322228702400001</v>
      </c>
      <c r="AA10" s="189">
        <v>1.0023549016433333</v>
      </c>
      <c r="AB10" s="189">
        <v>0.86217880408000014</v>
      </c>
      <c r="AC10" s="189">
        <v>0.87239156425666664</v>
      </c>
      <c r="AD10" s="189">
        <v>0.98381368726666663</v>
      </c>
      <c r="AE10" s="189">
        <v>0.94016880796666669</v>
      </c>
      <c r="AF10" s="189">
        <v>0.80876315952666666</v>
      </c>
      <c r="AG10" s="189">
        <v>0.94466216265666669</v>
      </c>
      <c r="AH10" s="189">
        <v>0.92975097651333327</v>
      </c>
      <c r="AI10" s="189">
        <v>0.88572376750000004</v>
      </c>
      <c r="AJ10" s="100">
        <f t="shared" si="6"/>
        <v>-1.2323443150945242E-2</v>
      </c>
      <c r="AK10" s="100">
        <f t="shared" si="7"/>
        <v>-8.7111203021905097E-3</v>
      </c>
      <c r="AL10" s="100">
        <f t="shared" si="8"/>
        <v>-2.9314463901098726E-4</v>
      </c>
      <c r="AM10">
        <f t="shared" si="0"/>
        <v>0.78955883948333327</v>
      </c>
      <c r="AN10" s="113">
        <f t="shared" si="1"/>
        <v>0.12179577152172039</v>
      </c>
      <c r="AO10">
        <f t="shared" si="2"/>
        <v>1.3751845785290067</v>
      </c>
      <c r="AP10" s="149">
        <f t="shared" si="3"/>
        <v>-0.42585246241788099</v>
      </c>
      <c r="AQ10">
        <f>CORREL(B10:AI10,'NE HDD'!B10:AI10)</f>
        <v>0.68199947786423532</v>
      </c>
      <c r="AR10" s="113">
        <f t="shared" si="9"/>
        <v>-3.1928756811445622E-4</v>
      </c>
      <c r="AS10">
        <f t="shared" si="10"/>
        <v>-2.9314463901098688E-4</v>
      </c>
      <c r="AT10">
        <f t="shared" si="11"/>
        <v>5.9250830845628882E-3</v>
      </c>
      <c r="AU10">
        <f t="shared" si="12"/>
        <v>12</v>
      </c>
      <c r="AV10">
        <f t="shared" si="13"/>
        <v>2.1788128296672284</v>
      </c>
      <c r="AW10" s="100">
        <f t="shared" si="14"/>
        <v>-1.3202791680500883E-2</v>
      </c>
      <c r="AX10" s="100">
        <f t="shared" si="15"/>
        <v>1.261650240247891E-2</v>
      </c>
      <c r="AY10">
        <f t="shared" si="16"/>
        <v>-3.1928756811445584E-4</v>
      </c>
      <c r="AZ10">
        <f t="shared" si="4"/>
        <v>-1.4380229712578515E-2</v>
      </c>
      <c r="BA10">
        <f t="shared" si="5"/>
        <v>1.3741654576349604E-2</v>
      </c>
    </row>
    <row r="11" spans="1:53" x14ac:dyDescent="0.25">
      <c r="A11" s="188" t="s">
        <v>1927</v>
      </c>
      <c r="B11" s="189">
        <v>0.5735742228980133</v>
      </c>
      <c r="C11" s="189">
        <v>0.6433024849597867</v>
      </c>
      <c r="D11" s="189">
        <v>0.72735125750723328</v>
      </c>
      <c r="E11" s="189">
        <v>0.67580159850389998</v>
      </c>
      <c r="F11" s="189">
        <v>0.67337549836978661</v>
      </c>
      <c r="G11" s="189">
        <v>0.59374141903567323</v>
      </c>
      <c r="H11" s="189">
        <v>0.66025291564078004</v>
      </c>
      <c r="I11" s="189">
        <v>0.70437726966156011</v>
      </c>
      <c r="J11" s="189">
        <v>0.75500269671155984</v>
      </c>
      <c r="K11" s="189">
        <v>0.70329110707489317</v>
      </c>
      <c r="L11" s="189">
        <v>0.76449762045411329</v>
      </c>
      <c r="M11" s="189">
        <v>0.78899896238489309</v>
      </c>
      <c r="N11" s="189">
        <v>0.73327971615411325</v>
      </c>
      <c r="O11" s="189">
        <v>0.77557269659077976</v>
      </c>
      <c r="P11" s="189">
        <v>0.82947118178077983</v>
      </c>
      <c r="Q11" s="189">
        <v>0.71735196526744649</v>
      </c>
      <c r="R11" s="189">
        <v>0.67678859872411323</v>
      </c>
      <c r="S11" s="189">
        <v>0.68174531011744655</v>
      </c>
      <c r="T11" s="189">
        <v>0.62111313494999998</v>
      </c>
      <c r="U11" s="189">
        <v>0.67132474269666653</v>
      </c>
      <c r="V11" s="189">
        <v>0.62788187355666658</v>
      </c>
      <c r="W11" s="189">
        <v>0.64342616913666661</v>
      </c>
      <c r="X11" s="189">
        <v>0.60755404504666666</v>
      </c>
      <c r="Y11" s="189">
        <v>0.76459516675666661</v>
      </c>
      <c r="Z11" s="189">
        <v>0.79827760393333336</v>
      </c>
      <c r="AA11" s="189">
        <v>0.99882003902999994</v>
      </c>
      <c r="AB11" s="189">
        <v>0.86437518020333326</v>
      </c>
      <c r="AC11" s="189">
        <v>0.77247646655666669</v>
      </c>
      <c r="AD11" s="189">
        <v>0.91309973439666658</v>
      </c>
      <c r="AE11" s="189">
        <v>0.88898611072333333</v>
      </c>
      <c r="AF11" s="189">
        <v>0.88243859066000008</v>
      </c>
      <c r="AG11" s="189">
        <v>0.92592517787000006</v>
      </c>
      <c r="AH11" s="189">
        <v>0.92872743608333341</v>
      </c>
      <c r="AI11" s="189">
        <v>0.87352586361333329</v>
      </c>
      <c r="AJ11" s="100">
        <f t="shared" si="6"/>
        <v>7.4674771830353977E-3</v>
      </c>
      <c r="AK11" s="100">
        <f t="shared" si="7"/>
        <v>3.405291524899406E-3</v>
      </c>
      <c r="AL11" s="100">
        <f t="shared" si="8"/>
        <v>2.2255852475355317E-2</v>
      </c>
      <c r="AM11">
        <f t="shared" si="0"/>
        <v>0.5735742228980133</v>
      </c>
      <c r="AN11" s="113">
        <f t="shared" si="1"/>
        <v>0.52295174493686081</v>
      </c>
      <c r="AO11">
        <f t="shared" si="2"/>
        <v>0.99882003902999994</v>
      </c>
      <c r="AP11" s="149">
        <f t="shared" si="3"/>
        <v>-0.42574818237023193</v>
      </c>
      <c r="AQ11">
        <f>CORREL(B11:AI11,'NE HDD'!B11:AI11)</f>
        <v>-6.5085672629958249E-2</v>
      </c>
      <c r="AR11" s="113">
        <f>+AL11/AVERAGE(V11:AI11)</f>
        <v>2.7117403520450022E-2</v>
      </c>
      <c r="AS11">
        <f t="shared" si="10"/>
        <v>2.2255852475355324E-2</v>
      </c>
      <c r="AT11">
        <f t="shared" si="11"/>
        <v>5.5306520495824844E-3</v>
      </c>
      <c r="AU11">
        <f t="shared" si="12"/>
        <v>12</v>
      </c>
      <c r="AV11">
        <f t="shared" si="13"/>
        <v>2.1788128296672284</v>
      </c>
      <c r="AW11" s="345">
        <f t="shared" si="14"/>
        <v>1.0205596833299654E-2</v>
      </c>
      <c r="AX11" s="345">
        <f t="shared" si="15"/>
        <v>3.4306108117410992E-2</v>
      </c>
      <c r="AY11">
        <f t="shared" si="16"/>
        <v>2.7117403520450029E-2</v>
      </c>
      <c r="AZ11">
        <f t="shared" si="4"/>
        <v>1.2434899440588393E-2</v>
      </c>
      <c r="BA11">
        <f t="shared" si="5"/>
        <v>4.1799907600311666E-2</v>
      </c>
    </row>
    <row r="12" spans="1:53" x14ac:dyDescent="0.25">
      <c r="AS12">
        <f>MIN(AS3:AS11)</f>
        <v>-0.13762220175322329</v>
      </c>
      <c r="AY12">
        <f>MIN(AY3:AY11)</f>
        <v>-1.3252319918918927E-2</v>
      </c>
      <c r="AZ12">
        <f>MIN(AZ3:AZ11)</f>
        <v>-2.232370598446377E-2</v>
      </c>
      <c r="BA12">
        <f>MIN(BA3:BA11)</f>
        <v>-4.1809338533740862E-3</v>
      </c>
    </row>
    <row r="13" spans="1:53" x14ac:dyDescent="0.25">
      <c r="A13" t="s">
        <v>2192</v>
      </c>
      <c r="AS13">
        <f>MAX(AS3:AS11)</f>
        <v>0.17839387261356948</v>
      </c>
      <c r="AY13">
        <f>MAX(AY3:AY11)</f>
        <v>2.7117403520450029E-2</v>
      </c>
      <c r="AZ13">
        <f>MAX(AZ3:AZ11)</f>
        <v>1.2434899440588393E-2</v>
      </c>
      <c r="BA13">
        <f>MAX(BA3:BA11)</f>
        <v>4.1799907600311666E-2</v>
      </c>
    </row>
    <row r="14" spans="1:53" x14ac:dyDescent="0.25">
      <c r="A14" t="s">
        <v>2193</v>
      </c>
    </row>
    <row r="15" spans="1:53" x14ac:dyDescent="0.25">
      <c r="A15" t="s">
        <v>2194</v>
      </c>
    </row>
    <row r="16" spans="1:53" x14ac:dyDescent="0.25">
      <c r="A16" t="s">
        <v>2195</v>
      </c>
    </row>
    <row r="17" spans="1:35" x14ac:dyDescent="0.25">
      <c r="A17" t="s">
        <v>2196</v>
      </c>
    </row>
    <row r="18" spans="1:35" x14ac:dyDescent="0.25">
      <c r="A18" t="s">
        <v>2197</v>
      </c>
    </row>
    <row r="21" spans="1:35" x14ac:dyDescent="0.25">
      <c r="A21" t="s">
        <v>2177</v>
      </c>
    </row>
    <row r="22" spans="1:35" x14ac:dyDescent="0.25">
      <c r="A22" s="136" t="s">
        <v>1786</v>
      </c>
      <c r="B22" s="136" t="s">
        <v>1821</v>
      </c>
      <c r="C22" s="136" t="s">
        <v>1822</v>
      </c>
      <c r="D22" s="136" t="s">
        <v>1823</v>
      </c>
      <c r="E22" s="136" t="s">
        <v>1824</v>
      </c>
      <c r="F22" s="136" t="s">
        <v>1825</v>
      </c>
      <c r="G22" s="136" t="s">
        <v>1826</v>
      </c>
      <c r="H22" s="136" t="s">
        <v>1827</v>
      </c>
      <c r="I22" s="136" t="s">
        <v>1828</v>
      </c>
      <c r="J22" s="136" t="s">
        <v>1829</v>
      </c>
      <c r="K22" s="136" t="s">
        <v>1830</v>
      </c>
      <c r="L22" s="136" t="s">
        <v>1831</v>
      </c>
      <c r="M22" s="136" t="s">
        <v>1832</v>
      </c>
      <c r="N22" s="136" t="s">
        <v>1833</v>
      </c>
      <c r="O22" s="136" t="s">
        <v>1834</v>
      </c>
      <c r="P22" s="136" t="s">
        <v>1835</v>
      </c>
      <c r="Q22" s="136" t="s">
        <v>1836</v>
      </c>
      <c r="R22" s="136" t="s">
        <v>1837</v>
      </c>
      <c r="S22" s="136" t="s">
        <v>1838</v>
      </c>
      <c r="T22" s="136" t="s">
        <v>1839</v>
      </c>
      <c r="U22" s="136" t="s">
        <v>1840</v>
      </c>
      <c r="V22" s="136" t="s">
        <v>1841</v>
      </c>
      <c r="W22" s="136" t="s">
        <v>1842</v>
      </c>
      <c r="X22" s="136" t="s">
        <v>1843</v>
      </c>
      <c r="Y22" s="136" t="s">
        <v>1844</v>
      </c>
      <c r="Z22" s="136" t="s">
        <v>1845</v>
      </c>
      <c r="AA22" s="136" t="s">
        <v>1846</v>
      </c>
      <c r="AB22" s="136" t="s">
        <v>1847</v>
      </c>
      <c r="AC22" s="136" t="s">
        <v>1848</v>
      </c>
      <c r="AD22" s="136" t="s">
        <v>1849</v>
      </c>
      <c r="AE22" s="136" t="s">
        <v>1850</v>
      </c>
      <c r="AF22" s="136" t="s">
        <v>1851</v>
      </c>
      <c r="AG22" s="136" t="s">
        <v>1852</v>
      </c>
      <c r="AH22" s="136" t="s">
        <v>1853</v>
      </c>
      <c r="AI22" s="136" t="s">
        <v>1854</v>
      </c>
    </row>
    <row r="23" spans="1:35" x14ac:dyDescent="0.25">
      <c r="A23" s="138" t="s">
        <v>1922</v>
      </c>
      <c r="B23" s="37">
        <f>B3/$V3</f>
        <v>1.1169256900453386</v>
      </c>
      <c r="C23" s="37">
        <f t="shared" ref="C23:AI31" si="17">C3/$V3</f>
        <v>1.0653105474202909</v>
      </c>
      <c r="D23" s="37">
        <f t="shared" si="17"/>
        <v>1.2501899576677942</v>
      </c>
      <c r="E23" s="37">
        <f t="shared" si="17"/>
        <v>1.1183767376024714</v>
      </c>
      <c r="F23" s="37">
        <f t="shared" si="17"/>
        <v>1.217500529840666</v>
      </c>
      <c r="G23" s="37">
        <f t="shared" si="17"/>
        <v>1.1159664985174118</v>
      </c>
      <c r="H23" s="37">
        <f t="shared" si="17"/>
        <v>1.2120544140294716</v>
      </c>
      <c r="I23" s="37">
        <f t="shared" si="17"/>
        <v>1.2616029972813025</v>
      </c>
      <c r="J23" s="37">
        <f t="shared" si="17"/>
        <v>1.1864405478068789</v>
      </c>
      <c r="K23" s="37">
        <f t="shared" si="17"/>
        <v>1.26479035094781</v>
      </c>
      <c r="L23" s="37">
        <f t="shared" si="17"/>
        <v>1.337184007396589</v>
      </c>
      <c r="M23" s="37">
        <f t="shared" si="17"/>
        <v>1.2751151271512591</v>
      </c>
      <c r="N23" s="37">
        <f t="shared" si="17"/>
        <v>1.2158429573456213</v>
      </c>
      <c r="O23" s="37">
        <f t="shared" si="17"/>
        <v>1.456212965150244</v>
      </c>
      <c r="P23" s="37">
        <f t="shared" si="17"/>
        <v>1.1621604836663504</v>
      </c>
      <c r="Q23" s="37">
        <f t="shared" si="17"/>
        <v>1.1058231996841315</v>
      </c>
      <c r="R23" s="37">
        <f t="shared" si="17"/>
        <v>0.98188900371682208</v>
      </c>
      <c r="S23" s="37">
        <f t="shared" si="17"/>
        <v>0.99515345010737044</v>
      </c>
      <c r="T23" s="37">
        <f t="shared" si="17"/>
        <v>1.0062620638006037</v>
      </c>
      <c r="U23" s="37">
        <f t="shared" si="17"/>
        <v>0.97917680281195918</v>
      </c>
      <c r="V23" s="37">
        <f t="shared" si="17"/>
        <v>1</v>
      </c>
      <c r="W23" s="37">
        <f t="shared" si="17"/>
        <v>1.0693967178863388</v>
      </c>
      <c r="X23" s="37">
        <f t="shared" si="17"/>
        <v>0.96333740110757693</v>
      </c>
      <c r="Y23" s="37">
        <f t="shared" si="17"/>
        <v>1.0687934147025162</v>
      </c>
      <c r="Z23" s="37">
        <f t="shared" si="17"/>
        <v>1.1351712363336142</v>
      </c>
      <c r="AA23" s="37">
        <f t="shared" si="17"/>
        <v>1.2956310741057329</v>
      </c>
      <c r="AB23" s="37">
        <f t="shared" si="17"/>
        <v>1.1660415212238406</v>
      </c>
      <c r="AC23" s="37">
        <f t="shared" si="17"/>
        <v>1.1695319970480693</v>
      </c>
      <c r="AD23" s="37">
        <f t="shared" si="17"/>
        <v>1.2897648643028408</v>
      </c>
      <c r="AE23" s="37">
        <f t="shared" si="17"/>
        <v>1.2504356352402084</v>
      </c>
      <c r="AF23" s="37">
        <f t="shared" si="17"/>
        <v>1.1363014253645047</v>
      </c>
      <c r="AG23" s="37">
        <f t="shared" si="17"/>
        <v>1.2507956691373499</v>
      </c>
      <c r="AH23" s="37">
        <f t="shared" si="17"/>
        <v>1.2655519141971254</v>
      </c>
      <c r="AI23" s="37">
        <f t="shared" si="17"/>
        <v>1.2598086858250133</v>
      </c>
    </row>
    <row r="24" spans="1:35" x14ac:dyDescent="0.25">
      <c r="A24" s="138" t="s">
        <v>1788</v>
      </c>
      <c r="B24" s="37">
        <f t="shared" ref="B24:Q31" si="18">B4/$V4</f>
        <v>1.227885269503274</v>
      </c>
      <c r="C24" s="37">
        <f t="shared" si="18"/>
        <v>1.3514672246516379</v>
      </c>
      <c r="D24" s="37">
        <f t="shared" si="18"/>
        <v>1.3067632455861375</v>
      </c>
      <c r="E24" s="37">
        <f t="shared" si="18"/>
        <v>1.1706398672318632</v>
      </c>
      <c r="F24" s="37">
        <f t="shared" si="18"/>
        <v>1.3171343906567443</v>
      </c>
      <c r="G24" s="37">
        <f t="shared" si="18"/>
        <v>1.328104558229684</v>
      </c>
      <c r="H24" s="37">
        <f t="shared" si="18"/>
        <v>1.342590661515207</v>
      </c>
      <c r="I24" s="37">
        <f t="shared" si="18"/>
        <v>1.4081653406082042</v>
      </c>
      <c r="J24" s="37">
        <f t="shared" si="18"/>
        <v>1.2052688900805435</v>
      </c>
      <c r="K24" s="37">
        <f t="shared" si="18"/>
        <v>0.89479749104234985</v>
      </c>
      <c r="L24" s="37">
        <f t="shared" si="18"/>
        <v>0.99435949216004005</v>
      </c>
      <c r="M24" s="37">
        <f t="shared" si="18"/>
        <v>0.84390949672854543</v>
      </c>
      <c r="N24" s="37">
        <f t="shared" si="18"/>
        <v>0.84488632443829137</v>
      </c>
      <c r="O24" s="37">
        <f t="shared" si="18"/>
        <v>1.0404243285453991</v>
      </c>
      <c r="P24" s="37">
        <f t="shared" si="18"/>
        <v>0.96030793526052516</v>
      </c>
      <c r="Q24" s="37">
        <f t="shared" si="18"/>
        <v>0.98562753977278639</v>
      </c>
      <c r="R24" s="37">
        <f t="shared" si="17"/>
        <v>0.74960102496676173</v>
      </c>
      <c r="S24" s="37">
        <f t="shared" si="17"/>
        <v>0.79723103070044554</v>
      </c>
      <c r="T24" s="37">
        <f t="shared" si="17"/>
        <v>0.84485102828484404</v>
      </c>
      <c r="U24" s="37">
        <f t="shared" si="17"/>
        <v>0.86408165291888273</v>
      </c>
      <c r="V24" s="37">
        <f t="shared" si="17"/>
        <v>1</v>
      </c>
      <c r="W24" s="37">
        <f t="shared" si="17"/>
        <v>0.94607475407197605</v>
      </c>
      <c r="X24" s="37">
        <f t="shared" si="17"/>
        <v>0.77977489216193085</v>
      </c>
      <c r="Y24" s="37">
        <f t="shared" si="17"/>
        <v>1.0079813590116196</v>
      </c>
      <c r="Z24" s="37">
        <f t="shared" si="17"/>
        <v>1.0735040522599124</v>
      </c>
      <c r="AA24" s="37">
        <f t="shared" si="17"/>
        <v>1.1348363002617381</v>
      </c>
      <c r="AB24" s="37">
        <f t="shared" si="17"/>
        <v>1.0474756862542074</v>
      </c>
      <c r="AC24" s="37">
        <f t="shared" si="17"/>
        <v>1.0990784867849108</v>
      </c>
      <c r="AD24" s="37">
        <f t="shared" si="17"/>
        <v>1.1798710510906292</v>
      </c>
      <c r="AE24" s="37">
        <f t="shared" si="17"/>
        <v>1.2069886383917174</v>
      </c>
      <c r="AF24" s="37">
        <f t="shared" si="17"/>
        <v>1.0895634821705309</v>
      </c>
      <c r="AG24" s="37">
        <f t="shared" si="17"/>
        <v>1.1092937522233308</v>
      </c>
      <c r="AH24" s="37">
        <f t="shared" si="17"/>
        <v>1.2218598960047435</v>
      </c>
      <c r="AI24" s="37">
        <f t="shared" si="17"/>
        <v>1.1334683212263272</v>
      </c>
    </row>
    <row r="25" spans="1:35" x14ac:dyDescent="0.25">
      <c r="A25" s="138" t="s">
        <v>1923</v>
      </c>
      <c r="B25" s="37">
        <f t="shared" si="18"/>
        <v>1.2530883278578906</v>
      </c>
      <c r="C25" s="37">
        <f t="shared" si="17"/>
        <v>1.2716920519817632</v>
      </c>
      <c r="D25" s="37">
        <f t="shared" si="17"/>
        <v>1.001542411543642</v>
      </c>
      <c r="E25" s="37">
        <f t="shared" si="17"/>
        <v>1.0014168974371518</v>
      </c>
      <c r="F25" s="37">
        <f t="shared" si="17"/>
        <v>1.0438626465279408</v>
      </c>
      <c r="G25" s="37">
        <f t="shared" si="17"/>
        <v>0.88481889545542747</v>
      </c>
      <c r="H25" s="37">
        <f t="shared" si="17"/>
        <v>0.97538840606583088</v>
      </c>
      <c r="I25" s="37">
        <f t="shared" si="17"/>
        <v>0.95719159532356668</v>
      </c>
      <c r="J25" s="37">
        <f t="shared" si="17"/>
        <v>0.99296688743060035</v>
      </c>
      <c r="K25" s="37">
        <f t="shared" si="17"/>
        <v>0.92296656596165416</v>
      </c>
      <c r="L25" s="37">
        <f t="shared" si="17"/>
        <v>1.0858454727783078</v>
      </c>
      <c r="M25" s="37">
        <f t="shared" si="17"/>
        <v>0.9107554451502955</v>
      </c>
      <c r="N25" s="37">
        <f t="shared" si="17"/>
        <v>1.0493472139992301</v>
      </c>
      <c r="O25" s="37">
        <f t="shared" si="17"/>
        <v>1.341826800415852</v>
      </c>
      <c r="P25" s="37">
        <f t="shared" si="17"/>
        <v>1.2616490956097575</v>
      </c>
      <c r="Q25" s="37">
        <f t="shared" si="17"/>
        <v>1.2141733491076734</v>
      </c>
      <c r="R25" s="37">
        <f t="shared" si="17"/>
        <v>1.0477575650317859</v>
      </c>
      <c r="S25" s="37">
        <f t="shared" si="17"/>
        <v>1.2587693261373416</v>
      </c>
      <c r="T25" s="37">
        <f t="shared" si="17"/>
        <v>1.2667814980047345</v>
      </c>
      <c r="U25" s="37">
        <f t="shared" si="17"/>
        <v>1.0613755083477499</v>
      </c>
      <c r="V25" s="37">
        <f t="shared" si="17"/>
        <v>1</v>
      </c>
      <c r="W25" s="37">
        <f t="shared" si="17"/>
        <v>1.0816303253423105</v>
      </c>
      <c r="X25" s="37">
        <f t="shared" si="17"/>
        <v>0.92562887335290656</v>
      </c>
      <c r="Y25" s="37">
        <f t="shared" si="17"/>
        <v>0.94653012788174962</v>
      </c>
      <c r="Z25" s="37">
        <f t="shared" si="17"/>
        <v>1.0021523994225714</v>
      </c>
      <c r="AA25" s="37">
        <f t="shared" si="17"/>
        <v>1.0444619720817478</v>
      </c>
      <c r="AB25" s="37">
        <f t="shared" si="17"/>
        <v>0.9530821497139248</v>
      </c>
      <c r="AC25" s="37">
        <f t="shared" si="17"/>
        <v>0.99787961092833632</v>
      </c>
      <c r="AD25" s="37">
        <f t="shared" si="17"/>
        <v>1.0236912579056234</v>
      </c>
      <c r="AE25" s="37">
        <f t="shared" si="17"/>
        <v>1.0414916039373652</v>
      </c>
      <c r="AF25" s="37">
        <f t="shared" si="17"/>
        <v>0.94707814387432632</v>
      </c>
      <c r="AG25" s="37">
        <f t="shared" si="17"/>
        <v>1.0264601372908451</v>
      </c>
      <c r="AH25" s="37">
        <f t="shared" si="17"/>
        <v>1.0291309622976124</v>
      </c>
      <c r="AI25" s="37">
        <f t="shared" si="17"/>
        <v>1.0766526380325456</v>
      </c>
    </row>
    <row r="26" spans="1:35" x14ac:dyDescent="0.25">
      <c r="A26" s="138" t="s">
        <v>1924</v>
      </c>
      <c r="B26" s="37">
        <f t="shared" si="18"/>
        <v>1.0938706178090061</v>
      </c>
      <c r="C26" s="37">
        <f t="shared" si="17"/>
        <v>1.0457859736295676</v>
      </c>
      <c r="D26" s="37">
        <f t="shared" si="17"/>
        <v>0.94899548450623672</v>
      </c>
      <c r="E26" s="37">
        <f t="shared" si="17"/>
        <v>0.9488211885320158</v>
      </c>
      <c r="F26" s="37">
        <f t="shared" si="17"/>
        <v>1.0718509626485286</v>
      </c>
      <c r="G26" s="37">
        <f t="shared" si="17"/>
        <v>0.98035048984829731</v>
      </c>
      <c r="H26" s="37">
        <f t="shared" si="17"/>
        <v>1.0879498254129965</v>
      </c>
      <c r="I26" s="37">
        <f t="shared" si="17"/>
        <v>1.1072732253424713</v>
      </c>
      <c r="J26" s="37">
        <f t="shared" si="17"/>
        <v>0.9832872037251138</v>
      </c>
      <c r="K26" s="37">
        <f t="shared" si="17"/>
        <v>1.0131573522682897</v>
      </c>
      <c r="L26" s="37">
        <f t="shared" si="17"/>
        <v>1.2215794252648724</v>
      </c>
      <c r="M26" s="37">
        <f t="shared" si="17"/>
        <v>1.1089094605122845</v>
      </c>
      <c r="N26" s="37">
        <f t="shared" si="17"/>
        <v>1.1103794018105555</v>
      </c>
      <c r="O26" s="37">
        <f t="shared" si="17"/>
        <v>1.3941647238794956</v>
      </c>
      <c r="P26" s="37">
        <f t="shared" si="17"/>
        <v>1.5109033135304637</v>
      </c>
      <c r="Q26" s="37">
        <f t="shared" si="17"/>
        <v>1.6077688767646243</v>
      </c>
      <c r="R26" s="37">
        <f t="shared" si="17"/>
        <v>1.115974320847998</v>
      </c>
      <c r="S26" s="37">
        <f t="shared" si="17"/>
        <v>1.1600486296102093</v>
      </c>
      <c r="T26" s="37">
        <f t="shared" si="17"/>
        <v>1.1627397632568379</v>
      </c>
      <c r="U26" s="37">
        <f t="shared" si="17"/>
        <v>1.1135733829387604</v>
      </c>
      <c r="V26" s="37">
        <f t="shared" si="17"/>
        <v>1</v>
      </c>
      <c r="W26" s="37">
        <f t="shared" si="17"/>
        <v>1.0996892453829663</v>
      </c>
      <c r="X26" s="37">
        <f t="shared" si="17"/>
        <v>1.0101090897799656</v>
      </c>
      <c r="Y26" s="37">
        <f t="shared" si="17"/>
        <v>1.0413070477442092</v>
      </c>
      <c r="Z26" s="37">
        <f t="shared" si="17"/>
        <v>1.1557606183080333</v>
      </c>
      <c r="AA26" s="37">
        <f t="shared" si="17"/>
        <v>1.2067558107781233</v>
      </c>
      <c r="AB26" s="37">
        <f t="shared" si="17"/>
        <v>1.1313397291399427</v>
      </c>
      <c r="AC26" s="37">
        <f t="shared" si="17"/>
        <v>1.0660174922018304</v>
      </c>
      <c r="AD26" s="37">
        <f t="shared" si="17"/>
        <v>1.195295491567067</v>
      </c>
      <c r="AE26" s="37">
        <f t="shared" si="17"/>
        <v>1.2038126380614689</v>
      </c>
      <c r="AF26" s="37">
        <f t="shared" si="17"/>
        <v>1.0859328687442824</v>
      </c>
      <c r="AG26" s="37">
        <f t="shared" si="17"/>
        <v>1.1418335272590683</v>
      </c>
      <c r="AH26" s="37">
        <f t="shared" si="17"/>
        <v>1.1682489652712948</v>
      </c>
      <c r="AI26" s="37">
        <f t="shared" si="17"/>
        <v>1.1788543562127614</v>
      </c>
    </row>
    <row r="27" spans="1:35" x14ac:dyDescent="0.25">
      <c r="A27" s="138" t="s">
        <v>1939</v>
      </c>
      <c r="B27" s="37">
        <f t="shared" si="18"/>
        <v>0.99608226841731962</v>
      </c>
      <c r="C27" s="37">
        <f t="shared" si="17"/>
        <v>1.0056293052937857</v>
      </c>
      <c r="D27" s="37">
        <f t="shared" si="17"/>
        <v>1.0420786290618895</v>
      </c>
      <c r="E27" s="37">
        <f t="shared" si="17"/>
        <v>0.97786621185173461</v>
      </c>
      <c r="F27" s="37">
        <f t="shared" si="17"/>
        <v>0.99768490084232908</v>
      </c>
      <c r="G27" s="37">
        <f t="shared" si="17"/>
        <v>0.91494490562753128</v>
      </c>
      <c r="H27" s="37">
        <f t="shared" si="17"/>
        <v>1.020128573166277</v>
      </c>
      <c r="I27" s="37">
        <f t="shared" si="17"/>
        <v>1.0481452093008099</v>
      </c>
      <c r="J27" s="37">
        <f t="shared" si="17"/>
        <v>0.92610362929973866</v>
      </c>
      <c r="K27" s="37">
        <f t="shared" si="17"/>
        <v>1.0638496577767722</v>
      </c>
      <c r="L27" s="37">
        <f t="shared" si="17"/>
        <v>1.0010934355267946</v>
      </c>
      <c r="M27" s="37">
        <f t="shared" si="17"/>
        <v>0.86629082181154671</v>
      </c>
      <c r="N27" s="37">
        <f t="shared" si="17"/>
        <v>0.86446836653925518</v>
      </c>
      <c r="O27" s="37">
        <f t="shared" si="17"/>
        <v>0.96373361583781714</v>
      </c>
      <c r="P27" s="37">
        <f t="shared" si="17"/>
        <v>0.98601413227220014</v>
      </c>
      <c r="Q27" s="37">
        <f t="shared" si="17"/>
        <v>1.0198287438076501</v>
      </c>
      <c r="R27" s="37">
        <f t="shared" si="17"/>
        <v>0.86630283463201208</v>
      </c>
      <c r="S27" s="37">
        <f t="shared" si="17"/>
        <v>0.99838077564045979</v>
      </c>
      <c r="T27" s="37">
        <f t="shared" si="17"/>
        <v>0.96979078928820805</v>
      </c>
      <c r="U27" s="37">
        <f t="shared" si="17"/>
        <v>1.0159227020089285</v>
      </c>
      <c r="V27" s="37">
        <f t="shared" si="17"/>
        <v>1</v>
      </c>
      <c r="W27" s="37">
        <f t="shared" si="17"/>
        <v>1.070515638013809</v>
      </c>
      <c r="X27" s="37">
        <f t="shared" si="17"/>
        <v>0.95672980866101454</v>
      </c>
      <c r="Y27" s="37">
        <f t="shared" si="17"/>
        <v>0.9486071667960726</v>
      </c>
      <c r="Z27" s="37">
        <f t="shared" si="17"/>
        <v>1.107345435671252</v>
      </c>
      <c r="AA27" s="37">
        <f t="shared" si="17"/>
        <v>0.96577217675841642</v>
      </c>
      <c r="AB27" s="37">
        <f t="shared" si="17"/>
        <v>0.90608937430605174</v>
      </c>
      <c r="AC27" s="37">
        <f t="shared" si="17"/>
        <v>0.87861131733482356</v>
      </c>
      <c r="AD27" s="37">
        <f t="shared" si="17"/>
        <v>0.96998134623503496</v>
      </c>
      <c r="AE27" s="37">
        <f t="shared" si="17"/>
        <v>0.91780577276721709</v>
      </c>
      <c r="AF27" s="37">
        <f t="shared" si="17"/>
        <v>0.81521318892344896</v>
      </c>
      <c r="AG27" s="37">
        <f t="shared" si="17"/>
        <v>0.90009237837090716</v>
      </c>
      <c r="AH27" s="37">
        <f t="shared" si="17"/>
        <v>0.925532364623463</v>
      </c>
      <c r="AI27" s="37">
        <f t="shared" si="17"/>
        <v>0.86938234467706377</v>
      </c>
    </row>
    <row r="28" spans="1:35" x14ac:dyDescent="0.25">
      <c r="A28" s="138" t="s">
        <v>1925</v>
      </c>
      <c r="B28" s="37">
        <f t="shared" si="18"/>
        <v>1.0823085384793603</v>
      </c>
      <c r="C28" s="37">
        <f t="shared" si="17"/>
        <v>1.0679886539227634</v>
      </c>
      <c r="D28" s="37">
        <f t="shared" si="17"/>
        <v>1.1109959694838216</v>
      </c>
      <c r="E28" s="37">
        <f t="shared" si="17"/>
        <v>1.1428310607264178</v>
      </c>
      <c r="F28" s="37">
        <f t="shared" si="17"/>
        <v>1.1246655015335478</v>
      </c>
      <c r="G28" s="37">
        <f t="shared" si="17"/>
        <v>1.088984488491618</v>
      </c>
      <c r="H28" s="37">
        <f t="shared" si="17"/>
        <v>1.1215933128266977</v>
      </c>
      <c r="I28" s="37">
        <f t="shared" si="17"/>
        <v>1.2006448521248747</v>
      </c>
      <c r="J28" s="37">
        <f t="shared" si="17"/>
        <v>1.1289250058365474</v>
      </c>
      <c r="K28" s="37">
        <f t="shared" si="17"/>
        <v>1.2295328885432872</v>
      </c>
      <c r="L28" s="37">
        <f t="shared" si="17"/>
        <v>1.3103528871782451</v>
      </c>
      <c r="M28" s="37">
        <f t="shared" si="17"/>
        <v>1.2505163938029984</v>
      </c>
      <c r="N28" s="37">
        <f t="shared" si="17"/>
        <v>1.2856987362737222</v>
      </c>
      <c r="O28" s="37">
        <f t="shared" si="17"/>
        <v>1.3532682230168078</v>
      </c>
      <c r="P28" s="37">
        <f t="shared" si="17"/>
        <v>1.4174665369148078</v>
      </c>
      <c r="Q28" s="37">
        <f t="shared" si="17"/>
        <v>1.1636170939835426</v>
      </c>
      <c r="R28" s="37">
        <f t="shared" si="17"/>
        <v>1.0372173236742099</v>
      </c>
      <c r="S28" s="37">
        <f t="shared" si="17"/>
        <v>1.090527818934041</v>
      </c>
      <c r="T28" s="37">
        <f t="shared" si="17"/>
        <v>1.0623512643523998</v>
      </c>
      <c r="U28" s="37">
        <f t="shared" si="17"/>
        <v>1.0355678514773974</v>
      </c>
      <c r="V28" s="37">
        <f t="shared" si="17"/>
        <v>1</v>
      </c>
      <c r="W28" s="37">
        <f t="shared" si="17"/>
        <v>0.99960759426841261</v>
      </c>
      <c r="X28" s="37">
        <f t="shared" si="17"/>
        <v>0.86258825846814702</v>
      </c>
      <c r="Y28" s="37">
        <f t="shared" si="17"/>
        <v>0.92211690448237293</v>
      </c>
      <c r="Z28" s="37">
        <f t="shared" si="17"/>
        <v>0.90874575179190409</v>
      </c>
      <c r="AA28" s="37">
        <f t="shared" si="17"/>
        <v>0.94270586747387075</v>
      </c>
      <c r="AB28" s="37">
        <f t="shared" si="17"/>
        <v>0.89797617018300147</v>
      </c>
      <c r="AC28" s="37">
        <f t="shared" si="17"/>
        <v>0.91114465979441495</v>
      </c>
      <c r="AD28" s="37">
        <f t="shared" si="17"/>
        <v>0.95765016176528239</v>
      </c>
      <c r="AE28" s="37">
        <f t="shared" si="17"/>
        <v>0.94630322997776806</v>
      </c>
      <c r="AF28" s="37">
        <f t="shared" si="17"/>
        <v>0.83817528550094289</v>
      </c>
      <c r="AG28" s="37">
        <f t="shared" si="17"/>
        <v>0.89845987620727163</v>
      </c>
      <c r="AH28" s="37">
        <f t="shared" si="17"/>
        <v>0.92137224179185706</v>
      </c>
      <c r="AI28" s="37">
        <f t="shared" si="17"/>
        <v>0.88868639938938365</v>
      </c>
    </row>
    <row r="29" spans="1:35" x14ac:dyDescent="0.25">
      <c r="A29" s="138" t="s">
        <v>1940</v>
      </c>
      <c r="B29" s="37">
        <f t="shared" si="18"/>
        <v>1.0533107007146256</v>
      </c>
      <c r="C29" s="37">
        <f t="shared" si="17"/>
        <v>1.0280739396394427</v>
      </c>
      <c r="D29" s="37">
        <f t="shared" si="17"/>
        <v>1.0784402069972177</v>
      </c>
      <c r="E29" s="37">
        <f t="shared" si="17"/>
        <v>1.0727260677818387</v>
      </c>
      <c r="F29" s="37">
        <f t="shared" si="17"/>
        <v>1.1829737606878377</v>
      </c>
      <c r="G29" s="37">
        <f t="shared" si="17"/>
        <v>1.1567343323146249</v>
      </c>
      <c r="H29" s="37">
        <f t="shared" si="17"/>
        <v>1.2154395497732402</v>
      </c>
      <c r="I29" s="37">
        <f t="shared" si="17"/>
        <v>1.0850613356866243</v>
      </c>
      <c r="J29" s="37">
        <f t="shared" si="17"/>
        <v>1.0073067073655266</v>
      </c>
      <c r="K29" s="37">
        <f t="shared" si="17"/>
        <v>1.0559388858989791</v>
      </c>
      <c r="L29" s="37">
        <f t="shared" si="17"/>
        <v>1.1101044778107634</v>
      </c>
      <c r="M29" s="37">
        <f t="shared" si="17"/>
        <v>1.0722617203659344</v>
      </c>
      <c r="N29" s="37">
        <f t="shared" si="17"/>
        <v>1.1275349096991338</v>
      </c>
      <c r="O29" s="37">
        <f t="shared" si="17"/>
        <v>1.1740874834039621</v>
      </c>
      <c r="P29" s="37">
        <f t="shared" si="17"/>
        <v>1.1306246828513098</v>
      </c>
      <c r="Q29" s="37">
        <f t="shared" si="17"/>
        <v>1.134120568986192</v>
      </c>
      <c r="R29" s="37">
        <f t="shared" si="17"/>
        <v>1.0228839266170917</v>
      </c>
      <c r="S29" s="37">
        <f t="shared" si="17"/>
        <v>1.0728788201302397</v>
      </c>
      <c r="T29" s="37">
        <f t="shared" si="17"/>
        <v>1.1049079902671655</v>
      </c>
      <c r="U29" s="37">
        <f t="shared" si="17"/>
        <v>1.0214237544868883</v>
      </c>
      <c r="V29" s="37">
        <f t="shared" si="17"/>
        <v>1</v>
      </c>
      <c r="W29" s="37">
        <f t="shared" si="17"/>
        <v>0.97917687957234867</v>
      </c>
      <c r="X29" s="37">
        <f t="shared" si="17"/>
        <v>0.8612019856196651</v>
      </c>
      <c r="Y29" s="37">
        <f t="shared" si="17"/>
        <v>0.99904878985872458</v>
      </c>
      <c r="Z29" s="37">
        <f t="shared" si="17"/>
        <v>1.0709636708853134</v>
      </c>
      <c r="AA29" s="37">
        <f t="shared" si="17"/>
        <v>1.113583987630516</v>
      </c>
      <c r="AB29" s="37">
        <f t="shared" si="17"/>
        <v>1.0407496942225181</v>
      </c>
      <c r="AC29" s="37">
        <f t="shared" si="17"/>
        <v>1.0719295671062088</v>
      </c>
      <c r="AD29" s="37">
        <f t="shared" si="17"/>
        <v>1.2035473647571111</v>
      </c>
      <c r="AE29" s="37">
        <f t="shared" si="17"/>
        <v>1.1801474490222892</v>
      </c>
      <c r="AF29" s="37">
        <f t="shared" si="17"/>
        <v>1.0612924608953356</v>
      </c>
      <c r="AG29" s="37">
        <f t="shared" si="17"/>
        <v>1.1317470126183664</v>
      </c>
      <c r="AH29" s="37">
        <f t="shared" si="17"/>
        <v>1.2041423090577417</v>
      </c>
      <c r="AI29" s="37">
        <f t="shared" si="17"/>
        <v>1.143175148333238</v>
      </c>
    </row>
    <row r="30" spans="1:35" x14ac:dyDescent="0.25">
      <c r="A30" s="138" t="s">
        <v>1926</v>
      </c>
      <c r="B30" s="37">
        <f t="shared" si="18"/>
        <v>1.1993945317337771</v>
      </c>
      <c r="C30" s="37">
        <f t="shared" si="17"/>
        <v>1.2498182427060598</v>
      </c>
      <c r="D30" s="37">
        <f t="shared" si="17"/>
        <v>1.1704430336286413</v>
      </c>
      <c r="E30" s="37">
        <f t="shared" si="17"/>
        <v>1.2246782835304795</v>
      </c>
      <c r="F30" s="37">
        <f t="shared" si="17"/>
        <v>1.490099009124898</v>
      </c>
      <c r="G30" s="37">
        <f t="shared" si="17"/>
        <v>1.3617047291639492</v>
      </c>
      <c r="H30" s="37">
        <f t="shared" si="17"/>
        <v>1.4873406830096625</v>
      </c>
      <c r="I30" s="37">
        <f t="shared" si="17"/>
        <v>1.4474157953217004</v>
      </c>
      <c r="J30" s="37">
        <f t="shared" si="17"/>
        <v>1.2397636140740869</v>
      </c>
      <c r="K30" s="37">
        <f t="shared" si="17"/>
        <v>1.175379023948171</v>
      </c>
      <c r="L30" s="37">
        <f t="shared" si="17"/>
        <v>1.3174420477858302</v>
      </c>
      <c r="M30" s="37">
        <f t="shared" si="17"/>
        <v>1.3577758054783968</v>
      </c>
      <c r="N30" s="37">
        <f t="shared" si="17"/>
        <v>1.2503313411185715</v>
      </c>
      <c r="O30" s="37">
        <f t="shared" si="17"/>
        <v>1.3954236759968435</v>
      </c>
      <c r="P30" s="37">
        <f t="shared" si="17"/>
        <v>1.3060289956131013</v>
      </c>
      <c r="Q30" s="37">
        <f t="shared" si="17"/>
        <v>1.2336111394683391</v>
      </c>
      <c r="R30" s="37">
        <f t="shared" si="17"/>
        <v>1.0322301791398283</v>
      </c>
      <c r="S30" s="37">
        <f t="shared" si="17"/>
        <v>1.1342460644836421</v>
      </c>
      <c r="T30" s="37">
        <f t="shared" si="17"/>
        <v>1.0227487531827639</v>
      </c>
      <c r="U30" s="37">
        <f t="shared" si="17"/>
        <v>1.1365639386569846</v>
      </c>
      <c r="V30" s="37">
        <f t="shared" si="17"/>
        <v>1</v>
      </c>
      <c r="W30" s="37">
        <f t="shared" si="17"/>
        <v>0.94124143472824184</v>
      </c>
      <c r="X30" s="37">
        <f t="shared" si="17"/>
        <v>0.85553667684261558</v>
      </c>
      <c r="Y30" s="37">
        <f t="shared" si="17"/>
        <v>0.98665958680802812</v>
      </c>
      <c r="Z30" s="37">
        <f t="shared" si="17"/>
        <v>1.2268347125138923</v>
      </c>
      <c r="AA30" s="37">
        <f t="shared" si="17"/>
        <v>1.0861145980330023</v>
      </c>
      <c r="AB30" s="37">
        <f t="shared" si="17"/>
        <v>0.93422497729165677</v>
      </c>
      <c r="AC30" s="37">
        <f t="shared" si="17"/>
        <v>0.94529114546812021</v>
      </c>
      <c r="AD30" s="37">
        <f t="shared" si="17"/>
        <v>1.0660240257549183</v>
      </c>
      <c r="AE30" s="37">
        <f t="shared" si="17"/>
        <v>1.0187320531617761</v>
      </c>
      <c r="AF30" s="37">
        <f t="shared" si="17"/>
        <v>0.87634576582912715</v>
      </c>
      <c r="AG30" s="37">
        <f t="shared" si="17"/>
        <v>1.0236008856630667</v>
      </c>
      <c r="AH30" s="37">
        <f t="shared" si="17"/>
        <v>1.0074436773552007</v>
      </c>
      <c r="AI30" s="37">
        <f t="shared" si="17"/>
        <v>0.95973742646379079</v>
      </c>
    </row>
    <row r="31" spans="1:35" x14ac:dyDescent="0.25">
      <c r="A31" s="138" t="s">
        <v>1927</v>
      </c>
      <c r="B31" s="37">
        <f t="shared" si="18"/>
        <v>0.91350657990646389</v>
      </c>
      <c r="C31" s="37">
        <f t="shared" si="17"/>
        <v>1.0245597333711345</v>
      </c>
      <c r="D31" s="37">
        <f t="shared" si="17"/>
        <v>1.1584205375879346</v>
      </c>
      <c r="E31" s="37">
        <f t="shared" si="17"/>
        <v>1.0763196501848187</v>
      </c>
      <c r="F31" s="37">
        <f t="shared" si="17"/>
        <v>1.0724557066051601</v>
      </c>
      <c r="G31" s="37">
        <f t="shared" si="17"/>
        <v>0.94562599119544077</v>
      </c>
      <c r="H31" s="37">
        <f t="shared" si="17"/>
        <v>1.0515559430004662</v>
      </c>
      <c r="I31" s="37">
        <f t="shared" ref="I31:AI31" si="19">I11/$V11</f>
        <v>1.1218308718988521</v>
      </c>
      <c r="J31" s="37">
        <f t="shared" si="19"/>
        <v>1.2024597754905892</v>
      </c>
      <c r="K31" s="37">
        <f t="shared" si="19"/>
        <v>1.1201009882496964</v>
      </c>
      <c r="L31" s="37">
        <f t="shared" si="19"/>
        <v>1.2175819252809137</v>
      </c>
      <c r="M31" s="37">
        <f t="shared" si="19"/>
        <v>1.2566041410234876</v>
      </c>
      <c r="N31" s="37">
        <f t="shared" si="19"/>
        <v>1.1678625343974585</v>
      </c>
      <c r="O31" s="37">
        <f t="shared" si="19"/>
        <v>1.2352207146823837</v>
      </c>
      <c r="P31" s="37">
        <f t="shared" si="19"/>
        <v>1.3210624748285869</v>
      </c>
      <c r="Q31" s="37">
        <f t="shared" si="19"/>
        <v>1.1424951021503016</v>
      </c>
      <c r="R31" s="37">
        <f t="shared" si="19"/>
        <v>1.0778916022697267</v>
      </c>
      <c r="S31" s="37">
        <f t="shared" si="19"/>
        <v>1.0857859397272738</v>
      </c>
      <c r="T31" s="37">
        <f t="shared" si="19"/>
        <v>0.98921972604763253</v>
      </c>
      <c r="U31" s="37">
        <f t="shared" si="19"/>
        <v>1.0691895577330746</v>
      </c>
      <c r="V31" s="37">
        <f t="shared" si="19"/>
        <v>1</v>
      </c>
      <c r="W31" s="37">
        <f t="shared" si="19"/>
        <v>1.0247567197504024</v>
      </c>
      <c r="X31" s="37">
        <f t="shared" si="19"/>
        <v>0.96762475655675173</v>
      </c>
      <c r="Y31" s="37">
        <f t="shared" si="19"/>
        <v>1.217737283010865</v>
      </c>
      <c r="Z31" s="37">
        <f t="shared" si="19"/>
        <v>1.271381827622212</v>
      </c>
      <c r="AA31" s="37">
        <f t="shared" si="19"/>
        <v>1.5907769934050437</v>
      </c>
      <c r="AB31" s="37">
        <f t="shared" si="19"/>
        <v>1.3766525466120549</v>
      </c>
      <c r="AC31" s="37">
        <f t="shared" si="19"/>
        <v>1.2302894845186996</v>
      </c>
      <c r="AD31" s="37">
        <f t="shared" si="19"/>
        <v>1.4542540131384427</v>
      </c>
      <c r="AE31" s="37">
        <f t="shared" si="19"/>
        <v>1.4158492993078928</v>
      </c>
      <c r="AF31" s="37">
        <f t="shared" si="19"/>
        <v>1.4054213504546405</v>
      </c>
      <c r="AG31" s="37">
        <f t="shared" si="19"/>
        <v>1.4746805360458219</v>
      </c>
      <c r="AH31" s="37">
        <f t="shared" si="19"/>
        <v>1.4791435701472204</v>
      </c>
      <c r="AI31" s="37">
        <f t="shared" si="19"/>
        <v>1.3912264398798531</v>
      </c>
    </row>
    <row r="34" spans="1:49" x14ac:dyDescent="0.25">
      <c r="A34" t="s">
        <v>2012</v>
      </c>
      <c r="AO34" t="s">
        <v>2187</v>
      </c>
      <c r="AU34" t="s">
        <v>2188</v>
      </c>
    </row>
    <row r="35" spans="1:49" x14ac:dyDescent="0.25">
      <c r="A35" s="136" t="s">
        <v>1786</v>
      </c>
      <c r="B35" s="136" t="s">
        <v>1821</v>
      </c>
      <c r="C35" s="136" t="s">
        <v>1822</v>
      </c>
      <c r="D35" s="136" t="s">
        <v>1823</v>
      </c>
      <c r="E35" s="136" t="s">
        <v>1824</v>
      </c>
      <c r="F35" s="136" t="s">
        <v>1825</v>
      </c>
      <c r="G35" s="136" t="s">
        <v>1826</v>
      </c>
      <c r="H35" s="136" t="s">
        <v>1827</v>
      </c>
      <c r="I35" s="136" t="s">
        <v>1828</v>
      </c>
      <c r="J35" s="136" t="s">
        <v>1829</v>
      </c>
      <c r="K35" s="136" t="s">
        <v>1830</v>
      </c>
      <c r="L35" s="136" t="s">
        <v>1831</v>
      </c>
      <c r="M35" s="136" t="s">
        <v>1832</v>
      </c>
      <c r="N35" s="136" t="s">
        <v>1833</v>
      </c>
      <c r="O35" s="136" t="s">
        <v>1834</v>
      </c>
      <c r="P35" s="136" t="s">
        <v>1835</v>
      </c>
      <c r="Q35" s="136" t="s">
        <v>1836</v>
      </c>
      <c r="R35" s="136" t="s">
        <v>1837</v>
      </c>
      <c r="S35" s="136" t="s">
        <v>1838</v>
      </c>
      <c r="T35" s="136" t="s">
        <v>1839</v>
      </c>
      <c r="U35" s="136" t="s">
        <v>1840</v>
      </c>
      <c r="V35" s="136" t="s">
        <v>1841</v>
      </c>
      <c r="W35" s="136" t="s">
        <v>1842</v>
      </c>
      <c r="X35" s="136" t="s">
        <v>1843</v>
      </c>
      <c r="Y35" s="136" t="s">
        <v>1844</v>
      </c>
      <c r="Z35" s="136" t="s">
        <v>1845</v>
      </c>
      <c r="AA35" s="136" t="s">
        <v>1846</v>
      </c>
      <c r="AB35" s="136" t="s">
        <v>1847</v>
      </c>
      <c r="AC35" s="136" t="s">
        <v>1848</v>
      </c>
      <c r="AD35" s="136" t="s">
        <v>1849</v>
      </c>
      <c r="AE35" s="136" t="s">
        <v>1850</v>
      </c>
      <c r="AF35" s="136" t="s">
        <v>1851</v>
      </c>
      <c r="AG35" s="136" t="s">
        <v>1852</v>
      </c>
      <c r="AH35" s="136" t="s">
        <v>1853</v>
      </c>
      <c r="AI35" s="136" t="s">
        <v>1854</v>
      </c>
      <c r="AJ35" s="116" t="s">
        <v>2013</v>
      </c>
      <c r="AK35" s="116" t="s">
        <v>1983</v>
      </c>
      <c r="AL35" s="116" t="s">
        <v>2023</v>
      </c>
      <c r="AM35" s="116" t="s">
        <v>1986</v>
      </c>
      <c r="AN35" s="116" t="s">
        <v>2047</v>
      </c>
      <c r="AO35" s="239" t="s">
        <v>2184</v>
      </c>
      <c r="AP35" s="239" t="s">
        <v>2185</v>
      </c>
      <c r="AQ35" s="239" t="s">
        <v>1984</v>
      </c>
      <c r="AR35" s="239" t="s">
        <v>2181</v>
      </c>
      <c r="AS35" s="262" t="s">
        <v>2182</v>
      </c>
      <c r="AT35" s="262" t="s">
        <v>2183</v>
      </c>
      <c r="AU35" s="239" t="s">
        <v>2184</v>
      </c>
      <c r="AV35" s="239" t="s">
        <v>2182</v>
      </c>
      <c r="AW35" s="239" t="s">
        <v>2183</v>
      </c>
    </row>
    <row r="36" spans="1:49" x14ac:dyDescent="0.25">
      <c r="A36" s="138" t="s">
        <v>1922</v>
      </c>
      <c r="B36" s="37">
        <f>$AJ36*'NE HDD'!B3+$AK36</f>
        <v>3.8207429728301108</v>
      </c>
      <c r="C36" s="37">
        <f>$AJ36*'NE HDD'!C3+$AK36</f>
        <v>3.8488286946216963</v>
      </c>
      <c r="D36" s="37">
        <f>$AJ36*'NE HDD'!D3+$AK36</f>
        <v>4.0853262211097201</v>
      </c>
      <c r="E36" s="37">
        <f>$AJ36*'NE HDD'!E3+$AK36</f>
        <v>4.0569780159369042</v>
      </c>
      <c r="F36" s="37">
        <f>$AJ36*'NE HDD'!F3+$AK36</f>
        <v>4.0493659978812415</v>
      </c>
      <c r="G36" s="37">
        <f>$AJ36*'NE HDD'!G3+$AK36</f>
        <v>4.0241675932831829</v>
      </c>
      <c r="H36" s="37">
        <f>$AJ36*'NE HDD'!H3+$AK36</f>
        <v>4.0569780159369042</v>
      </c>
      <c r="I36" s="37">
        <f>$AJ36*'NE HDD'!I3+$AK36</f>
        <v>4.0228551763770346</v>
      </c>
      <c r="J36" s="37">
        <f>$AJ36*'NE HDD'!J3+$AK36</f>
        <v>3.7855701997453215</v>
      </c>
      <c r="K36" s="37">
        <f>$AJ36*'NE HDD'!K3+$AK36</f>
        <v>3.8847889178501749</v>
      </c>
      <c r="L36" s="37">
        <f>$AJ36*'NE HDD'!L3+$AK36</f>
        <v>4.0144557081776817</v>
      </c>
      <c r="M36" s="37">
        <f>$AJ36*'NE HDD'!M3+$AK36</f>
        <v>3.9000129539615016</v>
      </c>
      <c r="N36" s="37">
        <f>$AJ36*'NE HDD'!N3+$AK36</f>
        <v>3.906575038492246</v>
      </c>
      <c r="O36" s="37">
        <f>$AJ36*'NE HDD'!O3+$AK36</f>
        <v>4.1063248916081019</v>
      </c>
      <c r="P36" s="37">
        <f>$AJ36*'NE HDD'!P3+$AK36</f>
        <v>4.024955043426873</v>
      </c>
      <c r="Q36" s="37">
        <f>$AJ36*'NE HDD'!Q3+$AK36</f>
        <v>4.0328295448637661</v>
      </c>
      <c r="R36" s="37">
        <f>$AJ36*'NE HDD'!R3+$AK36</f>
        <v>3.8328172083666803</v>
      </c>
      <c r="S36" s="37">
        <f>$AJ36*'NE HDD'!S3+$AK36</f>
        <v>3.9716709170372289</v>
      </c>
      <c r="T36" s="37">
        <f>$AJ36*'NE HDD'!T3+$AK36</f>
        <v>3.9619590319317277</v>
      </c>
      <c r="U36" s="37">
        <f>$AJ36*'NE HDD'!U3+$AK36</f>
        <v>4.0131432912715326</v>
      </c>
      <c r="V36" s="37">
        <f>$AJ36*'NE HDD'!V3+$AK36</f>
        <v>3.8611654135394957</v>
      </c>
      <c r="W36" s="37">
        <f>$AJ36*'NE HDD'!W3+$AK36</f>
        <v>3.882426567419107</v>
      </c>
      <c r="X36" s="37">
        <f>$AJ36*'NE HDD'!X3+$AK36</f>
        <v>3.7309736564495291</v>
      </c>
      <c r="Y36" s="37">
        <f>$AJ36*'NE HDD'!Y3+$AK36</f>
        <v>3.9677336663187823</v>
      </c>
      <c r="Z36" s="37">
        <f>$AJ36*'NE HDD'!Z3+$AK36</f>
        <v>4.0399165961569699</v>
      </c>
      <c r="AA36" s="37">
        <f>$AJ36*'NE HDD'!AA3+$AK36</f>
        <v>3.9698335333686208</v>
      </c>
      <c r="AB36" s="37">
        <f>$AJ36*'NE HDD'!AB3+$AK36</f>
        <v>3.8191680725427322</v>
      </c>
      <c r="AC36" s="37">
        <f>$AJ36*'NE HDD'!AC3+$AK36</f>
        <v>3.8391168095161947</v>
      </c>
      <c r="AD36" s="37">
        <f>$AJ36*'NE HDD'!AD3+$AK36</f>
        <v>3.9175993405038962</v>
      </c>
      <c r="AE36" s="37">
        <f>$AJ36*'NE HDD'!AE3+$AK36</f>
        <v>3.9695710499873909</v>
      </c>
      <c r="AF36" s="37">
        <f>$AJ36*'NE HDD'!AF3+$AK36</f>
        <v>3.8139184049181365</v>
      </c>
      <c r="AG36" s="37">
        <f>$AJ36*'NE HDD'!AG3+$AK36</f>
        <v>3.8312423080793017</v>
      </c>
      <c r="AH36" s="37">
        <f>$AJ36*'NE HDD'!AH3+$AK36</f>
        <v>3.8882012018061616</v>
      </c>
      <c r="AI36" s="37">
        <f>$AJ36*'NE HDD'!AI3+$AK36</f>
        <v>3.7475101094670045</v>
      </c>
      <c r="AJ36" s="271">
        <f>INDEX(LINEST(B3:AI3,'NE HDD'!B3:AI3,TRUE,TRUE),1,1)</f>
        <v>2.6248338122977099E-4</v>
      </c>
      <c r="AK36" s="271">
        <f>INDEX(LINEST(B3:AI3,'NE HDD'!B3:AI3,TRUE,TRUE),1,2)</f>
        <v>2.4112072156262405</v>
      </c>
      <c r="AL36" s="271">
        <f>INDEX(LINEST(B3:AI3,'NE HDD'!B3:AI3,TRUE,TRUE),3,1)</f>
        <v>6.7229231985224513E-2</v>
      </c>
      <c r="AM36" s="271">
        <f>INDEX(LINEST(B3:AI3,'NE HDD'!B3:AI3,TRUE,TRUE),4,1)</f>
        <v>2.3063924141897063</v>
      </c>
      <c r="AN36" s="273">
        <f t="shared" ref="AN36:AN44" si="20">_xlfn.F.DIST.RT(AM36,1,32)</f>
        <v>0.13866196229387651</v>
      </c>
      <c r="AO36" s="271">
        <f>INDEX(LINEST($B3:$AI3,'NE HDD'!$B3:$AI3,TRUE,TRUE),1,1)</f>
        <v>2.6248338122977099E-4</v>
      </c>
      <c r="AP36" s="271">
        <f>INDEX(LINEST($B3:$AI3,'NE HDD'!$B3:$AI3,TRUE,TRUE),2,1)</f>
        <v>1.7283639981620683E-4</v>
      </c>
      <c r="AQ36" s="271">
        <f>INDEX(LINEST($B36:$AI36,'NE HDD'!$B3:$AI3,TRUE,TRUE),4,2)</f>
        <v>32</v>
      </c>
      <c r="AR36" s="271">
        <f t="shared" ref="AR36:AR44" si="21">_xlfn.T.INV.2T(0.05,AQ36)</f>
        <v>2.0369333434601011</v>
      </c>
      <c r="AS36" s="272">
        <f t="shared" ref="AS36" si="22">+AO36-AR36*AP36</f>
        <v>-8.9572844519462014E-5</v>
      </c>
      <c r="AT36" s="272">
        <f t="shared" ref="AT36:AT44" si="23">AO36+AP36*AR36</f>
        <v>6.1453960697900405E-4</v>
      </c>
      <c r="AU36" s="271">
        <f t="shared" ref="AU36" si="24">AO36/AVERAGE(B3:AI3)</f>
        <v>6.6760325183324622E-5</v>
      </c>
      <c r="AV36" s="271">
        <f t="shared" ref="AV36" si="25">AS3/AVERAGE(B3:AI3)</f>
        <v>1.7260078976313372E-2</v>
      </c>
      <c r="AW36" s="271">
        <f t="shared" ref="AW36" si="26">AT36/AVERAGE(B3:AI3)</f>
        <v>1.5630271070013758E-4</v>
      </c>
    </row>
    <row r="37" spans="1:49" x14ac:dyDescent="0.25">
      <c r="A37" s="138" t="s">
        <v>1788</v>
      </c>
      <c r="B37" s="37">
        <f>$AJ37*'NE HDD'!B4+$AK37</f>
        <v>6.9741978285969228</v>
      </c>
      <c r="C37" s="37">
        <f>$AJ37*'NE HDD'!C4+$AK37</f>
        <v>7.0262268541136859</v>
      </c>
      <c r="D37" s="37">
        <f>$AJ37*'NE HDD'!D4+$AK37</f>
        <v>7.733209494959107</v>
      </c>
      <c r="E37" s="37">
        <f>$AJ37*'NE HDD'!E4+$AK37</f>
        <v>7.6084928602645139</v>
      </c>
      <c r="F37" s="37">
        <f>$AJ37*'NE HDD'!F4+$AK37</f>
        <v>7.553403303835001</v>
      </c>
      <c r="G37" s="37">
        <f>$AJ37*'NE HDD'!G4+$AK37</f>
        <v>7.5051999419591766</v>
      </c>
      <c r="H37" s="37">
        <f>$AJ37*'NE HDD'!H4+$AK37</f>
        <v>7.5664105602141918</v>
      </c>
      <c r="I37" s="37">
        <f>$AJ37*'NE HDD'!I4+$AK37</f>
        <v>7.5365703838148717</v>
      </c>
      <c r="J37" s="37">
        <f>$AJ37*'NE HDD'!J4+$AK37</f>
        <v>6.8196410175030104</v>
      </c>
      <c r="K37" s="37">
        <f>$AJ37*'NE HDD'!K4+$AK37</f>
        <v>7.0338781813955622</v>
      </c>
      <c r="L37" s="37">
        <f>$AJ37*'NE HDD'!L4+$AK37</f>
        <v>7.4355728636940972</v>
      </c>
      <c r="M37" s="37">
        <f>$AJ37*'NE HDD'!M4+$AK37</f>
        <v>7.1295197724190231</v>
      </c>
      <c r="N37" s="37">
        <f>$AJ37*'NE HDD'!N4+$AK37</f>
        <v>7.1279895069626482</v>
      </c>
      <c r="O37" s="37">
        <f>$AJ37*'NE HDD'!O4+$AK37</f>
        <v>7.7194371058517284</v>
      </c>
      <c r="P37" s="37">
        <f>$AJ37*'NE HDD'!P4+$AK37</f>
        <v>7.501374278318238</v>
      </c>
      <c r="Q37" s="37">
        <f>$AJ37*'NE HDD'!Q4+$AK37</f>
        <v>7.4768900310162323</v>
      </c>
      <c r="R37" s="37">
        <f>$AJ37*'NE HDD'!R4+$AK37</f>
        <v>6.8969194230499671</v>
      </c>
      <c r="S37" s="37">
        <f>$AJ37*'NE HDD'!S4+$AK37</f>
        <v>7.3613549890598922</v>
      </c>
      <c r="T37" s="37">
        <f>$AJ37*'NE HDD'!T4+$AK37</f>
        <v>7.2986141053485021</v>
      </c>
      <c r="U37" s="37">
        <f>$AJ37*'NE HDD'!U4+$AK37</f>
        <v>7.4501103855296638</v>
      </c>
      <c r="V37" s="37">
        <f>$AJ37*'NE HDD'!V4+$AK37</f>
        <v>6.9466530503821664</v>
      </c>
      <c r="W37" s="37">
        <f>$AJ37*'NE HDD'!W4+$AK37</f>
        <v>7.0530064996002544</v>
      </c>
      <c r="X37" s="37">
        <f>$AJ37*'NE HDD'!X4+$AK37</f>
        <v>6.6207065081742122</v>
      </c>
      <c r="Y37" s="37">
        <f>$AJ37*'NE HDD'!Y4+$AK37</f>
        <v>7.2879022471538741</v>
      </c>
      <c r="Z37" s="37">
        <f>$AJ37*'NE HDD'!Z4+$AK37</f>
        <v>7.4638827746370415</v>
      </c>
      <c r="AA37" s="37">
        <f>$AJ37*'NE HDD'!AA4+$AK37</f>
        <v>7.3644155199726429</v>
      </c>
      <c r="AB37" s="37">
        <f>$AJ37*'NE HDD'!AB4+$AK37</f>
        <v>6.9382365903721022</v>
      </c>
      <c r="AC37" s="37">
        <f>$AJ37*'NE HDD'!AC4+$AK37</f>
        <v>7.0032728722680551</v>
      </c>
      <c r="AD37" s="37">
        <f>$AJ37*'NE HDD'!AD4+$AK37</f>
        <v>7.2060330452377919</v>
      </c>
      <c r="AE37" s="37">
        <f>$AJ37*'NE HDD'!AE4+$AK37</f>
        <v>7.3468174672243256</v>
      </c>
      <c r="AF37" s="37">
        <f>$AJ37*'NE HDD'!AF4+$AK37</f>
        <v>6.803573230211069</v>
      </c>
      <c r="AG37" s="37">
        <f>$AJ37*'NE HDD'!AG4+$AK37</f>
        <v>6.7882705756473154</v>
      </c>
      <c r="AH37" s="37">
        <f>$AJ37*'NE HDD'!AH4+$AK37</f>
        <v>6.9359411921875394</v>
      </c>
      <c r="AI37" s="37">
        <f>$AJ37*'NE HDD'!AI4+$AK37</f>
        <v>6.5885709335903302</v>
      </c>
      <c r="AJ37" s="1">
        <f>INDEX(LINEST(B4:AI4,'NE HDD'!B4:AI4,TRUE,TRUE),1,1)</f>
        <v>7.6513272818768514E-4</v>
      </c>
      <c r="AK37" s="1">
        <f>INDEX(LINEST(B4:AI4,'NE HDD'!B4:AI4,TRUE,TRUE),1,2)</f>
        <v>2.5685635796922321</v>
      </c>
      <c r="AL37" s="1">
        <f>INDEX(LINEST(B4:AI4,'NE HDD'!B4:AI4,TRUE,TRUE),3,1)</f>
        <v>6.5866520287828148E-2</v>
      </c>
      <c r="AM37" s="1">
        <f>INDEX(LINEST(B4:AI4,'NE HDD'!B4:AI4,TRUE,TRUE),4,1)</f>
        <v>2.2563463305693108</v>
      </c>
      <c r="AN37" s="274">
        <f t="shared" ref="AN37:AN44" si="27">_xlfn.F.DIST.RT(AM37,1,32)</f>
        <v>0.14287244794634885</v>
      </c>
      <c r="AO37" s="1">
        <f>INDEX(LINEST($B4:$AI4,'NE HDD'!$B4:$AI4,TRUE,TRUE),1,1)</f>
        <v>7.6513272818768514E-4</v>
      </c>
      <c r="AP37" s="1">
        <f>INDEX(LINEST($B4:$AI4,'NE HDD'!$B4:$AI4,TRUE,TRUE),2,1)</f>
        <v>5.0937062810019911E-4</v>
      </c>
      <c r="AQ37" s="1">
        <f>INDEX(LINEST($B37:$AI37,'NE HDD'!$B4:$AI4,TRUE,TRUE),4,2)</f>
        <v>32</v>
      </c>
      <c r="AR37" s="1">
        <f t="shared" si="21"/>
        <v>2.0369333434601011</v>
      </c>
      <c r="AS37" s="270">
        <f t="shared" ref="AS37:AS44" si="28">+AO37-AR37*AP37</f>
        <v>-2.7242128836882514E-4</v>
      </c>
      <c r="AT37" s="270">
        <f t="shared" ref="AT37:AT44" si="29">AO37+AP37*AR37</f>
        <v>1.8026867447441955E-3</v>
      </c>
      <c r="AU37" s="1">
        <f t="shared" ref="AU37:AU44" si="30">AO37/AVERAGE(B4:AI4)</f>
        <v>1.0613736895651357E-4</v>
      </c>
      <c r="AV37" s="1">
        <f t="shared" ref="AV37:AV44" si="31">AS4/AVERAGE(B4:AI4)</f>
        <v>1.8748111663473236E-2</v>
      </c>
      <c r="AW37" s="1">
        <f t="shared" ref="AW37:AW44" si="32">AT37/AVERAGE(B4:AI4)</f>
        <v>2.5006436281078503E-4</v>
      </c>
    </row>
    <row r="38" spans="1:49" x14ac:dyDescent="0.25">
      <c r="A38" s="138" t="s">
        <v>1923</v>
      </c>
      <c r="B38" s="37">
        <f>$AJ38*'NE HDD'!B5+$AK38</f>
        <v>1.78683934749525</v>
      </c>
      <c r="C38" s="37">
        <f>$AJ38*'NE HDD'!C5+$AK38</f>
        <v>1.8061315187944125</v>
      </c>
      <c r="D38" s="37">
        <f>$AJ38*'NE HDD'!D5+$AK38</f>
        <v>1.881891225188314</v>
      </c>
      <c r="E38" s="37">
        <f>$AJ38*'NE HDD'!E5+$AK38</f>
        <v>1.8785313526586846</v>
      </c>
      <c r="F38" s="37">
        <f>$AJ38*'NE HDD'!F5+$AK38</f>
        <v>1.8653086285098204</v>
      </c>
      <c r="G38" s="37">
        <f>$AJ38*'NE HDD'!G5+$AK38</f>
        <v>1.8507853085430352</v>
      </c>
      <c r="H38" s="37">
        <f>$AJ38*'NE HDD'!H5+$AK38</f>
        <v>1.8481841169071931</v>
      </c>
      <c r="I38" s="37">
        <f>$AJ38*'NE HDD'!I5+$AK38</f>
        <v>1.8776642887800705</v>
      </c>
      <c r="J38" s="37">
        <f>$AJ38*'NE HDD'!J5+$AK38</f>
        <v>1.751940026381035</v>
      </c>
      <c r="K38" s="37">
        <f>$AJ38*'NE HDD'!K5+$AK38</f>
        <v>1.7494472177300195</v>
      </c>
      <c r="L38" s="37">
        <f>$AJ38*'NE HDD'!L5+$AK38</f>
        <v>1.836803903500384</v>
      </c>
      <c r="M38" s="37">
        <f>$AJ38*'NE HDD'!M5+$AK38</f>
        <v>1.7935590925545086</v>
      </c>
      <c r="N38" s="37">
        <f>$AJ38*'NE HDD'!N5+$AK38</f>
        <v>1.8153440725046863</v>
      </c>
      <c r="O38" s="37">
        <f>$AJ38*'NE HDD'!O5+$AK38</f>
        <v>1.8696439479028908</v>
      </c>
      <c r="P38" s="37">
        <f>$AJ38*'NE HDD'!P5+$AK38</f>
        <v>1.8609733091167504</v>
      </c>
      <c r="Q38" s="37">
        <f>$AJ38*'NE HDD'!Q5+$AK38</f>
        <v>1.8255320730784015</v>
      </c>
      <c r="R38" s="37">
        <f>$AJ38*'NE HDD'!R5+$AK38</f>
        <v>1.7371999404445964</v>
      </c>
      <c r="S38" s="37">
        <f>$AJ38*'NE HDD'!S5+$AK38</f>
        <v>1.8457996912410046</v>
      </c>
      <c r="T38" s="37">
        <f>$AJ38*'NE HDD'!T5+$AK38</f>
        <v>1.8187039450343159</v>
      </c>
      <c r="U38" s="37">
        <f>$AJ38*'NE HDD'!U5+$AK38</f>
        <v>1.8488344148161537</v>
      </c>
      <c r="V38" s="37">
        <f>$AJ38*'NE HDD'!V5+$AK38</f>
        <v>1.7217011736143704</v>
      </c>
      <c r="W38" s="37">
        <f>$AJ38*'NE HDD'!W5+$AK38</f>
        <v>1.7833710919807939</v>
      </c>
      <c r="X38" s="37">
        <f>$AJ38*'NE HDD'!X5+$AK38</f>
        <v>1.7420771747618002</v>
      </c>
      <c r="Y38" s="37">
        <f>$AJ38*'NE HDD'!Y5+$AK38</f>
        <v>1.8145853916108992</v>
      </c>
      <c r="Z38" s="37">
        <f>$AJ38*'NE HDD'!Z5+$AK38</f>
        <v>1.8375625843941712</v>
      </c>
      <c r="AA38" s="37">
        <f>$AJ38*'NE HDD'!AA5+$AK38</f>
        <v>1.8450410103472175</v>
      </c>
      <c r="AB38" s="37">
        <f>$AJ38*'NE HDD'!AB5+$AK38</f>
        <v>1.7632118568030175</v>
      </c>
      <c r="AC38" s="37">
        <f>$AJ38*'NE HDD'!AC5+$AK38</f>
        <v>1.7882483262979978</v>
      </c>
      <c r="AD38" s="37">
        <f>$AJ38*'NE HDD'!AD5+$AK38</f>
        <v>1.8246650091997874</v>
      </c>
      <c r="AE38" s="37">
        <f>$AJ38*'NE HDD'!AE5+$AK38</f>
        <v>1.8530613512243972</v>
      </c>
      <c r="AF38" s="37">
        <f>$AJ38*'NE HDD'!AF5+$AK38</f>
        <v>1.7541076860775699</v>
      </c>
      <c r="AG38" s="37">
        <f>$AJ38*'NE HDD'!AG5+$AK38</f>
        <v>1.7297215144915501</v>
      </c>
      <c r="AH38" s="37">
        <f>$AJ38*'NE HDD'!AH5+$AK38</f>
        <v>1.7599603672582147</v>
      </c>
      <c r="AI38" s="37">
        <f>$AJ38*'NE HDD'!AI5+$AK38</f>
        <v>1.7279873867343221</v>
      </c>
      <c r="AJ38" s="271">
        <f>INDEX(LINEST(B5:AI5,'NE HDD'!B5:AI5,TRUE,TRUE),1,1)</f>
        <v>1.0838298482675485E-4</v>
      </c>
      <c r="AK38" s="271">
        <f>INDEX(LINEST(B5:AI5,'NE HDD'!B5:AI5,TRUE,TRUE),1,2)</f>
        <v>0.97548432308216315</v>
      </c>
      <c r="AL38" s="271">
        <f>INDEX(LINEST(B5:AI5,'NE HDD'!B5:AI5,TRUE,TRUE),3,1)</f>
        <v>5.8460784503238952E-2</v>
      </c>
      <c r="AM38" s="271">
        <f>INDEX(LINEST(B5:AI5,'NE HDD'!B5:AI5,TRUE,TRUE),4,1)</f>
        <v>1.9869008887926474</v>
      </c>
      <c r="AN38" s="273">
        <f t="shared" ref="AN38:AN44" si="33">_xlfn.F.DIST.RT(AM38,1,32)</f>
        <v>0.16831050055814564</v>
      </c>
      <c r="AO38" s="271">
        <f>INDEX(LINEST($B5:$AI5,'NE HDD'!$B5:$AI5,TRUE,TRUE),1,1)</f>
        <v>1.0838298482675485E-4</v>
      </c>
      <c r="AP38" s="271">
        <f>INDEX(LINEST($B5:$AI5,'NE HDD'!$B5:$AI5,TRUE,TRUE),2,1)</f>
        <v>7.6890556673813075E-5</v>
      </c>
      <c r="AQ38" s="271">
        <f>INDEX(LINEST($B38:$AI38,'NE HDD'!$B5:$AI5,TRUE,TRUE),4,2)</f>
        <v>32</v>
      </c>
      <c r="AR38" s="271">
        <f t="shared" si="21"/>
        <v>2.0369333434601011</v>
      </c>
      <c r="AS38" s="272">
        <f t="shared" ref="AS38:AS44" si="34">+AO38-AR38*AP38</f>
        <v>-4.8237953859343622E-5</v>
      </c>
      <c r="AT38" s="272">
        <f t="shared" ref="AT38:AT44" si="35">AO38+AP38*AR38</f>
        <v>2.650039235128533E-4</v>
      </c>
      <c r="AU38" s="271">
        <f t="shared" ref="AU38:AU44" si="36">AO38/AVERAGE(B5:AI5)</f>
        <v>5.992448621031988E-5</v>
      </c>
      <c r="AV38" s="271">
        <f t="shared" ref="AV38:AV44" si="37">AS5/AVERAGE(B5:AI5)</f>
        <v>3.1420594975116413E-3</v>
      </c>
      <c r="AW38" s="271">
        <f t="shared" ref="AW38:AW44" si="38">AT38/AVERAGE(B5:AI5)</f>
        <v>1.4651952966243217E-4</v>
      </c>
    </row>
    <row r="39" spans="1:49" x14ac:dyDescent="0.25">
      <c r="A39" s="138" t="s">
        <v>1924</v>
      </c>
      <c r="B39" s="37">
        <f>$AJ39*'NE HDD'!B6+$AK39</f>
        <v>1.37156480271645</v>
      </c>
      <c r="C39" s="37">
        <f>$AJ39*'NE HDD'!C6+$AK39</f>
        <v>1.3803216912377052</v>
      </c>
      <c r="D39" s="37">
        <f>$AJ39*'NE HDD'!D6+$AK39</f>
        <v>1.4553078628468978</v>
      </c>
      <c r="E39" s="37">
        <f>$AJ39*'NE HDD'!E6+$AK39</f>
        <v>1.4420450025622786</v>
      </c>
      <c r="F39" s="37">
        <f>$AJ39*'NE HDD'!F6+$AK39</f>
        <v>1.4417899475568052</v>
      </c>
      <c r="G39" s="37">
        <f>$AJ39*'NE HDD'!G6+$AK39</f>
        <v>1.4260615555526095</v>
      </c>
      <c r="H39" s="37">
        <f>$AJ39*'NE HDD'!H6+$AK39</f>
        <v>1.430397490645658</v>
      </c>
      <c r="I39" s="37">
        <f>$AJ39*'NE HDD'!I6+$AK39</f>
        <v>1.4438303876005927</v>
      </c>
      <c r="J39" s="37">
        <f>$AJ39*'NE HDD'!J6+$AK39</f>
        <v>1.3409582020596367</v>
      </c>
      <c r="K39" s="37">
        <f>$AJ39*'NE HDD'!K6+$AK39</f>
        <v>1.3674839226288751</v>
      </c>
      <c r="L39" s="37">
        <f>$AJ39*'NE HDD'!L6+$AK39</f>
        <v>1.4208754371079828</v>
      </c>
      <c r="M39" s="37">
        <f>$AJ39*'NE HDD'!M6+$AK39</f>
        <v>1.3855928280174896</v>
      </c>
      <c r="N39" s="37">
        <f>$AJ39*'NE HDD'!N6+$AK39</f>
        <v>1.3866130480393832</v>
      </c>
      <c r="O39" s="37">
        <f>$AJ39*'NE HDD'!O6+$AK39</f>
        <v>1.4508869094186916</v>
      </c>
      <c r="P39" s="37">
        <f>$AJ39*'NE HDD'!P6+$AK39</f>
        <v>1.4232559504924016</v>
      </c>
      <c r="Q39" s="37">
        <f>$AJ39*'NE HDD'!Q6+$AK39</f>
        <v>1.4131387686086216</v>
      </c>
      <c r="R39" s="37">
        <f>$AJ39*'NE HDD'!R6+$AK39</f>
        <v>1.3508203289379432</v>
      </c>
      <c r="S39" s="37">
        <f>$AJ39*'NE HDD'!S6+$AK39</f>
        <v>1.4194301254102999</v>
      </c>
      <c r="T39" s="37">
        <f>$AJ39*'NE HDD'!T6+$AK39</f>
        <v>1.4077826134936793</v>
      </c>
      <c r="U39" s="37">
        <f>$AJ39*'NE HDD'!U6+$AK39</f>
        <v>1.4270817755745031</v>
      </c>
      <c r="V39" s="37">
        <f>$AJ39*'NE HDD'!V6+$AK39</f>
        <v>1.3480147238777356</v>
      </c>
      <c r="W39" s="37">
        <f>$AJ39*'NE HDD'!W6+$AK39</f>
        <v>1.3781112145236019</v>
      </c>
      <c r="X39" s="37">
        <f>$AJ39*'NE HDD'!X6+$AK39</f>
        <v>1.3272702500992286</v>
      </c>
      <c r="Y39" s="37">
        <f>$AJ39*'NE HDD'!Y6+$AK39</f>
        <v>1.4023414400435792</v>
      </c>
      <c r="Z39" s="37">
        <f>$AJ39*'NE HDD'!Z6+$AK39</f>
        <v>1.4299723989698689</v>
      </c>
      <c r="AA39" s="37">
        <f>$AJ39*'NE HDD'!AA6+$AK39</f>
        <v>1.4133088052789371</v>
      </c>
      <c r="AB39" s="37">
        <f>$AJ39*'NE HDD'!AB6+$AK39</f>
        <v>1.3556663740419388</v>
      </c>
      <c r="AC39" s="37">
        <f>$AJ39*'NE HDD'!AC6+$AK39</f>
        <v>1.3708846560351877</v>
      </c>
      <c r="AD39" s="37">
        <f>$AJ39*'NE HDD'!AD6+$AK39</f>
        <v>1.3986006332966352</v>
      </c>
      <c r="AE39" s="37">
        <f>$AJ39*'NE HDD'!AE6+$AK39</f>
        <v>1.4240211155088218</v>
      </c>
      <c r="AF39" s="37">
        <f>$AJ39*'NE HDD'!AF6+$AK39</f>
        <v>1.3543910990145716</v>
      </c>
      <c r="AG39" s="37">
        <f>$AJ39*'NE HDD'!AG6+$AK39</f>
        <v>1.3443589354659493</v>
      </c>
      <c r="AH39" s="37">
        <f>$AJ39*'NE HDD'!AH6+$AK39</f>
        <v>1.3679090143046642</v>
      </c>
      <c r="AI39" s="37">
        <f>$AJ39*'NE HDD'!AI6+$AK39</f>
        <v>1.3218290766491285</v>
      </c>
      <c r="AJ39" s="271">
        <f>INDEX(LINEST(B6:AI6,'NE HDD'!B6:AI6,TRUE,TRUE),1,1)</f>
        <v>8.5018335157814891E-5</v>
      </c>
      <c r="AK39" s="271">
        <f>INDEX(LINEST(B6:AI6,'NE HDD'!B6:AI6,TRUE,TRUE),1,2)</f>
        <v>0.7672544764147019</v>
      </c>
      <c r="AL39" s="271">
        <f>INDEX(LINEST(B6:AI6,'NE HDD'!B6:AI6,TRUE,TRUE),3,1)</f>
        <v>4.787188990052315E-2</v>
      </c>
      <c r="AM39" s="271">
        <f>INDEX(LINEST(B6:AI6,'NE HDD'!B6:AI6,TRUE,TRUE),4,1)</f>
        <v>1.608922644513342</v>
      </c>
      <c r="AN39" s="273">
        <f t="shared" si="33"/>
        <v>0.21379376202252401</v>
      </c>
      <c r="AO39" s="271">
        <f>INDEX(LINEST($B6:$AI6,'NE HDD'!$B6:$AI6,TRUE,TRUE),1,1)</f>
        <v>8.5018335157814891E-5</v>
      </c>
      <c r="AP39" s="271">
        <f>INDEX(LINEST($B6:$AI6,'NE HDD'!$B6:$AI6,TRUE,TRUE),2,1)</f>
        <v>6.7026264223544497E-5</v>
      </c>
      <c r="AQ39" s="271">
        <f>INDEX(LINEST($B39:$AI39,'NE HDD'!$B6:$AI6,TRUE,TRUE),4,2)</f>
        <v>32</v>
      </c>
      <c r="AR39" s="271">
        <f t="shared" si="21"/>
        <v>2.0369333434601011</v>
      </c>
      <c r="AS39" s="272">
        <f t="shared" si="34"/>
        <v>-5.150969732668977E-5</v>
      </c>
      <c r="AT39" s="272">
        <f t="shared" si="35"/>
        <v>2.2154636764231956E-4</v>
      </c>
      <c r="AU39" s="271">
        <f t="shared" si="36"/>
        <v>6.0955429338354963E-5</v>
      </c>
      <c r="AV39" s="271">
        <f t="shared" si="37"/>
        <v>9.1632846744528606E-3</v>
      </c>
      <c r="AW39" s="271">
        <f t="shared" si="38"/>
        <v>1.5884166554100407E-4</v>
      </c>
    </row>
    <row r="40" spans="1:49" x14ac:dyDescent="0.25">
      <c r="A40" s="138" t="s">
        <v>1939</v>
      </c>
      <c r="B40" s="37">
        <f>$AJ40*'NE HDD'!B7+$AK40</f>
        <v>10.112158305551411</v>
      </c>
      <c r="C40" s="37">
        <f>$AJ40*'NE HDD'!C7+$AK40</f>
        <v>10.340368975470101</v>
      </c>
      <c r="D40" s="37">
        <f>$AJ40*'NE HDD'!D7+$AK40</f>
        <v>11.209795966721302</v>
      </c>
      <c r="E40" s="37">
        <f>$AJ40*'NE HDD'!E7+$AK40</f>
        <v>11.136323263235287</v>
      </c>
      <c r="F40" s="37">
        <f>$AJ40*'NE HDD'!F7+$AK40</f>
        <v>11.1218513670941</v>
      </c>
      <c r="G40" s="37">
        <f>$AJ40*'NE HDD'!G7+$AK40</f>
        <v>11.047265440827992</v>
      </c>
      <c r="H40" s="37">
        <f>$AJ40*'NE HDD'!H7+$AK40</f>
        <v>11.223154640082397</v>
      </c>
      <c r="I40" s="37">
        <f>$AJ40*'NE HDD'!I7+$AK40</f>
        <v>10.991604301823434</v>
      </c>
      <c r="J40" s="37">
        <f>$AJ40*'NE HDD'!J7+$AK40</f>
        <v>9.9551938935585582</v>
      </c>
      <c r="K40" s="37">
        <f>$AJ40*'NE HDD'!K7+$AK40</f>
        <v>10.529616848085599</v>
      </c>
      <c r="L40" s="37">
        <f>$AJ40*'NE HDD'!L7+$AK40</f>
        <v>10.919244821117509</v>
      </c>
      <c r="M40" s="37">
        <f>$AJ40*'NE HDD'!M7+$AK40</f>
        <v>10.499559833023138</v>
      </c>
      <c r="N40" s="37">
        <f>$AJ40*'NE HDD'!N7+$AK40</f>
        <v>10.433879688997759</v>
      </c>
      <c r="O40" s="37">
        <f>$AJ40*'NE HDD'!O7+$AK40</f>
        <v>11.240966204563856</v>
      </c>
      <c r="P40" s="37">
        <f>$AJ40*'NE HDD'!P7+$AK40</f>
        <v>10.782318419166295</v>
      </c>
      <c r="Q40" s="37">
        <f>$AJ40*'NE HDD'!Q7+$AK40</f>
        <v>10.908112593316597</v>
      </c>
      <c r="R40" s="37">
        <f>$AJ40*'NE HDD'!R7+$AK40</f>
        <v>10.044251715965849</v>
      </c>
      <c r="S40" s="37">
        <f>$AJ40*'NE HDD'!S7+$AK40</f>
        <v>10.633146566634078</v>
      </c>
      <c r="T40" s="37">
        <f>$AJ40*'NE HDD'!T7+$AK40</f>
        <v>10.642052348874808</v>
      </c>
      <c r="U40" s="37">
        <f>$AJ40*'NE HDD'!U7+$AK40</f>
        <v>10.796790315307479</v>
      </c>
      <c r="V40" s="37">
        <f>$AJ40*'NE HDD'!V7+$AK40</f>
        <v>10.481748268541679</v>
      </c>
      <c r="W40" s="37">
        <f>$AJ40*'NE HDD'!W7+$AK40</f>
        <v>10.33814252990992</v>
      </c>
      <c r="X40" s="37">
        <f>$AJ40*'NE HDD'!X7+$AK40</f>
        <v>9.849437729449896</v>
      </c>
      <c r="Y40" s="37">
        <f>$AJ40*'NE HDD'!Y7+$AK40</f>
        <v>10.750034958543651</v>
      </c>
      <c r="Z40" s="37">
        <f>$AJ40*'NE HDD'!Z7+$AK40</f>
        <v>11.163040609957473</v>
      </c>
      <c r="AA40" s="37">
        <f>$AJ40*'NE HDD'!AA7+$AK40</f>
        <v>10.667656472816905</v>
      </c>
      <c r="AB40" s="37">
        <f>$AJ40*'NE HDD'!AB7+$AK40</f>
        <v>10.285821059245635</v>
      </c>
      <c r="AC40" s="37">
        <f>$AJ40*'NE HDD'!AC7+$AK40</f>
        <v>10.213461578539707</v>
      </c>
      <c r="AD40" s="37">
        <f>$AJ40*'NE HDD'!AD7+$AK40</f>
        <v>10.675449032277543</v>
      </c>
      <c r="AE40" s="37">
        <f>$AJ40*'NE HDD'!AE7+$AK40</f>
        <v>10.561900308708243</v>
      </c>
      <c r="AF40" s="37">
        <f>$AJ40*'NE HDD'!AF7+$AK40</f>
        <v>10.033119488164939</v>
      </c>
      <c r="AG40" s="37">
        <f>$AJ40*'NE HDD'!AG7+$AK40</f>
        <v>10.191197122937885</v>
      </c>
      <c r="AH40" s="37">
        <f>$AJ40*'NE HDD'!AH7+$AK40</f>
        <v>10.552994526467515</v>
      </c>
      <c r="AI40" s="37">
        <f>$AJ40*'NE HDD'!AI7+$AK40</f>
        <v>9.8037955954661591</v>
      </c>
      <c r="AJ40" s="271">
        <f>INDEX(LINEST(B7:AI7,'NE HDD'!B7:AI7,TRUE,TRUE),1,1)</f>
        <v>1.1132227800911675E-3</v>
      </c>
      <c r="AK40" s="271">
        <f>INDEX(LINEST(B7:AI7,'NE HDD'!B7:AI7,TRUE,TRUE),1,2)</f>
        <v>4.8955963580442008</v>
      </c>
      <c r="AL40" s="271">
        <f>INDEX(LINEST(B7:AI7,'NE HDD'!B7:AI7,TRUE,TRUE),3,1)</f>
        <v>0.3096217364406838</v>
      </c>
      <c r="AM40" s="271">
        <f>INDEX(LINEST(B7:AI7,'NE HDD'!B7:AI7,TRUE,TRUE),4,1)</f>
        <v>14.351401382512691</v>
      </c>
      <c r="AN40" s="275">
        <f t="shared" si="33"/>
        <v>6.3229247952490731E-4</v>
      </c>
      <c r="AO40" s="271">
        <f>INDEX(LINEST($B7:$AI7,'NE HDD'!$B7:$AI7,TRUE,TRUE),1,1)</f>
        <v>1.1132227800911675E-3</v>
      </c>
      <c r="AP40" s="271">
        <f>INDEX(LINEST($B7:$AI7,'NE HDD'!$B7:$AI7,TRUE,TRUE),2,1)</f>
        <v>2.9385624808626946E-4</v>
      </c>
      <c r="AQ40" s="271">
        <f>INDEX(LINEST($B40:$AI40,'NE HDD'!$B7:$AI7,TRUE,TRUE),4,2)</f>
        <v>32</v>
      </c>
      <c r="AR40" s="271">
        <f t="shared" si="21"/>
        <v>2.0369333434601011</v>
      </c>
      <c r="AS40" s="272">
        <f t="shared" si="34"/>
        <v>5.1465719018016173E-4</v>
      </c>
      <c r="AT40" s="272">
        <f t="shared" si="35"/>
        <v>1.7117883700021733E-3</v>
      </c>
      <c r="AU40" s="271">
        <f t="shared" si="36"/>
        <v>1.0509816242647805E-4</v>
      </c>
      <c r="AV40" s="271">
        <f t="shared" si="37"/>
        <v>-1.2992763687574984E-2</v>
      </c>
      <c r="AW40" s="271">
        <f t="shared" si="38"/>
        <v>1.6160809441530751E-4</v>
      </c>
    </row>
    <row r="41" spans="1:49" x14ac:dyDescent="0.25">
      <c r="A41" s="138" t="s">
        <v>1925</v>
      </c>
      <c r="B41" s="37">
        <f>$AJ41*'NE HDD'!B8+$AK41</f>
        <v>24.136165413567603</v>
      </c>
      <c r="C41" s="37">
        <f>$AJ41*'NE HDD'!C8+$AK41</f>
        <v>24.594802360134103</v>
      </c>
      <c r="D41" s="37">
        <f>$AJ41*'NE HDD'!D8+$AK41</f>
        <v>28.416776914854943</v>
      </c>
      <c r="E41" s="37">
        <f>$AJ41*'NE HDD'!E8+$AK41</f>
        <v>28.293624401425049</v>
      </c>
      <c r="F41" s="37">
        <f>$AJ41*'NE HDD'!F8+$AK41</f>
        <v>28.123758865659678</v>
      </c>
      <c r="G41" s="37">
        <f>$AJ41*'NE HDD'!G8+$AK41</f>
        <v>27.418816892233391</v>
      </c>
      <c r="H41" s="37">
        <f>$AJ41*'NE HDD'!H8+$AK41</f>
        <v>28.187458441571692</v>
      </c>
      <c r="I41" s="37">
        <f>$AJ41*'NE HDD'!I8+$AK41</f>
        <v>27.648135365516641</v>
      </c>
      <c r="J41" s="37">
        <f>$AJ41*'NE HDD'!J8+$AK41</f>
        <v>23.269851181164213</v>
      </c>
      <c r="K41" s="37">
        <f>$AJ41*'NE HDD'!K8+$AK41</f>
        <v>25.282757779983854</v>
      </c>
      <c r="L41" s="37">
        <f>$AJ41*'NE HDD'!L8+$AK41</f>
        <v>27.338130762744839</v>
      </c>
      <c r="M41" s="37">
        <f>$AJ41*'NE HDD'!M8+$AK41</f>
        <v>25.10864560582435</v>
      </c>
      <c r="N41" s="37">
        <f>$AJ41*'NE HDD'!N8+$AK41</f>
        <v>25.214811565677707</v>
      </c>
      <c r="O41" s="37">
        <f>$AJ41*'NE HDD'!O8+$AK41</f>
        <v>28.438010106825615</v>
      </c>
      <c r="P41" s="37">
        <f>$AJ41*'NE HDD'!P8+$AK41</f>
        <v>27.040866075155442</v>
      </c>
      <c r="Q41" s="37">
        <f>$AJ41*'NE HDD'!Q8+$AK41</f>
        <v>27.040866075155442</v>
      </c>
      <c r="R41" s="37">
        <f>$AJ41*'NE HDD'!R8+$AK41</f>
        <v>23.817667534007533</v>
      </c>
      <c r="S41" s="37">
        <f>$AJ41*'NE HDD'!S8+$AK41</f>
        <v>26.365650570488093</v>
      </c>
      <c r="T41" s="37">
        <f>$AJ41*'NE HDD'!T8+$AK41</f>
        <v>26.183045119540321</v>
      </c>
      <c r="U41" s="37">
        <f>$AJ41*'NE HDD'!U8+$AK41</f>
        <v>27.015386244790633</v>
      </c>
      <c r="V41" s="37">
        <f>$AJ41*'NE HDD'!V8+$AK41</f>
        <v>24.904806962905905</v>
      </c>
      <c r="W41" s="37">
        <f>$AJ41*'NE HDD'!W8+$AK41</f>
        <v>25.006726284365126</v>
      </c>
      <c r="X41" s="37">
        <f>$AJ41*'NE HDD'!X8+$AK41</f>
        <v>22.522442823796581</v>
      </c>
      <c r="Y41" s="37">
        <f>$AJ41*'NE HDD'!Y8+$AK41</f>
        <v>26.442090061582508</v>
      </c>
      <c r="Z41" s="37">
        <f>$AJ41*'NE HDD'!Z8+$AK41</f>
        <v>27.70758830303452</v>
      </c>
      <c r="AA41" s="37">
        <f>$AJ41*'NE HDD'!AA8+$AK41</f>
        <v>26.352910655305688</v>
      </c>
      <c r="AB41" s="37">
        <f>$AJ41*'NE HDD'!AB8+$AK41</f>
        <v>24.144658690355872</v>
      </c>
      <c r="AC41" s="37">
        <f>$AJ41*'NE HDD'!AC8+$AK41</f>
        <v>24.4206901859746</v>
      </c>
      <c r="AD41" s="37">
        <f>$AJ41*'NE HDD'!AD8+$AK41</f>
        <v>26.259484610634736</v>
      </c>
      <c r="AE41" s="37">
        <f>$AJ41*'NE HDD'!AE8+$AK41</f>
        <v>26.628942150924416</v>
      </c>
      <c r="AF41" s="37">
        <f>$AJ41*'NE HDD'!AF8+$AK41</f>
        <v>23.87287383313128</v>
      </c>
      <c r="AG41" s="37">
        <f>$AJ41*'NE HDD'!AG8+$AK41</f>
        <v>24.046986007290784</v>
      </c>
      <c r="AH41" s="37">
        <f>$AJ41*'NE HDD'!AH8+$AK41</f>
        <v>25.456869954143361</v>
      </c>
      <c r="AI41" s="37">
        <f>$AJ41*'NE HDD'!AI8+$AK41</f>
        <v>22.772994489050504</v>
      </c>
      <c r="AJ41" s="271">
        <f>INDEX(LINEST(B8:AI8,'NE HDD'!B8:AI8,TRUE,TRUE),1,1)</f>
        <v>4.2466383941342657E-3</v>
      </c>
      <c r="AK41" s="271">
        <f>INDEX(LINEST(B8:AI8,'NE HDD'!B8:AI8,TRUE,TRUE),1,2)</f>
        <v>0.61828198685203972</v>
      </c>
      <c r="AL41" s="271">
        <f>INDEX(LINEST(B8:AI8,'NE HDD'!B8:AI8,TRUE,TRUE),3,1)</f>
        <v>0.22315446866664104</v>
      </c>
      <c r="AM41" s="271">
        <f>INDEX(LINEST(B8:AI8,'NE HDD'!B8:AI8,TRUE,TRUE),4,1)</f>
        <v>9.1922302559634623</v>
      </c>
      <c r="AN41" s="275">
        <f t="shared" si="33"/>
        <v>4.7879583926061292E-3</v>
      </c>
      <c r="AO41" s="271">
        <f>INDEX(LINEST($B8:$AI8,'NE HDD'!$B8:$AI8,TRUE,TRUE),1,1)</f>
        <v>4.2466383941342657E-3</v>
      </c>
      <c r="AP41" s="271">
        <f>INDEX(LINEST($B8:$AI8,'NE HDD'!$B8:$AI8,TRUE,TRUE),2,1)</f>
        <v>1.4006668000077585E-3</v>
      </c>
      <c r="AQ41" s="271">
        <f>INDEX(LINEST($B41:$AI41,'NE HDD'!$B8:$AI8,TRUE,TRUE),4,2)</f>
        <v>32</v>
      </c>
      <c r="AR41" s="271">
        <f t="shared" si="21"/>
        <v>2.0369333434601011</v>
      </c>
      <c r="AS41" s="272">
        <f t="shared" si="34"/>
        <v>1.3935734861209013E-3</v>
      </c>
      <c r="AT41" s="272">
        <f t="shared" si="35"/>
        <v>7.0997033021476304E-3</v>
      </c>
      <c r="AU41" s="271">
        <f t="shared" si="36"/>
        <v>1.6417255455216268E-4</v>
      </c>
      <c r="AV41" s="271">
        <f t="shared" si="37"/>
        <v>-4.8026181381432874E-3</v>
      </c>
      <c r="AW41" s="271">
        <f t="shared" si="38"/>
        <v>2.7447037385758385E-4</v>
      </c>
    </row>
    <row r="42" spans="1:49" x14ac:dyDescent="0.25">
      <c r="A42" s="138" t="s">
        <v>1940</v>
      </c>
      <c r="B42" s="37">
        <f>$AJ42*'NE HDD'!B9+$AK42</f>
        <v>10.509703489751827</v>
      </c>
      <c r="C42" s="37">
        <f>$AJ42*'NE HDD'!C9+$AK42</f>
        <v>10.727091275322026</v>
      </c>
      <c r="D42" s="37">
        <f>$AJ42*'NE HDD'!D9+$AK42</f>
        <v>11.387372848091262</v>
      </c>
      <c r="E42" s="37">
        <f>$AJ42*'NE HDD'!E9+$AK42</f>
        <v>11.379254632032623</v>
      </c>
      <c r="F42" s="37">
        <f>$AJ42*'NE HDD'!F9+$AK42</f>
        <v>11.42435583235839</v>
      </c>
      <c r="G42" s="37">
        <f>$AJ42*'NE HDD'!G9+$AK42</f>
        <v>11.360312127895801</v>
      </c>
      <c r="H42" s="37">
        <f>$AJ42*'NE HDD'!H9+$AK42</f>
        <v>11.512754184996895</v>
      </c>
      <c r="I42" s="37">
        <f>$AJ42*'NE HDD'!I9+$AK42</f>
        <v>11.304386639491849</v>
      </c>
      <c r="J42" s="37">
        <f>$AJ42*'NE HDD'!J9+$AK42</f>
        <v>10.310356184311935</v>
      </c>
      <c r="K42" s="37">
        <f>$AJ42*'NE HDD'!K9+$AK42</f>
        <v>10.893965716527365</v>
      </c>
      <c r="L42" s="37">
        <f>$AJ42*'NE HDD'!L9+$AK42</f>
        <v>11.193437686690462</v>
      </c>
      <c r="M42" s="37">
        <f>$AJ42*'NE HDD'!M9+$AK42</f>
        <v>10.831726060077806</v>
      </c>
      <c r="N42" s="37">
        <f>$AJ42*'NE HDD'!N9+$AK42</f>
        <v>10.852472612227659</v>
      </c>
      <c r="O42" s="37">
        <f>$AJ42*'NE HDD'!O9+$AK42</f>
        <v>11.410825472260662</v>
      </c>
      <c r="P42" s="37">
        <f>$AJ42*'NE HDD'!P9+$AK42</f>
        <v>11.05813408571316</v>
      </c>
      <c r="Q42" s="37">
        <f>$AJ42*'NE HDD'!Q9+$AK42</f>
        <v>11.160964822455909</v>
      </c>
      <c r="R42" s="37">
        <f>$AJ42*'NE HDD'!R9+$AK42</f>
        <v>10.544882426005925</v>
      </c>
      <c r="S42" s="37">
        <f>$AJ42*'NE HDD'!S9+$AK42</f>
        <v>10.969735733074655</v>
      </c>
      <c r="T42" s="37">
        <f>$AJ42*'NE HDD'!T9+$AK42</f>
        <v>11.095117069980288</v>
      </c>
      <c r="U42" s="37">
        <f>$AJ42*'NE HDD'!U9+$AK42</f>
        <v>11.152846606397272</v>
      </c>
      <c r="V42" s="37">
        <f>$AJ42*'NE HDD'!V9+$AK42</f>
        <v>10.937262868840103</v>
      </c>
      <c r="W42" s="37">
        <f>$AJ42*'NE HDD'!W9+$AK42</f>
        <v>10.786624859752038</v>
      </c>
      <c r="X42" s="37">
        <f>$AJ42*'NE HDD'!X9+$AK42</f>
        <v>10.383420128839678</v>
      </c>
      <c r="Y42" s="37">
        <f>$AJ42*'NE HDD'!Y9+$AK42</f>
        <v>11.123981838188779</v>
      </c>
      <c r="Z42" s="37">
        <f>$AJ42*'NE HDD'!Z9+$AK42</f>
        <v>11.537108833172809</v>
      </c>
      <c r="AA42" s="37">
        <f>$AJ42*'NE HDD'!AA9+$AK42</f>
        <v>11.009424789361329</v>
      </c>
      <c r="AB42" s="37">
        <f>$AJ42*'NE HDD'!AB9+$AK42</f>
        <v>10.711756867211264</v>
      </c>
      <c r="AC42" s="37">
        <f>$AJ42*'NE HDD'!AC9+$AK42</f>
        <v>10.601709938416391</v>
      </c>
      <c r="AD42" s="37">
        <f>$AJ42*'NE HDD'!AD9+$AK42</f>
        <v>11.059036109719674</v>
      </c>
      <c r="AE42" s="37">
        <f>$AJ42*'NE HDD'!AE9+$AK42</f>
        <v>10.905692028612066</v>
      </c>
      <c r="AF42" s="37">
        <f>$AJ42*'NE HDD'!AF9+$AK42</f>
        <v>10.541274329979863</v>
      </c>
      <c r="AG42" s="37">
        <f>$AJ42*'NE HDD'!AG9+$AK42</f>
        <v>10.581865410273053</v>
      </c>
      <c r="AH42" s="37">
        <f>$AJ42*'NE HDD'!AH9+$AK42</f>
        <v>11.011228837374361</v>
      </c>
      <c r="AI42" s="37">
        <f>$AJ42*'NE HDD'!AI9+$AK42</f>
        <v>10.316670352357541</v>
      </c>
      <c r="AJ42" s="271">
        <f>INDEX(LINEST(B9:AI9,'NE HDD'!B9:AI9,TRUE,TRUE),1,1)</f>
        <v>9.0202400651534964E-4</v>
      </c>
      <c r="AK42" s="271">
        <f>INDEX(LINEST(B9:AI9,'NE HDD'!B9:AI9,TRUE,TRUE),1,2)</f>
        <v>5.8633778321912606</v>
      </c>
      <c r="AL42" s="271">
        <f>INDEX(LINEST(B9:AI9,'NE HDD'!B9:AI9,TRUE,TRUE),3,1)</f>
        <v>0.21207463854300054</v>
      </c>
      <c r="AM42" s="271">
        <f>INDEX(LINEST(B9:AI9,'NE HDD'!B9:AI9,TRUE,TRUE),4,1)</f>
        <v>8.6129838755626604</v>
      </c>
      <c r="AN42" s="275">
        <f t="shared" si="33"/>
        <v>6.1309885957872524E-3</v>
      </c>
      <c r="AO42" s="271">
        <f>INDEX(LINEST($B9:$AI9,'NE HDD'!$B9:$AI9,TRUE,TRUE),1,1)</f>
        <v>9.0202400651534964E-4</v>
      </c>
      <c r="AP42" s="271">
        <f>INDEX(LINEST($B9:$AI9,'NE HDD'!$B9:$AI9,TRUE,TRUE),2,1)</f>
        <v>3.0735570516575883E-4</v>
      </c>
      <c r="AQ42" s="271">
        <f>INDEX(LINEST($B42:$AI42,'NE HDD'!$B9:$AI9,TRUE,TRUE),4,2)</f>
        <v>32</v>
      </c>
      <c r="AR42" s="271">
        <f t="shared" si="21"/>
        <v>2.0369333434601011</v>
      </c>
      <c r="AS42" s="272">
        <f t="shared" si="34"/>
        <v>2.7596092236052347E-4</v>
      </c>
      <c r="AT42" s="272">
        <f t="shared" si="35"/>
        <v>1.5280870906701758E-3</v>
      </c>
      <c r="AU42" s="271">
        <f t="shared" si="36"/>
        <v>8.231322235549263E-5</v>
      </c>
      <c r="AV42" s="271">
        <f t="shared" si="37"/>
        <v>1.6279139354644541E-2</v>
      </c>
      <c r="AW42" s="271">
        <f t="shared" si="38"/>
        <v>1.3944393005548196E-4</v>
      </c>
    </row>
    <row r="43" spans="1:49" x14ac:dyDescent="0.25">
      <c r="A43" s="138" t="s">
        <v>1926</v>
      </c>
      <c r="B43" s="37">
        <f>$AJ43*'NE HDD'!B10+$AK43</f>
        <v>0.96965607417481303</v>
      </c>
      <c r="C43" s="37">
        <f>$AJ43*'NE HDD'!C10+$AK43</f>
        <v>0.99680905582656743</v>
      </c>
      <c r="D43" s="37">
        <f>$AJ43*'NE HDD'!D10+$AK43</f>
        <v>1.245273436317353</v>
      </c>
      <c r="E43" s="37">
        <f>$AJ43*'NE HDD'!E10+$AK43</f>
        <v>1.2070256879691827</v>
      </c>
      <c r="F43" s="37">
        <f>$AJ43*'NE HDD'!F10+$AK43</f>
        <v>1.1918433756477715</v>
      </c>
      <c r="G43" s="37">
        <f>$AJ43*'NE HDD'!G10+$AK43</f>
        <v>1.1509679193978186</v>
      </c>
      <c r="H43" s="37">
        <f>$AJ43*'NE HDD'!H10+$AK43</f>
        <v>1.2043979800674001</v>
      </c>
      <c r="I43" s="37">
        <f>$AJ43*'NE HDD'!I10+$AK43</f>
        <v>1.1740333554245779</v>
      </c>
      <c r="J43" s="37">
        <f>$AJ43*'NE HDD'!J10+$AK43</f>
        <v>0.92732078020164743</v>
      </c>
      <c r="K43" s="37">
        <f>$AJ43*'NE HDD'!K10+$AK43</f>
        <v>0.99418134792478474</v>
      </c>
      <c r="L43" s="37">
        <f>$AJ43*'NE HDD'!L10+$AK43</f>
        <v>1.1509679193978186</v>
      </c>
      <c r="M43" s="37">
        <f>$AJ43*'NE HDD'!M10+$AK43</f>
        <v>1.0245459725676069</v>
      </c>
      <c r="N43" s="37">
        <f>$AJ43*'NE HDD'!N10+$AK43</f>
        <v>1.0341809015408101</v>
      </c>
      <c r="O43" s="37">
        <f>$AJ43*'NE HDD'!O10+$AK43</f>
        <v>1.2514047547548459</v>
      </c>
      <c r="P43" s="37">
        <f>$AJ43*'NE HDD'!P10+$AK43</f>
        <v>1.1830843493084959</v>
      </c>
      <c r="Q43" s="37">
        <f>$AJ43*'NE HDD'!Q10+$AK43</f>
        <v>1.176953030871003</v>
      </c>
      <c r="R43" s="37">
        <f>$AJ43*'NE HDD'!R10+$AK43</f>
        <v>0.9515540864069767</v>
      </c>
      <c r="S43" s="37">
        <f>$AJ43*'NE HDD'!S10+$AK43</f>
        <v>1.1118442684157208</v>
      </c>
      <c r="T43" s="37">
        <f>$AJ43*'NE HDD'!T10+$AK43</f>
        <v>1.072720617433623</v>
      </c>
      <c r="U43" s="37">
        <f>$AJ43*'NE HDD'!U10+$AK43</f>
        <v>1.1387052825228328</v>
      </c>
      <c r="V43" s="37">
        <f>$AJ43*'NE HDD'!V10+$AK43</f>
        <v>0.98483838649622402</v>
      </c>
      <c r="W43" s="37">
        <f>$AJ43*'NE HDD'!W10+$AK43</f>
        <v>0.99797692600513765</v>
      </c>
      <c r="X43" s="37">
        <f>$AJ43*'NE HDD'!X10+$AK43</f>
        <v>0.85958430984458256</v>
      </c>
      <c r="Y43" s="37">
        <f>$AJ43*'NE HDD'!Y10+$AK43</f>
        <v>1.099581631540735</v>
      </c>
      <c r="Z43" s="37">
        <f>$AJ43*'NE HDD'!Z10+$AK43</f>
        <v>1.156223335201384</v>
      </c>
      <c r="AA43" s="37">
        <f>$AJ43*'NE HDD'!AA10+$AK43</f>
        <v>1.1150559114067886</v>
      </c>
      <c r="AB43" s="37">
        <f>$AJ43*'NE HDD'!AB10+$AK43</f>
        <v>0.96148098292482254</v>
      </c>
      <c r="AC43" s="37">
        <f>$AJ43*'NE HDD'!AC10+$AK43</f>
        <v>0.98308658122836889</v>
      </c>
      <c r="AD43" s="37">
        <f>$AJ43*'NE HDD'!AD10+$AK43</f>
        <v>1.0446917331479408</v>
      </c>
      <c r="AE43" s="37">
        <f>$AJ43*'NE HDD'!AE10+$AK43</f>
        <v>1.1036691771657301</v>
      </c>
      <c r="AF43" s="37">
        <f>$AJ43*'NE HDD'!AF10+$AK43</f>
        <v>0.91184650033559378</v>
      </c>
      <c r="AG43" s="37">
        <f>$AJ43*'NE HDD'!AG10+$AK43</f>
        <v>0.92235733194272451</v>
      </c>
      <c r="AH43" s="37">
        <f>$AJ43*'NE HDD'!AH10+$AK43</f>
        <v>0.97870706805873109</v>
      </c>
      <c r="AI43" s="37">
        <f>$AJ43*'NE HDD'!AI10+$AK43</f>
        <v>0.86367185546957792</v>
      </c>
      <c r="AJ43" s="271">
        <f>INDEX(LINEST(B10:AI10,'NE HDD'!B10:AI10,TRUE,TRUE),1,1)</f>
        <v>2.919675446425211E-4</v>
      </c>
      <c r="AK43" s="271">
        <f>INDEX(LINEST(B10:AI10,'NE HDD'!B10:AI10,TRUE,TRUE),1,2)</f>
        <v>-0.60171325109123552</v>
      </c>
      <c r="AL43" s="271">
        <f>INDEX(LINEST(B10:AI10,'NE HDD'!B10:AI10,TRUE,TRUE),3,1)</f>
        <v>0.46512328780708995</v>
      </c>
      <c r="AM43" s="271">
        <f>INDEX(LINEST(B10:AI10,'NE HDD'!B10:AI10,TRUE,TRUE),4,1)</f>
        <v>27.826870885451441</v>
      </c>
      <c r="AN43" s="275">
        <f t="shared" si="33"/>
        <v>8.9243175409580543E-6</v>
      </c>
      <c r="AO43" s="271">
        <f>INDEX(LINEST($B10:$AI10,'NE HDD'!$B10:$AI10,TRUE,TRUE),1,1)</f>
        <v>2.919675446425211E-4</v>
      </c>
      <c r="AP43" s="271">
        <f>INDEX(LINEST($B10:$AI10,'NE HDD'!$B10:$AI10,TRUE,TRUE),2,1)</f>
        <v>5.5348058478644134E-5</v>
      </c>
      <c r="AQ43" s="271">
        <f>INDEX(LINEST($B43:$AI43,'NE HDD'!$B10:$AI10,TRUE,TRUE),4,2)</f>
        <v>32</v>
      </c>
      <c r="AR43" s="271">
        <f t="shared" si="21"/>
        <v>2.0369333434601011</v>
      </c>
      <c r="AS43" s="272">
        <f t="shared" si="34"/>
        <v>1.7922723883159129E-4</v>
      </c>
      <c r="AT43" s="272">
        <f t="shared" si="35"/>
        <v>4.0470785045345091E-4</v>
      </c>
      <c r="AU43" s="271">
        <f t="shared" si="36"/>
        <v>2.7467709092577816E-4</v>
      </c>
      <c r="AV43" s="271">
        <f t="shared" si="37"/>
        <v>-2.7578447721856344E-4</v>
      </c>
      <c r="AW43" s="271">
        <f t="shared" si="38"/>
        <v>3.8074086341852002E-4</v>
      </c>
    </row>
    <row r="44" spans="1:49" x14ac:dyDescent="0.25">
      <c r="A44" s="138" t="s">
        <v>1927</v>
      </c>
      <c r="B44" s="37">
        <f>$AJ44*'NE HDD'!B11+$AK44</f>
        <v>0.75363869247121262</v>
      </c>
      <c r="C44" s="37">
        <f>$AJ44*'NE HDD'!C11+$AK44</f>
        <v>0.750786468509125</v>
      </c>
      <c r="D44" s="37">
        <f>$AJ44*'NE HDD'!D11+$AK44</f>
        <v>0.73702012224313063</v>
      </c>
      <c r="E44" s="37">
        <f>$AJ44*'NE HDD'!E11+$AK44</f>
        <v>0.73844623422417444</v>
      </c>
      <c r="F44" s="37">
        <f>$AJ44*'NE HDD'!F11+$AK44</f>
        <v>0.73866451667025257</v>
      </c>
      <c r="G44" s="37">
        <f>$AJ44*'NE HDD'!G11+$AK44</f>
        <v>0.74374322158233719</v>
      </c>
      <c r="H44" s="37">
        <f>$AJ44*'NE HDD'!H11+$AK44</f>
        <v>0.74272457016730586</v>
      </c>
      <c r="I44" s="37">
        <f>$AJ44*'NE HDD'!I11+$AK44</f>
        <v>0.7386208601810369</v>
      </c>
      <c r="J44" s="37">
        <f>$AJ44*'NE HDD'!J11+$AK44</f>
        <v>0.75915396227545351</v>
      </c>
      <c r="K44" s="37">
        <f>$AJ44*'NE HDD'!K11+$AK44</f>
        <v>0.75308571027448135</v>
      </c>
      <c r="L44" s="37">
        <f>$AJ44*'NE HDD'!L11+$AK44</f>
        <v>0.74287009179802466</v>
      </c>
      <c r="M44" s="37">
        <f>$AJ44*'NE HDD'!M11+$AK44</f>
        <v>0.75184877641337189</v>
      </c>
      <c r="N44" s="37">
        <f>$AJ44*'NE HDD'!N11+$AK44</f>
        <v>0.75062639471533443</v>
      </c>
      <c r="O44" s="37">
        <f>$AJ44*'NE HDD'!O11+$AK44</f>
        <v>0.73950854212842132</v>
      </c>
      <c r="P44" s="37">
        <f>$AJ44*'NE HDD'!P11+$AK44</f>
        <v>0.74227345311207771</v>
      </c>
      <c r="Q44" s="37">
        <f>$AJ44*'NE HDD'!Q11+$AK44</f>
        <v>0.74754133614409679</v>
      </c>
      <c r="R44" s="37">
        <f>$AJ44*'NE HDD'!R11+$AK44</f>
        <v>0.75807710220813473</v>
      </c>
      <c r="S44" s="37">
        <f>$AJ44*'NE HDD'!S11+$AK44</f>
        <v>0.74439806892057159</v>
      </c>
      <c r="T44" s="37">
        <f>$AJ44*'NE HDD'!T11+$AK44</f>
        <v>0.74816707915618741</v>
      </c>
      <c r="U44" s="37">
        <f>$AJ44*'NE HDD'!U11+$AK44</f>
        <v>0.74455814271436216</v>
      </c>
      <c r="V44" s="37">
        <f>$AJ44*'NE HDD'!V11+$AK44</f>
        <v>0.75650546859637213</v>
      </c>
      <c r="W44" s="37">
        <f>$AJ44*'NE HDD'!W11+$AK44</f>
        <v>0.75369690112350018</v>
      </c>
      <c r="X44" s="37">
        <f>$AJ44*'NE HDD'!X11+$AK44</f>
        <v>0.7623117816620506</v>
      </c>
      <c r="Y44" s="37">
        <f>$AJ44*'NE HDD'!Y11+$AK44</f>
        <v>0.74825439213461864</v>
      </c>
      <c r="Z44" s="37">
        <f>$AJ44*'NE HDD'!Z11+$AK44</f>
        <v>0.74282643530880899</v>
      </c>
      <c r="AA44" s="37">
        <f>$AJ44*'NE HDD'!AA11+$AK44</f>
        <v>0.74592604604311852</v>
      </c>
      <c r="AB44" s="37">
        <f>$AJ44*'NE HDD'!AB11+$AK44</f>
        <v>0.75567599530127527</v>
      </c>
      <c r="AC44" s="37">
        <f>$AJ44*'NE HDD'!AC11+$AK44</f>
        <v>0.75270735403461264</v>
      </c>
      <c r="AD44" s="37">
        <f>$AJ44*'NE HDD'!AD11+$AK44</f>
        <v>0.74717753206729987</v>
      </c>
      <c r="AE44" s="37">
        <f>$AJ44*'NE HDD'!AE11+$AK44</f>
        <v>0.74183688821992144</v>
      </c>
      <c r="AF44" s="37">
        <f>$AJ44*'NE HDD'!AF11+$AK44</f>
        <v>0.75624352966107844</v>
      </c>
      <c r="AG44" s="37">
        <f>$AJ44*'NE HDD'!AG11+$AK44</f>
        <v>0.75704389863003163</v>
      </c>
      <c r="AH44" s="37">
        <f>$AJ44*'NE HDD'!AH11+$AK44</f>
        <v>0.75283832350225954</v>
      </c>
      <c r="AI44" s="37">
        <f>$AJ44*'NE HDD'!AI11+$AK44</f>
        <v>0.7615259648561693</v>
      </c>
      <c r="AJ44" s="271">
        <f>INDEX(LINEST(B11:AI11,'NE HDD'!B11:AI11,TRUE,TRUE),1,1)</f>
        <v>-1.4552163071875706E-5</v>
      </c>
      <c r="AK44" s="271">
        <f>INDEX(LINEST(B11:AI11,'NE HDD'!B11:AI11,TRUE,TRUE),1,2)</f>
        <v>0.86510826160178056</v>
      </c>
      <c r="AL44" s="271">
        <f>INDEX(LINEST(B11:AI11,'NE HDD'!B11:AI11,TRUE,TRUE),3,1)</f>
        <v>4.2361447816938614E-3</v>
      </c>
      <c r="AM44" s="271">
        <f>INDEX(LINEST(B11:AI11,'NE HDD'!B11:AI11,TRUE,TRUE),4,1)</f>
        <v>0.13613331343954521</v>
      </c>
      <c r="AN44" s="273">
        <f t="shared" si="33"/>
        <v>0.71458579258125887</v>
      </c>
      <c r="AO44" s="271">
        <f>INDEX(LINEST($B11:$AI11,'NE HDD'!$B11:$AI11,TRUE,TRUE),1,1)</f>
        <v>-1.4552163071875706E-5</v>
      </c>
      <c r="AP44" s="271">
        <f>INDEX(LINEST($B11:$AI11,'NE HDD'!$B11:$AI11,TRUE,TRUE),2,1)</f>
        <v>3.9440766378486742E-5</v>
      </c>
      <c r="AQ44" s="271">
        <f>INDEX(LINEST($B44:$AI44,'NE HDD'!$B11:$AI11,TRUE,TRUE),4,2)</f>
        <v>32</v>
      </c>
      <c r="AR44" s="271">
        <f t="shared" si="21"/>
        <v>2.0369333434601011</v>
      </c>
      <c r="AS44" s="272">
        <f t="shared" si="34"/>
        <v>-9.4890375199835456E-5</v>
      </c>
      <c r="AT44" s="272">
        <f t="shared" si="35"/>
        <v>6.5786049056084034E-5</v>
      </c>
      <c r="AU44" s="271">
        <f t="shared" si="36"/>
        <v>-1.9433120616286519E-5</v>
      </c>
      <c r="AV44" s="271">
        <f t="shared" si="37"/>
        <v>2.9720713232504452E-2</v>
      </c>
      <c r="AW44" s="271">
        <f t="shared" si="38"/>
        <v>8.7851422490350061E-5</v>
      </c>
    </row>
    <row r="46" spans="1:49" x14ac:dyDescent="0.25">
      <c r="A46" s="121" t="s">
        <v>2014</v>
      </c>
      <c r="AJ46" s="250" t="s">
        <v>2016</v>
      </c>
      <c r="AK46" s="251"/>
      <c r="AL46" s="251"/>
    </row>
    <row r="47" spans="1:49" x14ac:dyDescent="0.25">
      <c r="A47" s="136" t="s">
        <v>1786</v>
      </c>
      <c r="B47" s="136" t="s">
        <v>1821</v>
      </c>
      <c r="C47" s="136" t="s">
        <v>1822</v>
      </c>
      <c r="D47" s="136" t="s">
        <v>1823</v>
      </c>
      <c r="E47" s="136" t="s">
        <v>1824</v>
      </c>
      <c r="F47" s="136" t="s">
        <v>1825</v>
      </c>
      <c r="G47" s="136" t="s">
        <v>1826</v>
      </c>
      <c r="H47" s="136" t="s">
        <v>1827</v>
      </c>
      <c r="I47" s="136" t="s">
        <v>1828</v>
      </c>
      <c r="J47" s="136" t="s">
        <v>1829</v>
      </c>
      <c r="K47" s="136" t="s">
        <v>1830</v>
      </c>
      <c r="L47" s="136" t="s">
        <v>1831</v>
      </c>
      <c r="M47" s="136" t="s">
        <v>1832</v>
      </c>
      <c r="N47" s="136" t="s">
        <v>1833</v>
      </c>
      <c r="O47" s="136" t="s">
        <v>1834</v>
      </c>
      <c r="P47" s="136" t="s">
        <v>1835</v>
      </c>
      <c r="Q47" s="136" t="s">
        <v>1836</v>
      </c>
      <c r="R47" s="136" t="s">
        <v>1837</v>
      </c>
      <c r="S47" s="136" t="s">
        <v>1838</v>
      </c>
      <c r="T47" s="136" t="s">
        <v>1839</v>
      </c>
      <c r="U47" s="136" t="s">
        <v>1840</v>
      </c>
      <c r="V47" s="136" t="s">
        <v>1841</v>
      </c>
      <c r="W47" s="136" t="s">
        <v>1842</v>
      </c>
      <c r="X47" s="136" t="s">
        <v>1843</v>
      </c>
      <c r="Y47" s="136" t="s">
        <v>1844</v>
      </c>
      <c r="Z47" s="136" t="s">
        <v>1845</v>
      </c>
      <c r="AA47" s="136" t="s">
        <v>1846</v>
      </c>
      <c r="AB47" s="136" t="s">
        <v>1847</v>
      </c>
      <c r="AC47" s="136" t="s">
        <v>1848</v>
      </c>
      <c r="AD47" s="136" t="s">
        <v>1849</v>
      </c>
      <c r="AE47" s="136" t="s">
        <v>1850</v>
      </c>
      <c r="AF47" s="136" t="s">
        <v>1851</v>
      </c>
      <c r="AG47" s="136" t="s">
        <v>1852</v>
      </c>
      <c r="AH47" s="136" t="s">
        <v>1853</v>
      </c>
      <c r="AI47" s="136" t="s">
        <v>1854</v>
      </c>
      <c r="AJ47" s="116" t="s">
        <v>2017</v>
      </c>
      <c r="AK47" s="116" t="s">
        <v>2018</v>
      </c>
      <c r="AL47" s="154" t="s">
        <v>2019</v>
      </c>
    </row>
    <row r="48" spans="1:49" x14ac:dyDescent="0.25">
      <c r="A48" s="138" t="s">
        <v>1922</v>
      </c>
      <c r="B48" s="37">
        <f>B3-B36</f>
        <v>-5.454466611897768E-2</v>
      </c>
      <c r="C48" s="37">
        <f t="shared" ref="C48:AI48" si="39">C3-C36</f>
        <v>-0.25667317740644968</v>
      </c>
      <c r="D48" s="37">
        <f t="shared" si="39"/>
        <v>0.13023023318276028</v>
      </c>
      <c r="E48" s="37">
        <f t="shared" si="39"/>
        <v>-0.28588687445499117</v>
      </c>
      <c r="F48" s="37">
        <f t="shared" si="39"/>
        <v>5.5963904343224513E-2</v>
      </c>
      <c r="G48" s="37">
        <f t="shared" si="39"/>
        <v>-0.26120361589268937</v>
      </c>
      <c r="H48" s="37">
        <f t="shared" si="39"/>
        <v>2.9987950056995949E-2</v>
      </c>
      <c r="I48" s="37">
        <f t="shared" si="39"/>
        <v>0.23118527989509197</v>
      </c>
      <c r="J48" s="37">
        <f t="shared" si="39"/>
        <v>0.21502753203602509</v>
      </c>
      <c r="K48" s="37">
        <f t="shared" si="39"/>
        <v>0.37999908061627874</v>
      </c>
      <c r="L48" s="37">
        <f t="shared" si="39"/>
        <v>0.4944388309154375</v>
      </c>
      <c r="M48" s="37">
        <f t="shared" si="39"/>
        <v>0.39958949545828526</v>
      </c>
      <c r="N48" s="37">
        <f t="shared" si="39"/>
        <v>0.19316564076087328</v>
      </c>
      <c r="O48" s="37">
        <f t="shared" si="39"/>
        <v>0.80392728760090471</v>
      </c>
      <c r="P48" s="37">
        <f t="shared" si="39"/>
        <v>-0.10622805494375287</v>
      </c>
      <c r="Q48" s="37">
        <f t="shared" si="39"/>
        <v>-0.30406808893986614</v>
      </c>
      <c r="R48" s="37">
        <f t="shared" si="39"/>
        <v>-0.52195352590767374</v>
      </c>
      <c r="S48" s="37">
        <f t="shared" si="39"/>
        <v>-0.61608041346488918</v>
      </c>
      <c r="T48" s="37">
        <f t="shared" si="39"/>
        <v>-0.56891103010839439</v>
      </c>
      <c r="U48" s="37">
        <f t="shared" si="39"/>
        <v>-0.71142496785153275</v>
      </c>
      <c r="V48" s="37">
        <f t="shared" si="39"/>
        <v>-0.48923266968949575</v>
      </c>
      <c r="W48" s="37">
        <f t="shared" si="39"/>
        <v>-0.27649275821244013</v>
      </c>
      <c r="X48" s="37">
        <f t="shared" si="39"/>
        <v>-0.48266473027952905</v>
      </c>
      <c r="Y48" s="37">
        <f t="shared" si="39"/>
        <v>-0.36383415487211579</v>
      </c>
      <c r="Z48" s="37">
        <f t="shared" si="39"/>
        <v>-0.21219553448696971</v>
      </c>
      <c r="AA48" s="37">
        <f t="shared" si="39"/>
        <v>0.39894730935804557</v>
      </c>
      <c r="AB48" s="37">
        <f t="shared" si="39"/>
        <v>0.11264551356060082</v>
      </c>
      <c r="AC48" s="37">
        <f t="shared" si="39"/>
        <v>0.10446642631047176</v>
      </c>
      <c r="AD48" s="37">
        <f t="shared" si="39"/>
        <v>0.43140103730610413</v>
      </c>
      <c r="AE48" s="37">
        <f t="shared" si="39"/>
        <v>0.24681381255594248</v>
      </c>
      <c r="AF48" s="37">
        <f t="shared" si="39"/>
        <v>1.7613578151863596E-2</v>
      </c>
      <c r="AG48" s="37">
        <f t="shared" si="39"/>
        <v>0.38635656455069922</v>
      </c>
      <c r="AH48" s="37">
        <f t="shared" si="39"/>
        <v>0.37915473671717148</v>
      </c>
      <c r="AI48" s="37">
        <f t="shared" si="39"/>
        <v>0.50048004925299505</v>
      </c>
      <c r="AJ48" s="100">
        <f>SLOPE(B48:AI48,B$57:AI$57)</f>
        <v>4.5606249147742799E-3</v>
      </c>
      <c r="AK48" s="100">
        <f>SLOPE(B48:U48,B$57:U$57)</f>
        <v>-2.1595687569415479E-2</v>
      </c>
      <c r="AL48" s="100">
        <f>SLOPE(V48:AI48,V$57:AI$57)</f>
        <v>7.2426247048190395E-2</v>
      </c>
    </row>
    <row r="49" spans="1:38" x14ac:dyDescent="0.25">
      <c r="A49" s="138" t="s">
        <v>1788</v>
      </c>
      <c r="B49" s="37">
        <f t="shared" ref="B49:AI56" si="40">B4-B37</f>
        <v>1.2694361860887433</v>
      </c>
      <c r="C49" s="37">
        <f t="shared" si="40"/>
        <v>2.0470973884501422</v>
      </c>
      <c r="D49" s="37">
        <f t="shared" si="40"/>
        <v>1.0399863467116663</v>
      </c>
      <c r="E49" s="37">
        <f t="shared" si="40"/>
        <v>0.25081359787356661</v>
      </c>
      <c r="F49" s="37">
        <f t="shared" si="40"/>
        <v>1.2894211313198198</v>
      </c>
      <c r="G49" s="37">
        <f t="shared" si="40"/>
        <v>1.4112747346287637</v>
      </c>
      <c r="H49" s="37">
        <f t="shared" si="40"/>
        <v>1.4473192400817618</v>
      </c>
      <c r="I49" s="37">
        <f t="shared" si="40"/>
        <v>1.917407107775408</v>
      </c>
      <c r="J49" s="37">
        <f t="shared" si="40"/>
        <v>1.2721537664915976</v>
      </c>
      <c r="K49" s="37">
        <f t="shared" si="40"/>
        <v>-1.0264903442598232</v>
      </c>
      <c r="L49" s="37">
        <f t="shared" si="40"/>
        <v>-0.75975718613317866</v>
      </c>
      <c r="M49" s="37">
        <f t="shared" si="40"/>
        <v>-1.4637778620514368</v>
      </c>
      <c r="N49" s="37">
        <f t="shared" si="40"/>
        <v>-1.4556894837692544</v>
      </c>
      <c r="O49" s="37">
        <f t="shared" si="40"/>
        <v>-0.73435666102074126</v>
      </c>
      <c r="P49" s="37">
        <f t="shared" si="40"/>
        <v>-1.0541700025566119</v>
      </c>
      <c r="Q49" s="37">
        <f t="shared" si="40"/>
        <v>-0.85969792481169893</v>
      </c>
      <c r="R49" s="37">
        <f t="shared" si="40"/>
        <v>-1.8643348157282658</v>
      </c>
      <c r="S49" s="37">
        <f t="shared" si="40"/>
        <v>-2.0089975616401787</v>
      </c>
      <c r="T49" s="37">
        <f t="shared" si="40"/>
        <v>-1.6265510493851689</v>
      </c>
      <c r="U49" s="37">
        <f t="shared" si="40"/>
        <v>-1.6489389875296636</v>
      </c>
      <c r="V49" s="37">
        <f t="shared" si="40"/>
        <v>-0.23296878408216681</v>
      </c>
      <c r="W49" s="37">
        <f t="shared" si="40"/>
        <v>-0.70135930844358718</v>
      </c>
      <c r="X49" s="37">
        <f t="shared" si="40"/>
        <v>-1.3855440834108785</v>
      </c>
      <c r="Y49" s="37">
        <f t="shared" si="40"/>
        <v>-0.52063365643387272</v>
      </c>
      <c r="Z49" s="37">
        <f t="shared" si="40"/>
        <v>-0.256715509170375</v>
      </c>
      <c r="AA49" s="37">
        <f t="shared" si="40"/>
        <v>0.25451709392068977</v>
      </c>
      <c r="AB49" s="37">
        <f t="shared" si="40"/>
        <v>9.418444376456403E-2</v>
      </c>
      <c r="AC49" s="37">
        <f t="shared" si="40"/>
        <v>0.37559307188861268</v>
      </c>
      <c r="AD49" s="37">
        <f t="shared" si="40"/>
        <v>0.71524866673220888</v>
      </c>
      <c r="AE49" s="37">
        <f t="shared" si="40"/>
        <v>0.75652316394900776</v>
      </c>
      <c r="AF49" s="37">
        <f t="shared" si="40"/>
        <v>0.51141197717226383</v>
      </c>
      <c r="AG49" s="37">
        <f t="shared" si="40"/>
        <v>0.65917743535935092</v>
      </c>
      <c r="AH49" s="37">
        <f t="shared" si="40"/>
        <v>1.2672403672424606</v>
      </c>
      <c r="AI49" s="37">
        <f t="shared" si="40"/>
        <v>1.0211775009763375</v>
      </c>
      <c r="AJ49" s="100">
        <f t="shared" ref="AJ49:AJ56" si="41">SLOPE(B49:AI49,B$57:AI$57)</f>
        <v>-1.8297683595519684E-2</v>
      </c>
      <c r="AK49" s="100">
        <f t="shared" ref="AK49:AK56" si="42">SLOPE(B49:U49,B$57:U$57)</f>
        <v>-0.20830107367602244</v>
      </c>
      <c r="AL49" s="100">
        <f t="shared" ref="AL49:AL56" si="43">SLOPE(V49:AI49,V$57:AI$57)</f>
        <v>0.15453869880140136</v>
      </c>
    </row>
    <row r="50" spans="1:38" x14ac:dyDescent="0.25">
      <c r="A50" s="138" t="s">
        <v>1923</v>
      </c>
      <c r="B50" s="37">
        <f t="shared" si="40"/>
        <v>0.35967599171460396</v>
      </c>
      <c r="C50" s="37">
        <f t="shared" si="40"/>
        <v>0.37225162918083399</v>
      </c>
      <c r="D50" s="37">
        <f t="shared" si="40"/>
        <v>-0.16626902884824735</v>
      </c>
      <c r="E50" s="37">
        <f t="shared" si="40"/>
        <v>-0.16312415948230474</v>
      </c>
      <c r="F50" s="37">
        <f t="shared" si="40"/>
        <v>-7.7192712825920662E-2</v>
      </c>
      <c r="G50" s="37">
        <f t="shared" si="40"/>
        <v>-0.33510816967402879</v>
      </c>
      <c r="H50" s="37">
        <f t="shared" si="40"/>
        <v>-0.17736321086073992</v>
      </c>
      <c r="I50" s="37">
        <f t="shared" si="40"/>
        <v>-0.23801415698361761</v>
      </c>
      <c r="J50" s="37">
        <f t="shared" si="40"/>
        <v>-5.1007531988695121E-2</v>
      </c>
      <c r="K50" s="37">
        <f t="shared" si="40"/>
        <v>-0.16842387933434622</v>
      </c>
      <c r="L50" s="37">
        <f t="shared" si="40"/>
        <v>2.3227757088622347E-2</v>
      </c>
      <c r="M50" s="37">
        <f t="shared" si="40"/>
        <v>-0.23345316081550216</v>
      </c>
      <c r="N50" s="37">
        <f t="shared" si="40"/>
        <v>-1.7833202016459992E-2</v>
      </c>
      <c r="O50" s="37">
        <f t="shared" si="40"/>
        <v>0.42887862678200195</v>
      </c>
      <c r="P50" s="37">
        <f t="shared" si="40"/>
        <v>0.30020645468814244</v>
      </c>
      <c r="Q50" s="37">
        <f t="shared" si="40"/>
        <v>0.25432268287060511</v>
      </c>
      <c r="R50" s="37">
        <f t="shared" si="40"/>
        <v>5.7587893034410254E-2</v>
      </c>
      <c r="S50" s="37">
        <f t="shared" si="40"/>
        <v>0.3104470848338885</v>
      </c>
      <c r="T50" s="37">
        <f t="shared" si="40"/>
        <v>0.35126752181568355</v>
      </c>
      <c r="U50" s="37">
        <f t="shared" si="40"/>
        <v>-3.0719315759487165E-2</v>
      </c>
      <c r="V50" s="37">
        <f t="shared" si="40"/>
        <v>-8.7210975177038907E-3</v>
      </c>
      <c r="W50" s="37">
        <f t="shared" si="40"/>
        <v>6.9440105032539279E-2</v>
      </c>
      <c r="X50" s="37">
        <f t="shared" si="40"/>
        <v>-0.15649335684846677</v>
      </c>
      <c r="Y50" s="37">
        <f t="shared" si="40"/>
        <v>-0.19319814112423228</v>
      </c>
      <c r="Z50" s="37">
        <f t="shared" si="40"/>
        <v>-0.12089549097083796</v>
      </c>
      <c r="AA50" s="37">
        <f t="shared" si="40"/>
        <v>-5.5898461930550702E-2</v>
      </c>
      <c r="AB50" s="37">
        <f t="shared" si="40"/>
        <v>-0.13060112345968422</v>
      </c>
      <c r="AC50" s="37">
        <f t="shared" si="40"/>
        <v>-7.8900434434664213E-2</v>
      </c>
      <c r="AD50" s="37">
        <f t="shared" si="40"/>
        <v>-7.1102280333120493E-2</v>
      </c>
      <c r="AE50" s="37">
        <f t="shared" si="40"/>
        <v>-6.9006984257730331E-2</v>
      </c>
      <c r="AF50" s="37">
        <f t="shared" si="40"/>
        <v>-0.13178169511423676</v>
      </c>
      <c r="AG50" s="37">
        <f t="shared" si="40"/>
        <v>2.8584249595116518E-2</v>
      </c>
      <c r="AH50" s="37">
        <f t="shared" si="40"/>
        <v>2.9204668517850418E-3</v>
      </c>
      <c r="AI50" s="37">
        <f t="shared" si="40"/>
        <v>0.11629713109234463</v>
      </c>
      <c r="AJ50" s="100">
        <f t="shared" si="41"/>
        <v>-1.1190686747044667E-3</v>
      </c>
      <c r="AK50" s="100">
        <f t="shared" si="42"/>
        <v>1.2480579760099923E-2</v>
      </c>
      <c r="AL50" s="100">
        <f t="shared" si="43"/>
        <v>7.1531127459063763E-3</v>
      </c>
    </row>
    <row r="51" spans="1:38" x14ac:dyDescent="0.25">
      <c r="A51" s="138" t="s">
        <v>1924</v>
      </c>
      <c r="B51" s="37">
        <f t="shared" si="40"/>
        <v>-2.3233963295316684E-2</v>
      </c>
      <c r="C51" s="37">
        <f t="shared" si="40"/>
        <v>-9.1261123450331993E-2</v>
      </c>
      <c r="D51" s="37">
        <f t="shared" si="40"/>
        <v>-0.2855535451067579</v>
      </c>
      <c r="E51" s="37">
        <f t="shared" si="40"/>
        <v>-0.27250552616937207</v>
      </c>
      <c r="F51" s="37">
        <f t="shared" si="40"/>
        <v>-0.12060105677467847</v>
      </c>
      <c r="G51" s="37">
        <f t="shared" si="40"/>
        <v>-0.21765831536714941</v>
      </c>
      <c r="H51" s="37">
        <f t="shared" si="40"/>
        <v>-8.9364760206864791E-2</v>
      </c>
      <c r="I51" s="37">
        <f t="shared" si="40"/>
        <v>-7.8979176600026069E-2</v>
      </c>
      <c r="J51" s="37">
        <f t="shared" si="40"/>
        <v>-0.12893509877318321</v>
      </c>
      <c r="K51" s="37">
        <f t="shared" si="40"/>
        <v>-0.11864216656653515</v>
      </c>
      <c r="L51" s="37">
        <f t="shared" si="40"/>
        <v>8.4872304051803571E-2</v>
      </c>
      <c r="M51" s="37">
        <f t="shared" si="40"/>
        <v>-1.8724754781036523E-2</v>
      </c>
      <c r="N51" s="37">
        <f t="shared" si="40"/>
        <v>-1.7933090332930002E-2</v>
      </c>
      <c r="O51" s="37">
        <f t="shared" si="40"/>
        <v>0.26759355969286869</v>
      </c>
      <c r="P51" s="37">
        <f t="shared" si="40"/>
        <v>0.43911926998582507</v>
      </c>
      <c r="Q51" s="37">
        <f t="shared" si="40"/>
        <v>0.56863524004449806</v>
      </c>
      <c r="R51" s="37">
        <f t="shared" si="40"/>
        <v>2.4756058528510261E-2</v>
      </c>
      <c r="S51" s="37">
        <f t="shared" si="40"/>
        <v>1.0473299242040213E-2</v>
      </c>
      <c r="T51" s="37">
        <f t="shared" si="40"/>
        <v>2.543796624965422E-2</v>
      </c>
      <c r="U51" s="37">
        <f t="shared" si="40"/>
        <v>-5.4464841057836777E-2</v>
      </c>
      <c r="V51" s="37">
        <f t="shared" si="40"/>
        <v>-0.11539103194440226</v>
      </c>
      <c r="W51" s="37">
        <f t="shared" si="40"/>
        <v>-2.2608196900268718E-2</v>
      </c>
      <c r="X51" s="37">
        <f t="shared" si="40"/>
        <v>-8.2185854599228669E-2</v>
      </c>
      <c r="Y51" s="37">
        <f t="shared" si="40"/>
        <v>-0.11880170241691235</v>
      </c>
      <c r="Z51" s="37">
        <f t="shared" si="40"/>
        <v>-5.3544786398687094E-3</v>
      </c>
      <c r="AA51" s="37">
        <f t="shared" si="40"/>
        <v>7.4166997464396145E-2</v>
      </c>
      <c r="AB51" s="37">
        <f t="shared" si="40"/>
        <v>3.8849779721394695E-2</v>
      </c>
      <c r="AC51" s="37">
        <f t="shared" si="40"/>
        <v>-5.688623913185431E-2</v>
      </c>
      <c r="AD51" s="37">
        <f t="shared" si="40"/>
        <v>7.4748908470031461E-2</v>
      </c>
      <c r="AE51" s="37">
        <f t="shared" si="40"/>
        <v>5.982686281451155E-2</v>
      </c>
      <c r="AF51" s="37">
        <f t="shared" si="40"/>
        <v>-1.5844517151238247E-2</v>
      </c>
      <c r="AG51" s="37">
        <f t="shared" si="40"/>
        <v>6.3092122477383938E-2</v>
      </c>
      <c r="AH51" s="37">
        <f t="shared" si="40"/>
        <v>7.2102338365335861E-2</v>
      </c>
      <c r="AI51" s="37">
        <f t="shared" si="40"/>
        <v>0.13125473215753813</v>
      </c>
      <c r="AJ51" s="100">
        <f t="shared" si="41"/>
        <v>5.5509981140895231E-3</v>
      </c>
      <c r="AK51" s="100">
        <f t="shared" si="42"/>
        <v>1.9944347985061985E-2</v>
      </c>
      <c r="AL51" s="100">
        <f t="shared" si="43"/>
        <v>1.4304020512597068E-2</v>
      </c>
    </row>
    <row r="52" spans="1:38" x14ac:dyDescent="0.25">
      <c r="A52" s="138" t="s">
        <v>1939</v>
      </c>
      <c r="B52" s="37">
        <f t="shared" si="40"/>
        <v>0.83256788732305687</v>
      </c>
      <c r="C52" s="37">
        <f t="shared" si="40"/>
        <v>0.70925789466691924</v>
      </c>
      <c r="D52" s="37">
        <f t="shared" si="40"/>
        <v>0.2403278113580587</v>
      </c>
      <c r="E52" s="37">
        <f t="shared" si="40"/>
        <v>-0.39175097104316059</v>
      </c>
      <c r="F52" s="37">
        <f t="shared" si="40"/>
        <v>-0.15951581238707924</v>
      </c>
      <c r="G52" s="37">
        <f t="shared" si="40"/>
        <v>-0.99405819965331155</v>
      </c>
      <c r="H52" s="37">
        <f t="shared" si="40"/>
        <v>-1.4213100973602621E-2</v>
      </c>
      <c r="I52" s="37">
        <f t="shared" si="40"/>
        <v>0.52517768486713301</v>
      </c>
      <c r="J52" s="37">
        <f t="shared" si="40"/>
        <v>0.22062287408456172</v>
      </c>
      <c r="K52" s="37">
        <f t="shared" si="40"/>
        <v>1.1597220588808543</v>
      </c>
      <c r="L52" s="37">
        <f t="shared" si="40"/>
        <v>8.0542940122278139E-2</v>
      </c>
      <c r="M52" s="37">
        <f t="shared" si="40"/>
        <v>-0.98095263686001744</v>
      </c>
      <c r="N52" s="37">
        <f t="shared" si="40"/>
        <v>-0.93529721828797285</v>
      </c>
      <c r="O52" s="37">
        <f t="shared" si="40"/>
        <v>-0.6516796740715165</v>
      </c>
      <c r="P52" s="37">
        <f t="shared" si="40"/>
        <v>5.1781375794272222E-2</v>
      </c>
      <c r="Q52" s="37">
        <f t="shared" si="40"/>
        <v>0.29753448875907473</v>
      </c>
      <c r="R52" s="37">
        <f t="shared" si="40"/>
        <v>-0.52551252565428719</v>
      </c>
      <c r="S52" s="37">
        <f t="shared" si="40"/>
        <v>0.33683510262748051</v>
      </c>
      <c r="T52" s="37">
        <f t="shared" si="40"/>
        <v>1.3789030568524652E-2</v>
      </c>
      <c r="U52" s="37">
        <f t="shared" si="40"/>
        <v>0.36593806482918723</v>
      </c>
      <c r="V52" s="37">
        <f t="shared" si="40"/>
        <v>0.50602507096832028</v>
      </c>
      <c r="W52" s="37">
        <f t="shared" si="40"/>
        <v>1.4244406569867483</v>
      </c>
      <c r="X52" s="37">
        <f t="shared" si="40"/>
        <v>0.66289255527010305</v>
      </c>
      <c r="Y52" s="37">
        <f t="shared" si="40"/>
        <v>-0.32695442155364951</v>
      </c>
      <c r="Z52" s="37">
        <f t="shared" si="40"/>
        <v>1.0042200457391939</v>
      </c>
      <c r="AA52" s="37">
        <f t="shared" si="40"/>
        <v>-5.5970696990238267E-2</v>
      </c>
      <c r="AB52" s="37">
        <f t="shared" si="40"/>
        <v>-0.32991638903230225</v>
      </c>
      <c r="AC52" s="37">
        <f t="shared" si="40"/>
        <v>-0.55947957013637328</v>
      </c>
      <c r="AD52" s="37">
        <f t="shared" si="40"/>
        <v>-1.7513856294208097E-2</v>
      </c>
      <c r="AE52" s="37">
        <f t="shared" si="40"/>
        <v>-0.47725850784824253</v>
      </c>
      <c r="AF52" s="37">
        <f t="shared" si="40"/>
        <v>-1.0757417448949376</v>
      </c>
      <c r="AG52" s="37">
        <f t="shared" si="40"/>
        <v>-0.30118608477788378</v>
      </c>
      <c r="AH52" s="37">
        <f t="shared" si="40"/>
        <v>-0.38345468560418006</v>
      </c>
      <c r="AI52" s="37">
        <f t="shared" si="40"/>
        <v>-0.25121944678282482</v>
      </c>
      <c r="AJ52" s="100">
        <f t="shared" si="41"/>
        <v>-1.2271577898201961E-2</v>
      </c>
      <c r="AK52" s="100">
        <f t="shared" si="42"/>
        <v>-1.7284710410057778E-2</v>
      </c>
      <c r="AL52" s="100">
        <f t="shared" si="43"/>
        <v>-0.11246336692316297</v>
      </c>
    </row>
    <row r="53" spans="1:38" x14ac:dyDescent="0.25">
      <c r="A53" s="138" t="s">
        <v>1925</v>
      </c>
      <c r="B53" s="37">
        <f t="shared" si="40"/>
        <v>2.1579834469024348</v>
      </c>
      <c r="C53" s="37">
        <f t="shared" si="40"/>
        <v>1.3514520110945156</v>
      </c>
      <c r="D53" s="37">
        <f t="shared" si="40"/>
        <v>-1.4256811539053302</v>
      </c>
      <c r="E53" s="37">
        <f t="shared" si="40"/>
        <v>-0.52911089649684584</v>
      </c>
      <c r="F53" s="37">
        <f t="shared" si="40"/>
        <v>-0.80056860689388643</v>
      </c>
      <c r="G53" s="37">
        <f t="shared" si="40"/>
        <v>-0.96247913907107829</v>
      </c>
      <c r="H53" s="37">
        <f t="shared" si="40"/>
        <v>-0.93890548290413989</v>
      </c>
      <c r="I53" s="37">
        <f t="shared" si="40"/>
        <v>1.5209355120763064</v>
      </c>
      <c r="J53" s="37">
        <f t="shared" si="40"/>
        <v>4.1568216209179631</v>
      </c>
      <c r="K53" s="37">
        <f t="shared" si="40"/>
        <v>4.5881336070727201</v>
      </c>
      <c r="L53" s="37">
        <f t="shared" si="40"/>
        <v>4.4962423852486957</v>
      </c>
      <c r="M53" s="37">
        <f t="shared" si="40"/>
        <v>5.272029628718542</v>
      </c>
      <c r="N53" s="37">
        <f t="shared" si="40"/>
        <v>6.0206012204001595</v>
      </c>
      <c r="O53" s="37">
        <f t="shared" si="40"/>
        <v>4.4389698291746598</v>
      </c>
      <c r="P53" s="37">
        <f t="shared" si="40"/>
        <v>7.3957800393976569</v>
      </c>
      <c r="Q53" s="37">
        <f t="shared" si="40"/>
        <v>1.2286337929492177</v>
      </c>
      <c r="R53" s="37">
        <f t="shared" si="40"/>
        <v>1.3810126387148607</v>
      </c>
      <c r="S53" s="37">
        <f t="shared" si="40"/>
        <v>0.12818162991472803</v>
      </c>
      <c r="T53" s="37">
        <f t="shared" si="40"/>
        <v>-0.37374833044060907</v>
      </c>
      <c r="U53" s="37">
        <f t="shared" si="40"/>
        <v>-1.8567791805601388</v>
      </c>
      <c r="V53" s="37">
        <f t="shared" si="40"/>
        <v>-0.61030320022356932</v>
      </c>
      <c r="W53" s="37">
        <f t="shared" si="40"/>
        <v>-0.72175582420533857</v>
      </c>
      <c r="X53" s="37">
        <f t="shared" si="40"/>
        <v>-1.5662891327965802</v>
      </c>
      <c r="Y53" s="37">
        <f t="shared" si="40"/>
        <v>-4.03971745600251</v>
      </c>
      <c r="Z53" s="37">
        <f t="shared" si="40"/>
        <v>-5.630061216804517</v>
      </c>
      <c r="AA53" s="37">
        <f t="shared" si="40"/>
        <v>-3.4503394108590193</v>
      </c>
      <c r="AB53" s="37">
        <f t="shared" si="40"/>
        <v>-2.3287732450458698</v>
      </c>
      <c r="AC53" s="37">
        <f t="shared" si="40"/>
        <v>-2.2848828202512692</v>
      </c>
      <c r="AD53" s="37">
        <f t="shared" si="40"/>
        <v>-2.9938491522947359</v>
      </c>
      <c r="AE53" s="37">
        <f t="shared" si="40"/>
        <v>-3.6389747695910835</v>
      </c>
      <c r="AF53" s="37">
        <f t="shared" si="40"/>
        <v>-3.5098212057412823</v>
      </c>
      <c r="AG53" s="37">
        <f t="shared" si="40"/>
        <v>-2.2193491641541172</v>
      </c>
      <c r="AH53" s="37">
        <f t="shared" si="40"/>
        <v>-3.0725885591000299</v>
      </c>
      <c r="AI53" s="37">
        <f t="shared" si="40"/>
        <v>-1.1827994152405061</v>
      </c>
      <c r="AJ53" s="100">
        <f t="shared" si="41"/>
        <v>-0.18137675170543049</v>
      </c>
      <c r="AK53" s="100">
        <f t="shared" si="42"/>
        <v>7.7799548510833386E-2</v>
      </c>
      <c r="AL53" s="100">
        <f t="shared" si="43"/>
        <v>-5.296941532504703E-2</v>
      </c>
    </row>
    <row r="54" spans="1:38" x14ac:dyDescent="0.25">
      <c r="A54" s="138" t="s">
        <v>1940</v>
      </c>
      <c r="B54" s="37">
        <f t="shared" si="40"/>
        <v>0.1063562227307191</v>
      </c>
      <c r="C54" s="37">
        <f t="shared" si="40"/>
        <v>-0.36538667604779285</v>
      </c>
      <c r="D54" s="37">
        <f t="shared" si="40"/>
        <v>-0.51803901709818945</v>
      </c>
      <c r="E54" s="37">
        <f t="shared" si="40"/>
        <v>-0.56751220600177632</v>
      </c>
      <c r="F54" s="37">
        <f t="shared" si="40"/>
        <v>0.49854599826168311</v>
      </c>
      <c r="G54" s="37">
        <f t="shared" si="40"/>
        <v>0.29812895221405178</v>
      </c>
      <c r="H54" s="37">
        <f t="shared" si="40"/>
        <v>0.73736235568893704</v>
      </c>
      <c r="I54" s="37">
        <f t="shared" si="40"/>
        <v>-0.36832007951094425</v>
      </c>
      <c r="J54" s="37">
        <f t="shared" si="40"/>
        <v>-0.15795941579771622</v>
      </c>
      <c r="K54" s="37">
        <f t="shared" si="40"/>
        <v>-0.25141717142057196</v>
      </c>
      <c r="L54" s="37">
        <f t="shared" si="40"/>
        <v>-4.9674513289943434E-3</v>
      </c>
      <c r="M54" s="37">
        <f t="shared" si="40"/>
        <v>-2.4663677543365736E-2</v>
      </c>
      <c r="N54" s="37">
        <f t="shared" si="40"/>
        <v>0.51167466279148677</v>
      </c>
      <c r="O54" s="37">
        <f t="shared" si="40"/>
        <v>0.42251375332435792</v>
      </c>
      <c r="P54" s="37">
        <f t="shared" si="40"/>
        <v>0.33715425362753138</v>
      </c>
      <c r="Q54" s="37">
        <f t="shared" si="40"/>
        <v>0.26955769416102981</v>
      </c>
      <c r="R54" s="37">
        <f t="shared" si="40"/>
        <v>-0.23548669259288602</v>
      </c>
      <c r="S54" s="37">
        <f t="shared" si="40"/>
        <v>-0.15645375366155534</v>
      </c>
      <c r="T54" s="37">
        <f t="shared" si="40"/>
        <v>4.0979044411384891E-2</v>
      </c>
      <c r="U54" s="37">
        <f t="shared" si="40"/>
        <v>-0.85816758906261903</v>
      </c>
      <c r="V54" s="37">
        <f t="shared" si="40"/>
        <v>-0.85850860831658338</v>
      </c>
      <c r="W54" s="37">
        <f t="shared" si="40"/>
        <v>-0.91774171295610429</v>
      </c>
      <c r="X54" s="37">
        <f t="shared" si="40"/>
        <v>-1.703576947104164</v>
      </c>
      <c r="Y54" s="37">
        <f t="shared" si="40"/>
        <v>-1.0548145909292934</v>
      </c>
      <c r="Z54" s="37">
        <f t="shared" si="40"/>
        <v>-0.74312917237154785</v>
      </c>
      <c r="AA54" s="37">
        <f t="shared" si="40"/>
        <v>0.21411457042050408</v>
      </c>
      <c r="AB54" s="37">
        <f t="shared" si="40"/>
        <v>-0.22229645242751062</v>
      </c>
      <c r="AC54" s="37">
        <f t="shared" si="40"/>
        <v>0.20200475303644261</v>
      </c>
      <c r="AD54" s="37">
        <f t="shared" si="40"/>
        <v>1.0712220205679124</v>
      </c>
      <c r="AE54" s="37">
        <f t="shared" si="40"/>
        <v>0.98872410126729449</v>
      </c>
      <c r="AF54" s="37">
        <f t="shared" si="40"/>
        <v>0.15523158193049014</v>
      </c>
      <c r="AG54" s="37">
        <f t="shared" si="40"/>
        <v>0.82473461498907241</v>
      </c>
      <c r="AH54" s="37">
        <f t="shared" si="40"/>
        <v>1.1250255903179802</v>
      </c>
      <c r="AI54" s="37">
        <f t="shared" si="40"/>
        <v>1.2051110444306872</v>
      </c>
      <c r="AJ54" s="100">
        <f t="shared" si="41"/>
        <v>1.5416660384841989E-2</v>
      </c>
      <c r="AK54" s="100">
        <f t="shared" si="42"/>
        <v>-7.5405846088230373E-4</v>
      </c>
      <c r="AL54" s="100">
        <f t="shared" si="43"/>
        <v>0.20258794069162073</v>
      </c>
    </row>
    <row r="55" spans="1:38" x14ac:dyDescent="0.25">
      <c r="A55" s="138" t="s">
        <v>1926</v>
      </c>
      <c r="B55" s="37">
        <f t="shared" si="40"/>
        <v>0.13724276510497346</v>
      </c>
      <c r="C55" s="37">
        <f t="shared" si="40"/>
        <v>0.15662488568243926</v>
      </c>
      <c r="D55" s="37">
        <f t="shared" si="40"/>
        <v>-0.165093394564233</v>
      </c>
      <c r="E55" s="37">
        <f t="shared" si="40"/>
        <v>-7.6792945810956192E-2</v>
      </c>
      <c r="F55" s="37">
        <f t="shared" si="40"/>
        <v>0.18334120288123512</v>
      </c>
      <c r="G55" s="37">
        <f t="shared" si="40"/>
        <v>0.1057239732811881</v>
      </c>
      <c r="H55" s="37">
        <f t="shared" si="40"/>
        <v>0.16824099074493981</v>
      </c>
      <c r="I55" s="37">
        <f t="shared" si="40"/>
        <v>0.16175968131776219</v>
      </c>
      <c r="J55" s="37">
        <f t="shared" si="40"/>
        <v>0.21683393210657909</v>
      </c>
      <c r="K55" s="37">
        <f t="shared" si="40"/>
        <v>9.0554027215995259E-2</v>
      </c>
      <c r="L55" s="37">
        <f t="shared" si="40"/>
        <v>6.4874770333741338E-2</v>
      </c>
      <c r="M55" s="37">
        <f t="shared" si="40"/>
        <v>0.22851998973395315</v>
      </c>
      <c r="N55" s="37">
        <f t="shared" si="40"/>
        <v>0.11972656892152989</v>
      </c>
      <c r="O55" s="37">
        <f t="shared" si="40"/>
        <v>3.6405724947494056E-2</v>
      </c>
      <c r="P55" s="37">
        <f t="shared" si="40"/>
        <v>2.2225447477177696E-2</v>
      </c>
      <c r="Q55" s="37">
        <f t="shared" si="40"/>
        <v>-3.8476322605329516E-2</v>
      </c>
      <c r="R55" s="37">
        <f t="shared" si="40"/>
        <v>1.0718902245832052E-3</v>
      </c>
      <c r="S55" s="37">
        <f t="shared" si="40"/>
        <v>-6.5069734251607558E-2</v>
      </c>
      <c r="T55" s="37">
        <f t="shared" si="40"/>
        <v>-0.12884487194695649</v>
      </c>
      <c r="U55" s="37">
        <f t="shared" si="40"/>
        <v>-8.9791625522832819E-2</v>
      </c>
      <c r="V55" s="37">
        <f t="shared" si="40"/>
        <v>-6.1957040956224008E-2</v>
      </c>
      <c r="W55" s="37">
        <f t="shared" si="40"/>
        <v>-0.12932276424513778</v>
      </c>
      <c r="X55" s="37">
        <f t="shared" si="40"/>
        <v>-7.0025470361249287E-2</v>
      </c>
      <c r="Y55" s="37">
        <f t="shared" si="40"/>
        <v>-0.18901190447740157</v>
      </c>
      <c r="Z55" s="37">
        <f t="shared" si="40"/>
        <v>-2.4000464961383861E-2</v>
      </c>
      <c r="AA55" s="37">
        <f t="shared" si="40"/>
        <v>-0.11270100976345532</v>
      </c>
      <c r="AB55" s="37">
        <f t="shared" si="40"/>
        <v>-9.9302178844822397E-2</v>
      </c>
      <c r="AC55" s="37">
        <f t="shared" si="40"/>
        <v>-0.11069501697170225</v>
      </c>
      <c r="AD55" s="37">
        <f t="shared" si="40"/>
        <v>-6.0878045881274212E-2</v>
      </c>
      <c r="AE55" s="37">
        <f t="shared" si="40"/>
        <v>-0.16350036919906341</v>
      </c>
      <c r="AF55" s="37">
        <f t="shared" si="40"/>
        <v>-0.10308334080892712</v>
      </c>
      <c r="AG55" s="37">
        <f t="shared" si="40"/>
        <v>2.2304830713942181E-2</v>
      </c>
      <c r="AH55" s="37">
        <f t="shared" si="40"/>
        <v>-4.8956091545397817E-2</v>
      </c>
      <c r="AI55" s="37">
        <f t="shared" si="40"/>
        <v>2.2051912030422116E-2</v>
      </c>
      <c r="AJ55" s="100">
        <f t="shared" si="41"/>
        <v>-7.1050530253100822E-3</v>
      </c>
      <c r="AK55" s="100">
        <f t="shared" si="42"/>
        <v>-8.2474846222769706E-3</v>
      </c>
      <c r="AL55" s="100">
        <f t="shared" si="43"/>
        <v>6.2751625850787892E-3</v>
      </c>
    </row>
    <row r="56" spans="1:38" x14ac:dyDescent="0.25">
      <c r="A56" s="138" t="s">
        <v>1927</v>
      </c>
      <c r="B56" s="37">
        <f t="shared" si="40"/>
        <v>-0.18006446957319933</v>
      </c>
      <c r="C56" s="37">
        <f t="shared" si="40"/>
        <v>-0.1074839835493383</v>
      </c>
      <c r="D56" s="37">
        <f t="shared" si="40"/>
        <v>-9.6688647358973423E-3</v>
      </c>
      <c r="E56" s="37">
        <f t="shared" si="40"/>
        <v>-6.2644635720274455E-2</v>
      </c>
      <c r="F56" s="37">
        <f t="shared" si="40"/>
        <v>-6.5289018300465962E-2</v>
      </c>
      <c r="G56" s="37">
        <f t="shared" si="40"/>
        <v>-0.15000180254666395</v>
      </c>
      <c r="H56" s="37">
        <f t="shared" si="40"/>
        <v>-8.2471654526525828E-2</v>
      </c>
      <c r="I56" s="37">
        <f t="shared" si="40"/>
        <v>-3.4243590519476785E-2</v>
      </c>
      <c r="J56" s="37">
        <f t="shared" si="40"/>
        <v>-4.1512655638936691E-3</v>
      </c>
      <c r="K56" s="37">
        <f t="shared" si="40"/>
        <v>-4.9794603199588172E-2</v>
      </c>
      <c r="L56" s="37">
        <f t="shared" si="40"/>
        <v>2.1627528656088635E-2</v>
      </c>
      <c r="M56" s="37">
        <f t="shared" si="40"/>
        <v>3.7150185971521199E-2</v>
      </c>
      <c r="N56" s="37">
        <f t="shared" si="40"/>
        <v>-1.7346678561221185E-2</v>
      </c>
      <c r="O56" s="37">
        <f t="shared" si="40"/>
        <v>3.6064154462358444E-2</v>
      </c>
      <c r="P56" s="37">
        <f t="shared" si="40"/>
        <v>8.7197728668702124E-2</v>
      </c>
      <c r="Q56" s="37">
        <f t="shared" si="40"/>
        <v>-3.0189370876650301E-2</v>
      </c>
      <c r="R56" s="37">
        <f t="shared" si="40"/>
        <v>-8.1288503484021501E-2</v>
      </c>
      <c r="S56" s="37">
        <f t="shared" ref="S56:AL56" si="44">S11-S44</f>
        <v>-6.2652758803125042E-2</v>
      </c>
      <c r="T56" s="37">
        <f t="shared" si="44"/>
        <v>-0.12705394420618743</v>
      </c>
      <c r="U56" s="37">
        <f t="shared" si="44"/>
        <v>-7.3233400017695627E-2</v>
      </c>
      <c r="V56" s="37">
        <f t="shared" si="44"/>
        <v>-0.12862359503970555</v>
      </c>
      <c r="W56" s="37">
        <f t="shared" si="44"/>
        <v>-0.11027073198683357</v>
      </c>
      <c r="X56" s="37">
        <f t="shared" si="44"/>
        <v>-0.15475773661538395</v>
      </c>
      <c r="Y56" s="37">
        <f t="shared" si="44"/>
        <v>1.6340774622047971E-2</v>
      </c>
      <c r="Z56" s="37">
        <f t="shared" si="44"/>
        <v>5.5451168624524372E-2</v>
      </c>
      <c r="AA56" s="37">
        <f t="shared" si="44"/>
        <v>0.25289399298688142</v>
      </c>
      <c r="AB56" s="37">
        <f t="shared" si="44"/>
        <v>0.10869918490205799</v>
      </c>
      <c r="AC56" s="37">
        <f t="shared" si="44"/>
        <v>1.9769112522054044E-2</v>
      </c>
      <c r="AD56" s="37">
        <f t="shared" si="44"/>
        <v>0.16592220232936672</v>
      </c>
      <c r="AE56" s="37">
        <f t="shared" si="44"/>
        <v>0.14714922250341189</v>
      </c>
      <c r="AF56" s="37">
        <f t="shared" si="44"/>
        <v>0.12619506099892164</v>
      </c>
      <c r="AG56" s="37">
        <f t="shared" si="44"/>
        <v>0.16888127923996843</v>
      </c>
      <c r="AH56" s="37">
        <f t="shared" si="44"/>
        <v>0.17588911258107387</v>
      </c>
      <c r="AI56" s="37">
        <f t="shared" si="44"/>
        <v>0.11199989875716398</v>
      </c>
      <c r="AJ56" s="100">
        <f t="shared" si="41"/>
        <v>7.1573704768036466E-3</v>
      </c>
      <c r="AK56" s="100">
        <f t="shared" si="42"/>
        <v>3.225884143027566E-3</v>
      </c>
      <c r="AL56" s="100">
        <f t="shared" si="43"/>
        <v>2.2123603696669148E-2</v>
      </c>
    </row>
    <row r="57" spans="1:38" ht="30" x14ac:dyDescent="0.25">
      <c r="A57" s="122" t="s">
        <v>2015</v>
      </c>
      <c r="B57">
        <v>1</v>
      </c>
      <c r="C57" s="37">
        <f>+B57+1</f>
        <v>2</v>
      </c>
      <c r="D57" s="37">
        <f t="shared" ref="D57:AI57" si="45">+C57+1</f>
        <v>3</v>
      </c>
      <c r="E57" s="37">
        <f t="shared" si="45"/>
        <v>4</v>
      </c>
      <c r="F57" s="37">
        <f t="shared" si="45"/>
        <v>5</v>
      </c>
      <c r="G57" s="37">
        <f t="shared" si="45"/>
        <v>6</v>
      </c>
      <c r="H57" s="37">
        <f t="shared" si="45"/>
        <v>7</v>
      </c>
      <c r="I57" s="37">
        <f t="shared" si="45"/>
        <v>8</v>
      </c>
      <c r="J57" s="37">
        <f t="shared" si="45"/>
        <v>9</v>
      </c>
      <c r="K57" s="37">
        <f t="shared" si="45"/>
        <v>10</v>
      </c>
      <c r="L57" s="37">
        <f t="shared" si="45"/>
        <v>11</v>
      </c>
      <c r="M57" s="37">
        <f t="shared" si="45"/>
        <v>12</v>
      </c>
      <c r="N57" s="37">
        <f t="shared" si="45"/>
        <v>13</v>
      </c>
      <c r="O57" s="37">
        <f t="shared" si="45"/>
        <v>14</v>
      </c>
      <c r="P57" s="37">
        <f t="shared" si="45"/>
        <v>15</v>
      </c>
      <c r="Q57" s="37">
        <f t="shared" si="45"/>
        <v>16</v>
      </c>
      <c r="R57" s="37">
        <f t="shared" si="45"/>
        <v>17</v>
      </c>
      <c r="S57" s="37">
        <f t="shared" si="45"/>
        <v>18</v>
      </c>
      <c r="T57" s="37">
        <f t="shared" si="45"/>
        <v>19</v>
      </c>
      <c r="U57" s="37">
        <f t="shared" si="45"/>
        <v>20</v>
      </c>
      <c r="V57" s="37">
        <f t="shared" si="45"/>
        <v>21</v>
      </c>
      <c r="W57" s="37">
        <f t="shared" si="45"/>
        <v>22</v>
      </c>
      <c r="X57" s="37">
        <f t="shared" si="45"/>
        <v>23</v>
      </c>
      <c r="Y57" s="37">
        <f t="shared" si="45"/>
        <v>24</v>
      </c>
      <c r="Z57" s="37">
        <f t="shared" si="45"/>
        <v>25</v>
      </c>
      <c r="AA57" s="37">
        <f t="shared" si="45"/>
        <v>26</v>
      </c>
      <c r="AB57" s="37">
        <f t="shared" si="45"/>
        <v>27</v>
      </c>
      <c r="AC57" s="37">
        <f t="shared" si="45"/>
        <v>28</v>
      </c>
      <c r="AD57" s="37">
        <f t="shared" si="45"/>
        <v>29</v>
      </c>
      <c r="AE57" s="37">
        <f t="shared" si="45"/>
        <v>30</v>
      </c>
      <c r="AF57" s="37">
        <f t="shared" si="45"/>
        <v>31</v>
      </c>
      <c r="AG57" s="37">
        <f t="shared" si="45"/>
        <v>32</v>
      </c>
      <c r="AH57" s="37">
        <f t="shared" si="45"/>
        <v>33</v>
      </c>
      <c r="AI57" s="37">
        <f t="shared" si="45"/>
        <v>34</v>
      </c>
      <c r="AK57" s="37"/>
    </row>
    <row r="60" spans="1:38" x14ac:dyDescent="0.25">
      <c r="A60" s="263" t="s">
        <v>2189</v>
      </c>
    </row>
    <row r="61" spans="1:38" x14ac:dyDescent="0.25">
      <c r="A61" t="s">
        <v>1788</v>
      </c>
    </row>
    <row r="62" spans="1:38" x14ac:dyDescent="0.25">
      <c r="A62" t="s">
        <v>2190</v>
      </c>
      <c r="B62" t="s">
        <v>1788</v>
      </c>
    </row>
    <row r="63" spans="1:38" x14ac:dyDescent="0.25">
      <c r="A63">
        <v>8.2436340146856661</v>
      </c>
      <c r="B63">
        <v>5758</v>
      </c>
      <c r="C63" t="s">
        <v>1973</v>
      </c>
    </row>
    <row r="64" spans="1:38" ht="15.75" thickBot="1" x14ac:dyDescent="0.3">
      <c r="A64">
        <v>9.0733242425638281</v>
      </c>
      <c r="B64">
        <v>5826</v>
      </c>
    </row>
    <row r="65" spans="1:11" x14ac:dyDescent="0.25">
      <c r="A65">
        <v>8.7731958416707734</v>
      </c>
      <c r="B65">
        <v>6750</v>
      </c>
      <c r="C65" s="267" t="s">
        <v>1974</v>
      </c>
      <c r="D65" s="267"/>
    </row>
    <row r="66" spans="1:11" x14ac:dyDescent="0.25">
      <c r="A66">
        <v>7.8593064581380805</v>
      </c>
      <c r="B66">
        <v>6587</v>
      </c>
      <c r="C66" s="264" t="s">
        <v>1975</v>
      </c>
      <c r="D66" s="264">
        <v>0.25664473555447842</v>
      </c>
    </row>
    <row r="67" spans="1:11" x14ac:dyDescent="0.25">
      <c r="A67">
        <v>8.8428244351548209</v>
      </c>
      <c r="B67">
        <v>6515</v>
      </c>
      <c r="C67" s="264" t="s">
        <v>1976</v>
      </c>
      <c r="D67" s="268">
        <v>6.5866520287828148E-2</v>
      </c>
    </row>
    <row r="68" spans="1:11" x14ac:dyDescent="0.25">
      <c r="A68">
        <v>8.9164746765879404</v>
      </c>
      <c r="B68">
        <v>6452</v>
      </c>
      <c r="C68" s="264" t="s">
        <v>1977</v>
      </c>
      <c r="D68" s="264">
        <v>3.6674849046822777E-2</v>
      </c>
    </row>
    <row r="69" spans="1:11" x14ac:dyDescent="0.25">
      <c r="A69">
        <v>9.0137298002959536</v>
      </c>
      <c r="B69">
        <v>6532</v>
      </c>
      <c r="C69" s="264" t="s">
        <v>1978</v>
      </c>
      <c r="D69" s="264">
        <v>1.2066920963624466</v>
      </c>
    </row>
    <row r="70" spans="1:11" ht="15.75" thickBot="1" x14ac:dyDescent="0.3">
      <c r="A70">
        <v>9.4539774915902797</v>
      </c>
      <c r="B70">
        <v>6493</v>
      </c>
      <c r="C70" s="265" t="s">
        <v>1979</v>
      </c>
      <c r="D70" s="265">
        <v>34</v>
      </c>
    </row>
    <row r="71" spans="1:11" x14ac:dyDescent="0.25">
      <c r="A71">
        <v>8.0917947839946081</v>
      </c>
      <c r="B71">
        <v>5556</v>
      </c>
    </row>
    <row r="72" spans="1:11" ht="15.75" thickBot="1" x14ac:dyDescent="0.3">
      <c r="A72">
        <v>6.007387837135739</v>
      </c>
      <c r="B72">
        <v>5836</v>
      </c>
      <c r="C72" t="s">
        <v>1980</v>
      </c>
    </row>
    <row r="73" spans="1:11" x14ac:dyDescent="0.25">
      <c r="A73">
        <v>6.6758156775609185</v>
      </c>
      <c r="B73">
        <v>6361</v>
      </c>
      <c r="C73" s="266"/>
      <c r="D73" s="266" t="s">
        <v>1984</v>
      </c>
      <c r="E73" s="266" t="s">
        <v>1733</v>
      </c>
      <c r="F73" s="266" t="s">
        <v>1985</v>
      </c>
      <c r="G73" s="266" t="s">
        <v>1986</v>
      </c>
      <c r="H73" s="266" t="s">
        <v>1987</v>
      </c>
    </row>
    <row r="74" spans="1:11" x14ac:dyDescent="0.25">
      <c r="A74">
        <v>5.6657419103675863</v>
      </c>
      <c r="B74">
        <v>5961</v>
      </c>
      <c r="C74" s="264" t="s">
        <v>1981</v>
      </c>
      <c r="D74" s="264">
        <v>1</v>
      </c>
      <c r="E74" s="264">
        <v>3.2854790135516652</v>
      </c>
      <c r="F74" s="264">
        <v>3.2854790135516652</v>
      </c>
      <c r="G74" s="268">
        <v>2.2563463305693108</v>
      </c>
      <c r="H74" s="268">
        <v>0.14287244794634885</v>
      </c>
    </row>
    <row r="75" spans="1:11" x14ac:dyDescent="0.25">
      <c r="A75">
        <v>5.6723000231933938</v>
      </c>
      <c r="B75">
        <v>5959</v>
      </c>
      <c r="C75" s="264" t="s">
        <v>1982</v>
      </c>
      <c r="D75" s="264">
        <v>32</v>
      </c>
      <c r="E75" s="264">
        <v>46.595386093555078</v>
      </c>
      <c r="F75" s="264">
        <v>1.4561058154235962</v>
      </c>
      <c r="G75" s="264"/>
      <c r="H75" s="264"/>
    </row>
    <row r="76" spans="1:11" ht="15.75" thickBot="1" x14ac:dyDescent="0.3">
      <c r="A76">
        <v>6.9850804448309871</v>
      </c>
      <c r="B76">
        <v>6732</v>
      </c>
      <c r="C76" s="265" t="s">
        <v>1770</v>
      </c>
      <c r="D76" s="265">
        <v>33</v>
      </c>
      <c r="E76" s="265">
        <v>49.880865107106743</v>
      </c>
      <c r="F76" s="265"/>
      <c r="G76" s="265"/>
      <c r="H76" s="265"/>
    </row>
    <row r="77" spans="1:11" ht="15.75" thickBot="1" x14ac:dyDescent="0.3">
      <c r="A77">
        <v>6.4472042757616261</v>
      </c>
      <c r="B77">
        <v>6447</v>
      </c>
    </row>
    <row r="78" spans="1:11" x14ac:dyDescent="0.25">
      <c r="A78">
        <v>6.6171921062045334</v>
      </c>
      <c r="B78">
        <v>6415</v>
      </c>
      <c r="C78" s="266"/>
      <c r="D78" s="266" t="s">
        <v>1988</v>
      </c>
      <c r="E78" s="266" t="s">
        <v>1978</v>
      </c>
      <c r="F78" s="266" t="s">
        <v>1989</v>
      </c>
      <c r="G78" s="266" t="s">
        <v>1990</v>
      </c>
      <c r="H78" s="266" t="s">
        <v>1991</v>
      </c>
      <c r="I78" s="266" t="s">
        <v>1992</v>
      </c>
      <c r="J78" s="266" t="s">
        <v>1993</v>
      </c>
      <c r="K78" s="266" t="s">
        <v>1994</v>
      </c>
    </row>
    <row r="79" spans="1:11" x14ac:dyDescent="0.25">
      <c r="A79">
        <v>5.0325846073217013</v>
      </c>
      <c r="B79">
        <v>5657</v>
      </c>
      <c r="C79" s="264" t="s">
        <v>1983</v>
      </c>
      <c r="D79" s="268">
        <v>2.5685635796922321</v>
      </c>
      <c r="E79" s="264">
        <v>3.0961219429528253</v>
      </c>
      <c r="F79" s="264">
        <v>0.82960672319080186</v>
      </c>
      <c r="G79" s="264">
        <v>0.41290736036498588</v>
      </c>
      <c r="H79" s="264">
        <v>-3.7380304413268508</v>
      </c>
      <c r="I79" s="264">
        <v>8.8751576007113151</v>
      </c>
      <c r="J79" s="264">
        <v>-3.7380304413268508</v>
      </c>
      <c r="K79" s="264">
        <v>8.8751576007113151</v>
      </c>
    </row>
    <row r="80" spans="1:11" ht="15.75" thickBot="1" x14ac:dyDescent="0.3">
      <c r="A80">
        <v>5.3523574274197134</v>
      </c>
      <c r="B80">
        <v>6264</v>
      </c>
      <c r="C80" s="265" t="s">
        <v>1788</v>
      </c>
      <c r="D80" s="269">
        <v>7.6513272818768514E-4</v>
      </c>
      <c r="E80" s="269">
        <v>5.0937062810019911E-4</v>
      </c>
      <c r="F80" s="265">
        <v>1.5021139539227115</v>
      </c>
      <c r="G80" s="265">
        <v>0.14287244794634776</v>
      </c>
      <c r="H80" s="269">
        <v>-2.7242128836882514E-4</v>
      </c>
      <c r="I80" s="269">
        <v>1.8026867447441955E-3</v>
      </c>
      <c r="J80" s="265">
        <v>-2.7242128836882514E-4</v>
      </c>
      <c r="K80" s="265">
        <v>1.8026867447441955E-3</v>
      </c>
    </row>
    <row r="81" spans="1:6" x14ac:dyDescent="0.25">
      <c r="A81">
        <v>5.6720630559633332</v>
      </c>
      <c r="B81">
        <v>6182</v>
      </c>
    </row>
    <row r="82" spans="1:6" x14ac:dyDescent="0.25">
      <c r="A82">
        <v>5.8011713980000001</v>
      </c>
      <c r="B82">
        <v>6380</v>
      </c>
    </row>
    <row r="83" spans="1:6" x14ac:dyDescent="0.25">
      <c r="A83">
        <v>6.7136842662999996</v>
      </c>
      <c r="B83">
        <v>5722</v>
      </c>
    </row>
    <row r="84" spans="1:6" x14ac:dyDescent="0.25">
      <c r="A84">
        <v>6.3516471911566672</v>
      </c>
      <c r="B84">
        <v>5861</v>
      </c>
      <c r="C84" t="s">
        <v>1995</v>
      </c>
    </row>
    <row r="85" spans="1:6" ht="15.75" thickBot="1" x14ac:dyDescent="0.3">
      <c r="A85">
        <v>5.2351624247633337</v>
      </c>
      <c r="B85">
        <v>5296</v>
      </c>
    </row>
    <row r="86" spans="1:6" x14ac:dyDescent="0.25">
      <c r="A86">
        <v>6.7672685907200014</v>
      </c>
      <c r="B86">
        <v>6168</v>
      </c>
      <c r="C86" s="266" t="s">
        <v>1996</v>
      </c>
      <c r="D86" s="266" t="s">
        <v>2191</v>
      </c>
      <c r="E86" s="266" t="s">
        <v>1998</v>
      </c>
      <c r="F86" s="266" t="s">
        <v>1999</v>
      </c>
    </row>
    <row r="87" spans="1:6" x14ac:dyDescent="0.25">
      <c r="A87">
        <v>7.2071672654666665</v>
      </c>
      <c r="B87">
        <v>6398</v>
      </c>
      <c r="C87" s="264">
        <v>1</v>
      </c>
      <c r="D87" s="264">
        <v>6.9741978285969228</v>
      </c>
      <c r="E87" s="264">
        <v>1.2694361860887433</v>
      </c>
      <c r="F87" s="264">
        <v>1.0683077687244913</v>
      </c>
    </row>
    <row r="88" spans="1:6" x14ac:dyDescent="0.25">
      <c r="A88">
        <v>7.6189326138933327</v>
      </c>
      <c r="B88">
        <v>6268</v>
      </c>
      <c r="C88" s="264">
        <v>2</v>
      </c>
      <c r="D88" s="264">
        <v>7.0262268541136859</v>
      </c>
      <c r="E88" s="264">
        <v>2.0470973884501422</v>
      </c>
      <c r="F88" s="264">
        <v>1.7227569746180382</v>
      </c>
    </row>
    <row r="89" spans="1:6" x14ac:dyDescent="0.25">
      <c r="A89">
        <v>7.0324210341366662</v>
      </c>
      <c r="B89">
        <v>5711</v>
      </c>
      <c r="C89" s="264">
        <v>3</v>
      </c>
      <c r="D89" s="264">
        <v>7.733209494959107</v>
      </c>
      <c r="E89" s="264">
        <v>1.0399863467116663</v>
      </c>
      <c r="F89" s="264">
        <v>0.87521177175723441</v>
      </c>
    </row>
    <row r="90" spans="1:6" x14ac:dyDescent="0.25">
      <c r="A90">
        <v>7.3788659441566677</v>
      </c>
      <c r="B90">
        <v>5796</v>
      </c>
      <c r="C90" s="264">
        <v>4</v>
      </c>
      <c r="D90" s="264">
        <v>7.6084928602645139</v>
      </c>
      <c r="E90" s="264">
        <v>0.25081359787356661</v>
      </c>
      <c r="F90" s="264">
        <v>0.21107489927133702</v>
      </c>
    </row>
    <row r="91" spans="1:6" x14ac:dyDescent="0.25">
      <c r="A91">
        <v>7.9212817119700007</v>
      </c>
      <c r="B91">
        <v>6061</v>
      </c>
      <c r="C91" s="264">
        <v>5</v>
      </c>
      <c r="D91" s="264">
        <v>7.553403303835001</v>
      </c>
      <c r="E91" s="264">
        <v>1.2894211313198198</v>
      </c>
      <c r="F91" s="264">
        <v>1.0851263157943318</v>
      </c>
    </row>
    <row r="92" spans="1:6" x14ac:dyDescent="0.25">
      <c r="A92">
        <v>8.1033406311733334</v>
      </c>
      <c r="B92">
        <v>6245</v>
      </c>
      <c r="C92" s="264">
        <v>6</v>
      </c>
      <c r="D92" s="264">
        <v>7.5051999419591766</v>
      </c>
      <c r="E92" s="264">
        <v>1.4112747346287637</v>
      </c>
      <c r="F92" s="264">
        <v>1.1876735351729646</v>
      </c>
    </row>
    <row r="93" spans="1:6" x14ac:dyDescent="0.25">
      <c r="A93">
        <v>7.3149852073833328</v>
      </c>
      <c r="B93">
        <v>5535</v>
      </c>
      <c r="C93" s="264">
        <v>7</v>
      </c>
      <c r="D93" s="264">
        <v>7.5664105602141918</v>
      </c>
      <c r="E93" s="264">
        <v>1.4473192400817618</v>
      </c>
      <c r="F93" s="264">
        <v>1.2180071790514433</v>
      </c>
    </row>
    <row r="94" spans="1:6" x14ac:dyDescent="0.25">
      <c r="A94">
        <v>7.4474480110066663</v>
      </c>
      <c r="B94">
        <v>5515</v>
      </c>
      <c r="C94" s="264">
        <v>8</v>
      </c>
      <c r="D94" s="264">
        <v>7.5365703838148717</v>
      </c>
      <c r="E94" s="264">
        <v>1.917407107775408</v>
      </c>
      <c r="F94" s="264">
        <v>1.6136147145413331</v>
      </c>
    </row>
    <row r="95" spans="1:6" x14ac:dyDescent="0.25">
      <c r="A95">
        <v>8.2031815594299999</v>
      </c>
      <c r="B95">
        <v>5708</v>
      </c>
      <c r="C95" s="264">
        <v>9</v>
      </c>
      <c r="D95" s="264">
        <v>6.8196410175030104</v>
      </c>
      <c r="E95" s="264">
        <v>1.2721537664915976</v>
      </c>
      <c r="F95" s="264">
        <v>1.0705947779403289</v>
      </c>
    </row>
    <row r="96" spans="1:6" x14ac:dyDescent="0.25">
      <c r="A96">
        <v>7.6097484345666677</v>
      </c>
      <c r="B96">
        <v>5254</v>
      </c>
      <c r="C96" s="264">
        <v>10</v>
      </c>
      <c r="D96" s="264">
        <v>7.0338781813955622</v>
      </c>
      <c r="E96" s="264">
        <v>-1.0264903442598232</v>
      </c>
      <c r="F96" s="264">
        <v>-0.86385406474995929</v>
      </c>
    </row>
    <row r="97" spans="3:6" x14ac:dyDescent="0.25">
      <c r="C97" s="264">
        <v>11</v>
      </c>
      <c r="D97" s="264">
        <v>7.4355728636940972</v>
      </c>
      <c r="E97" s="264">
        <v>-0.75975718613317866</v>
      </c>
      <c r="F97" s="264">
        <v>-0.63938188715977973</v>
      </c>
    </row>
    <row r="98" spans="3:6" x14ac:dyDescent="0.25">
      <c r="C98" s="264">
        <v>12</v>
      </c>
      <c r="D98" s="264">
        <v>7.1295197724190231</v>
      </c>
      <c r="E98" s="264">
        <v>-1.4637778620514368</v>
      </c>
      <c r="F98" s="264">
        <v>-1.2318581105952162</v>
      </c>
    </row>
    <row r="99" spans="3:6" x14ac:dyDescent="0.25">
      <c r="C99" s="264">
        <v>13</v>
      </c>
      <c r="D99" s="264">
        <v>7.1279895069626482</v>
      </c>
      <c r="E99" s="264">
        <v>-1.4556894837692544</v>
      </c>
      <c r="F99" s="264">
        <v>-1.2250512482653646</v>
      </c>
    </row>
    <row r="100" spans="3:6" x14ac:dyDescent="0.25">
      <c r="C100" s="264">
        <v>14</v>
      </c>
      <c r="D100" s="264">
        <v>7.7194371058517284</v>
      </c>
      <c r="E100" s="264">
        <v>-0.73435666102074126</v>
      </c>
      <c r="F100" s="264">
        <v>-0.61800580019718443</v>
      </c>
    </row>
    <row r="101" spans="3:6" x14ac:dyDescent="0.25">
      <c r="C101" s="264">
        <v>15</v>
      </c>
      <c r="D101" s="264">
        <v>7.501374278318238</v>
      </c>
      <c r="E101" s="264">
        <v>-1.0541700025566119</v>
      </c>
      <c r="F101" s="264">
        <v>-0.88714818092385528</v>
      </c>
    </row>
    <row r="102" spans="3:6" x14ac:dyDescent="0.25">
      <c r="C102" s="264">
        <v>16</v>
      </c>
      <c r="D102" s="264">
        <v>7.4768900310162323</v>
      </c>
      <c r="E102" s="264">
        <v>-0.85969792481169893</v>
      </c>
      <c r="F102" s="264">
        <v>-0.72348809802122405</v>
      </c>
    </row>
    <row r="103" spans="3:6" x14ac:dyDescent="0.25">
      <c r="C103" s="264">
        <v>17</v>
      </c>
      <c r="D103" s="264">
        <v>6.8969194230499671</v>
      </c>
      <c r="E103" s="264">
        <v>-1.8643348157282658</v>
      </c>
      <c r="F103" s="264">
        <v>-1.5689511524660564</v>
      </c>
    </row>
    <row r="104" spans="3:6" x14ac:dyDescent="0.25">
      <c r="C104" s="264">
        <v>18</v>
      </c>
      <c r="D104" s="264">
        <v>7.3613549890598922</v>
      </c>
      <c r="E104" s="264">
        <v>-2.0089975616401787</v>
      </c>
      <c r="F104" s="264">
        <v>-1.6906936527951828</v>
      </c>
    </row>
    <row r="105" spans="3:6" x14ac:dyDescent="0.25">
      <c r="C105" s="264">
        <v>19</v>
      </c>
      <c r="D105" s="264">
        <v>7.2986141053485021</v>
      </c>
      <c r="E105" s="264">
        <v>-1.6265510493851689</v>
      </c>
      <c r="F105" s="264">
        <v>-1.3688416490150959</v>
      </c>
    </row>
    <row r="106" spans="3:6" x14ac:dyDescent="0.25">
      <c r="C106" s="264">
        <v>20</v>
      </c>
      <c r="D106" s="264">
        <v>7.4501103855296638</v>
      </c>
      <c r="E106" s="264">
        <v>-1.6489389875296636</v>
      </c>
      <c r="F106" s="264">
        <v>-1.3876824607924712</v>
      </c>
    </row>
    <row r="107" spans="3:6" x14ac:dyDescent="0.25">
      <c r="C107" s="264">
        <v>21</v>
      </c>
      <c r="D107" s="264">
        <v>6.9466530503821664</v>
      </c>
      <c r="E107" s="264">
        <v>-0.23296878408216681</v>
      </c>
      <c r="F107" s="264">
        <v>-0.19605740298936036</v>
      </c>
    </row>
    <row r="108" spans="3:6" x14ac:dyDescent="0.25">
      <c r="C108" s="264">
        <v>22</v>
      </c>
      <c r="D108" s="264">
        <v>7.0530064996002544</v>
      </c>
      <c r="E108" s="264">
        <v>-0.70135930844358718</v>
      </c>
      <c r="F108" s="264">
        <v>-0.59023652081802347</v>
      </c>
    </row>
    <row r="109" spans="3:6" x14ac:dyDescent="0.25">
      <c r="C109" s="264">
        <v>23</v>
      </c>
      <c r="D109" s="264">
        <v>6.6207065081742122</v>
      </c>
      <c r="E109" s="264">
        <v>-1.3855440834108785</v>
      </c>
      <c r="F109" s="264">
        <v>-1.1660196270114989</v>
      </c>
    </row>
    <row r="110" spans="3:6" x14ac:dyDescent="0.25">
      <c r="C110" s="264">
        <v>24</v>
      </c>
      <c r="D110" s="264">
        <v>7.2879022471538741</v>
      </c>
      <c r="E110" s="264">
        <v>-0.52063365643387272</v>
      </c>
      <c r="F110" s="264">
        <v>-0.43814489134852935</v>
      </c>
    </row>
    <row r="111" spans="3:6" x14ac:dyDescent="0.25">
      <c r="C111" s="264">
        <v>25</v>
      </c>
      <c r="D111" s="264">
        <v>7.4638827746370415</v>
      </c>
      <c r="E111" s="264">
        <v>-0.256715509170375</v>
      </c>
      <c r="F111" s="264">
        <v>-0.21604171663309016</v>
      </c>
    </row>
    <row r="112" spans="3:6" x14ac:dyDescent="0.25">
      <c r="C112" s="264">
        <v>26</v>
      </c>
      <c r="D112" s="264">
        <v>7.3644155199726429</v>
      </c>
      <c r="E112" s="264">
        <v>0.25451709392068977</v>
      </c>
      <c r="F112" s="264">
        <v>0.21419161647377666</v>
      </c>
    </row>
    <row r="113" spans="3:6" x14ac:dyDescent="0.25">
      <c r="C113" s="264">
        <v>27</v>
      </c>
      <c r="D113" s="264">
        <v>6.9382365903721022</v>
      </c>
      <c r="E113" s="264">
        <v>9.418444376456403E-2</v>
      </c>
      <c r="F113" s="264">
        <v>7.926193854351396E-2</v>
      </c>
    </row>
    <row r="114" spans="3:6" x14ac:dyDescent="0.25">
      <c r="C114" s="264">
        <v>28</v>
      </c>
      <c r="D114" s="264">
        <v>7.0032728722680551</v>
      </c>
      <c r="E114" s="264">
        <v>0.37559307188861268</v>
      </c>
      <c r="F114" s="264">
        <v>0.31608441682601512</v>
      </c>
    </row>
    <row r="115" spans="3:6" x14ac:dyDescent="0.25">
      <c r="C115" s="264">
        <v>29</v>
      </c>
      <c r="D115" s="264">
        <v>7.2060330452377919</v>
      </c>
      <c r="E115" s="264">
        <v>0.71524866673220888</v>
      </c>
      <c r="F115" s="264">
        <v>0.60192526068926511</v>
      </c>
    </row>
    <row r="116" spans="3:6" x14ac:dyDescent="0.25">
      <c r="C116" s="264">
        <v>30</v>
      </c>
      <c r="D116" s="264">
        <v>7.3468174672243256</v>
      </c>
      <c r="E116" s="264">
        <v>0.75652316394900776</v>
      </c>
      <c r="F116" s="264">
        <v>0.63666026077049109</v>
      </c>
    </row>
    <row r="117" spans="3:6" x14ac:dyDescent="0.25">
      <c r="C117" s="264">
        <v>31</v>
      </c>
      <c r="D117" s="264">
        <v>6.803573230211069</v>
      </c>
      <c r="E117" s="264">
        <v>0.51141197717226383</v>
      </c>
      <c r="F117" s="264">
        <v>0.43038428730728484</v>
      </c>
    </row>
    <row r="118" spans="3:6" x14ac:dyDescent="0.25">
      <c r="C118" s="264">
        <v>32</v>
      </c>
      <c r="D118" s="264">
        <v>6.7882705756473154</v>
      </c>
      <c r="E118" s="264">
        <v>0.65917743535935092</v>
      </c>
      <c r="F118" s="264">
        <v>0.55473790874987039</v>
      </c>
    </row>
    <row r="119" spans="3:6" x14ac:dyDescent="0.25">
      <c r="C119" s="264">
        <v>33</v>
      </c>
      <c r="D119" s="264">
        <v>6.9359411921875394</v>
      </c>
      <c r="E119" s="264">
        <v>1.2672403672424606</v>
      </c>
      <c r="F119" s="264">
        <v>1.0664598535965768</v>
      </c>
    </row>
    <row r="120" spans="3:6" ht="15.75" thickBot="1" x14ac:dyDescent="0.3">
      <c r="C120" s="265">
        <v>34</v>
      </c>
      <c r="D120" s="265">
        <v>6.5885709335903302</v>
      </c>
      <c r="E120" s="265">
        <v>1.0211775009763375</v>
      </c>
      <c r="F120" s="265">
        <v>0.85938298395364843</v>
      </c>
    </row>
  </sheetData>
  <mergeCells count="2">
    <mergeCell ref="AJ46:AL46"/>
    <mergeCell ref="AJ1:AL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95982-6403-444B-9546-FA2B7322BF7B}">
  <dimension ref="A1:BA64"/>
  <sheetViews>
    <sheetView topLeftCell="B12" workbookViewId="0">
      <selection activeCell="B64" sqref="B64"/>
    </sheetView>
    <sheetView workbookViewId="1"/>
  </sheetViews>
  <sheetFormatPr defaultRowHeight="15" x14ac:dyDescent="0.25"/>
  <cols>
    <col min="40" max="40" width="12.140625" customWidth="1"/>
    <col min="46" max="46" width="10.140625" customWidth="1"/>
  </cols>
  <sheetData>
    <row r="1" spans="1:53" x14ac:dyDescent="0.25">
      <c r="A1" s="190" t="s">
        <v>2087</v>
      </c>
      <c r="AJ1" s="252" t="s">
        <v>2020</v>
      </c>
      <c r="AK1" s="252"/>
      <c r="AL1" s="252"/>
      <c r="AS1" t="s">
        <v>2180</v>
      </c>
      <c r="AY1" t="s">
        <v>2186</v>
      </c>
    </row>
    <row r="2" spans="1:53" x14ac:dyDescent="0.25">
      <c r="A2" s="187" t="s">
        <v>1786</v>
      </c>
      <c r="B2" s="187" t="s">
        <v>1821</v>
      </c>
      <c r="C2" s="187" t="s">
        <v>1822</v>
      </c>
      <c r="D2" s="187" t="s">
        <v>1823</v>
      </c>
      <c r="E2" s="187" t="s">
        <v>1824</v>
      </c>
      <c r="F2" s="187" t="s">
        <v>1825</v>
      </c>
      <c r="G2" s="187" t="s">
        <v>1826</v>
      </c>
      <c r="H2" s="187" t="s">
        <v>1827</v>
      </c>
      <c r="I2" s="187" t="s">
        <v>1828</v>
      </c>
      <c r="J2" s="187" t="s">
        <v>1829</v>
      </c>
      <c r="K2" s="187" t="s">
        <v>1830</v>
      </c>
      <c r="L2" s="187" t="s">
        <v>1831</v>
      </c>
      <c r="M2" s="187" t="s">
        <v>1832</v>
      </c>
      <c r="N2" s="187" t="s">
        <v>1833</v>
      </c>
      <c r="O2" s="187" t="s">
        <v>1834</v>
      </c>
      <c r="P2" s="187" t="s">
        <v>1835</v>
      </c>
      <c r="Q2" s="187" t="s">
        <v>1836</v>
      </c>
      <c r="R2" s="187" t="s">
        <v>1837</v>
      </c>
      <c r="S2" s="187" t="s">
        <v>1838</v>
      </c>
      <c r="T2" s="187" t="s">
        <v>1839</v>
      </c>
      <c r="U2" s="187" t="s">
        <v>1840</v>
      </c>
      <c r="V2" s="187" t="s">
        <v>1841</v>
      </c>
      <c r="W2" s="187" t="s">
        <v>1842</v>
      </c>
      <c r="X2" s="187" t="s">
        <v>1843</v>
      </c>
      <c r="Y2" s="187" t="s">
        <v>1844</v>
      </c>
      <c r="Z2" s="187" t="s">
        <v>1845</v>
      </c>
      <c r="AA2" s="187" t="s">
        <v>1846</v>
      </c>
      <c r="AB2" s="187" t="s">
        <v>1847</v>
      </c>
      <c r="AC2" s="187" t="s">
        <v>1848</v>
      </c>
      <c r="AD2" s="187" t="s">
        <v>1849</v>
      </c>
      <c r="AE2" s="187" t="s">
        <v>1850</v>
      </c>
      <c r="AF2" s="187" t="s">
        <v>1851</v>
      </c>
      <c r="AG2" s="187" t="s">
        <v>1852</v>
      </c>
      <c r="AH2" s="187" t="s">
        <v>1853</v>
      </c>
      <c r="AI2" s="187" t="s">
        <v>1854</v>
      </c>
      <c r="AJ2" s="116" t="s">
        <v>2017</v>
      </c>
      <c r="AK2" s="116" t="s">
        <v>2018</v>
      </c>
      <c r="AL2" s="154" t="s">
        <v>2019</v>
      </c>
      <c r="AM2" s="116" t="s">
        <v>1954</v>
      </c>
      <c r="AN2" s="116" t="s">
        <v>1955</v>
      </c>
      <c r="AO2" s="116" t="s">
        <v>1956</v>
      </c>
      <c r="AP2" s="110" t="s">
        <v>1957</v>
      </c>
      <c r="AQ2" s="116"/>
      <c r="AS2" s="239" t="s">
        <v>2184</v>
      </c>
      <c r="AT2" s="239" t="s">
        <v>2185</v>
      </c>
      <c r="AU2" s="239" t="s">
        <v>1984</v>
      </c>
      <c r="AV2" s="239" t="s">
        <v>2181</v>
      </c>
      <c r="AW2" s="239" t="s">
        <v>2182</v>
      </c>
      <c r="AX2" s="239" t="s">
        <v>2183</v>
      </c>
      <c r="AY2" s="239" t="s">
        <v>2184</v>
      </c>
      <c r="AZ2" s="239" t="s">
        <v>2182</v>
      </c>
      <c r="BA2" s="239" t="s">
        <v>2183</v>
      </c>
    </row>
    <row r="3" spans="1:53" x14ac:dyDescent="0.25">
      <c r="A3" s="188" t="s">
        <v>1922</v>
      </c>
      <c r="B3" s="189">
        <v>2.8345644130574463</v>
      </c>
      <c r="C3" s="189">
        <v>2.9719786024823405</v>
      </c>
      <c r="D3" s="189">
        <v>3.2213427551993603</v>
      </c>
      <c r="E3" s="189">
        <v>3.2466407745134003</v>
      </c>
      <c r="F3" s="189">
        <v>2.8210955284059533</v>
      </c>
      <c r="G3" s="189">
        <v>2.6790426897666668</v>
      </c>
      <c r="H3" s="189">
        <v>2.7304330198200004</v>
      </c>
      <c r="I3" s="189">
        <v>2.6093142615833331</v>
      </c>
      <c r="J3" s="189">
        <v>2.4261193297366668</v>
      </c>
      <c r="K3" s="189">
        <v>2.4576838944900001</v>
      </c>
      <c r="L3" s="189">
        <v>2.599667495516667</v>
      </c>
      <c r="M3" s="189">
        <v>2.5143101069900005</v>
      </c>
      <c r="N3" s="189">
        <v>2.3670470524066669</v>
      </c>
      <c r="O3" s="189">
        <v>2.88038254746</v>
      </c>
      <c r="P3" s="189">
        <v>2.6822321253566663</v>
      </c>
      <c r="Q3" s="189">
        <v>2.8575729717441134</v>
      </c>
      <c r="R3" s="189">
        <v>2.7633315935133336</v>
      </c>
      <c r="S3" s="189">
        <v>2.4110355083833337</v>
      </c>
      <c r="T3" s="189">
        <v>1.8083938779133335</v>
      </c>
      <c r="U3" s="189">
        <v>1.9853274260233333</v>
      </c>
      <c r="V3" s="189">
        <v>1.8831886810366665</v>
      </c>
      <c r="W3" s="189">
        <v>1.9895621862233333</v>
      </c>
      <c r="X3" s="189">
        <v>1.8903723544566666</v>
      </c>
      <c r="Y3" s="189">
        <v>2.1163404572933331</v>
      </c>
      <c r="Z3" s="189">
        <v>1.9927513284066669</v>
      </c>
      <c r="AA3" s="189">
        <v>1.8188276876366667</v>
      </c>
      <c r="AB3" s="189">
        <v>1.7296709424133334</v>
      </c>
      <c r="AC3" s="189">
        <v>1.7403173020566669</v>
      </c>
      <c r="AD3" s="189">
        <v>1.7653771277999999</v>
      </c>
      <c r="AE3" s="189">
        <v>1.75186423225</v>
      </c>
      <c r="AF3" s="189">
        <v>1.6991204114866667</v>
      </c>
      <c r="AG3" s="189">
        <v>1.6379208318733334</v>
      </c>
      <c r="AH3" s="189">
        <v>1.5945821903733333</v>
      </c>
      <c r="AI3" s="189">
        <v>1.5522394309033334</v>
      </c>
      <c r="AJ3" s="100">
        <f>SLOPE(B3:AI3,B$57:AI$57)</f>
        <v>-4.6718966101857308E-2</v>
      </c>
      <c r="AK3" s="100">
        <f>SLOPE(B3:U3,B$57:U$57)</f>
        <v>-4.0360336653495817E-2</v>
      </c>
      <c r="AL3" s="100">
        <f>SLOPE(V3:AI3,V$57:AI$57)</f>
        <v>-3.3393109957428564E-2</v>
      </c>
      <c r="AM3">
        <f t="shared" ref="AM3:AM11" si="0">MIN(B3:AI3)</f>
        <v>1.5522394309033334</v>
      </c>
      <c r="AN3" s="113">
        <f t="shared" ref="AN3:AN11" si="1">AI3/AM3-1</f>
        <v>0</v>
      </c>
      <c r="AO3">
        <f t="shared" ref="AO3:AO11" si="2">MAX(B3:AI3)</f>
        <v>3.2466407745134003</v>
      </c>
      <c r="AP3" s="149">
        <f t="shared" ref="AP3:AP11" si="3">AM3/AO3-1</f>
        <v>-0.52189369298610511</v>
      </c>
      <c r="AR3" s="113">
        <f>+AL3/AVERAGE(V3:AI3)</f>
        <v>-1.8579645024280982E-2</v>
      </c>
      <c r="AS3">
        <f>INDEX(LINEST(V3:AI3,V$57:AI$57,TRUE,TRUE),1,1)</f>
        <v>-3.3393109957428571E-2</v>
      </c>
      <c r="AT3">
        <f>INDEX(LINEST(V3:AI3,V$57:AI$57,TRUE,TRUE),2,1)</f>
        <v>5.6407949611830405E-3</v>
      </c>
      <c r="AU3">
        <f>INDEX(LINEST(V3:AI3,V$57:AI$57,TRUE,TRUE),4,2)</f>
        <v>12</v>
      </c>
      <c r="AV3">
        <f>_xlfn.T.INV.2T(0.05,AU3)</f>
        <v>2.1788128296672284</v>
      </c>
      <c r="AW3">
        <f>+AS3-AV3*AT3</f>
        <v>-4.5683346388376435E-2</v>
      </c>
      <c r="AX3">
        <f>AS3+AT3*AV3</f>
        <v>-2.1102873526480707E-2</v>
      </c>
      <c r="AY3" s="100">
        <f>AS3/AVERAGE(V3:AI3)</f>
        <v>-1.8579645024280986E-2</v>
      </c>
      <c r="AZ3" s="344">
        <f t="shared" ref="AZ3:AZ11" si="4">AW3/AVERAGE(V3:AI3)</f>
        <v>-2.5417829022195783E-2</v>
      </c>
      <c r="BA3" s="344">
        <f t="shared" ref="BA3:BA11" si="5">AX3/AVERAGE(V3:AI3)</f>
        <v>-1.1741461026366187E-2</v>
      </c>
    </row>
    <row r="4" spans="1:53" x14ac:dyDescent="0.25">
      <c r="A4" s="188" t="s">
        <v>1788</v>
      </c>
      <c r="B4" s="189">
        <v>5.15523183792694</v>
      </c>
      <c r="C4" s="189">
        <v>4.4763874955796332</v>
      </c>
      <c r="D4" s="189">
        <v>6.0724209816809003</v>
      </c>
      <c r="E4" s="189">
        <v>6.3646902992130334</v>
      </c>
      <c r="F4" s="189">
        <v>5.6025020504973666</v>
      </c>
      <c r="G4" s="189">
        <v>4.9583511117927603</v>
      </c>
      <c r="H4" s="189">
        <v>4.9662449571596401</v>
      </c>
      <c r="I4" s="189">
        <v>5.0379893690455271</v>
      </c>
      <c r="J4" s="189">
        <v>4.8950117755839671</v>
      </c>
      <c r="K4" s="189">
        <v>5.4243200764757393</v>
      </c>
      <c r="L4" s="189">
        <v>5.297398188506234</v>
      </c>
      <c r="M4" s="189">
        <v>6.5619497399087869</v>
      </c>
      <c r="N4" s="189">
        <v>6.4348036389976535</v>
      </c>
      <c r="O4" s="189">
        <v>4.0994712908511266</v>
      </c>
      <c r="P4" s="189">
        <v>3.9263144964954537</v>
      </c>
      <c r="Q4" s="189">
        <v>4.2366197435463731</v>
      </c>
      <c r="R4" s="189">
        <v>4.2014566287700603</v>
      </c>
      <c r="S4" s="189">
        <v>4.0771950055096333</v>
      </c>
      <c r="T4" s="189">
        <v>3.6027068453455202</v>
      </c>
      <c r="U4" s="189">
        <v>2.9510930234756669</v>
      </c>
      <c r="V4" s="189">
        <v>3.3626839142748142</v>
      </c>
      <c r="W4" s="189">
        <v>3.6432220478216939</v>
      </c>
      <c r="X4" s="189">
        <v>3.1345155576142467</v>
      </c>
      <c r="Y4" s="189">
        <v>3.2392069186160204</v>
      </c>
      <c r="Z4" s="189">
        <v>3.159581195311127</v>
      </c>
      <c r="AA4" s="189">
        <v>3.1859818680151002</v>
      </c>
      <c r="AB4" s="189">
        <v>3.1794808272397868</v>
      </c>
      <c r="AC4" s="189">
        <v>3.302350424969787</v>
      </c>
      <c r="AD4" s="189">
        <v>3.2872287196531205</v>
      </c>
      <c r="AE4" s="189">
        <v>3.3377021922890067</v>
      </c>
      <c r="AF4" s="189">
        <v>3.1396031860599996</v>
      </c>
      <c r="AG4" s="189">
        <v>3.3083244565066661</v>
      </c>
      <c r="AH4" s="189">
        <v>3.3279154713933332</v>
      </c>
      <c r="AI4" s="189">
        <v>3.0655111484066668</v>
      </c>
      <c r="AJ4" s="100">
        <f t="shared" ref="AJ4:AJ11" si="6">SLOPE(B4:AI4,B$57:AI$57)</f>
        <v>-9.1944313756054719E-2</v>
      </c>
      <c r="AK4" s="100">
        <f t="shared" ref="AK4:AK11" si="7">SLOPE(B4:U4,B$57:U$57)</f>
        <v>-0.10022866399279133</v>
      </c>
      <c r="AL4" s="238">
        <f t="shared" ref="AL4:AL11" si="8">SLOPE(V4:AI4,V$57:AI$57)</f>
        <v>-1.1312855378735814E-2</v>
      </c>
      <c r="AM4">
        <f t="shared" si="0"/>
        <v>2.9510930234756669</v>
      </c>
      <c r="AN4" s="113">
        <f t="shared" si="1"/>
        <v>3.8771439605872926E-2</v>
      </c>
      <c r="AO4">
        <f t="shared" si="2"/>
        <v>6.5619497399087869</v>
      </c>
      <c r="AP4" s="149">
        <f t="shared" si="3"/>
        <v>-0.55027192519815182</v>
      </c>
      <c r="AR4" s="113">
        <f t="shared" ref="AR4:AR10" si="9">+AL4/AVERAGE(V4:AI4)</f>
        <v>-3.4676703415346967E-3</v>
      </c>
      <c r="AS4">
        <f t="shared" ref="AS4:AS11" si="10">INDEX(LINEST(V4:AI4,V$57:AI$57,TRUE,TRUE),1,1)</f>
        <v>-1.131285537873581E-2</v>
      </c>
      <c r="AT4">
        <f t="shared" ref="AT4:AT11" si="11">INDEX(LINEST(V4:AI4,V$57:AI$57,TRUE,TRUE),2,1)</f>
        <v>9.2636314629113148E-3</v>
      </c>
      <c r="AU4">
        <f t="shared" ref="AU4:AU11" si="12">INDEX(LINEST(V4:AI4,V$57:AI$57,TRUE,TRUE),4,2)</f>
        <v>12</v>
      </c>
      <c r="AV4">
        <f t="shared" ref="AV4:AV11" si="13">_xlfn.T.INV.2T(0.05,AU4)</f>
        <v>2.1788128296672284</v>
      </c>
      <c r="AW4">
        <f t="shared" ref="AW4:AW11" si="14">+AS4-AV4*AT4</f>
        <v>-3.1496574459435975E-2</v>
      </c>
      <c r="AX4">
        <f t="shared" ref="AX4:AX11" si="15">AS4+AT4*AV4</f>
        <v>8.8708637019643578E-3</v>
      </c>
      <c r="AY4" s="100">
        <f t="shared" ref="AY4:AY11" si="16">AS4/AVERAGE(V4:AI4)</f>
        <v>-3.4676703415346959E-3</v>
      </c>
      <c r="AZ4" s="100">
        <f t="shared" si="4"/>
        <v>-9.6544800986513111E-3</v>
      </c>
      <c r="BA4" s="100">
        <f t="shared" si="5"/>
        <v>2.7191394155819211E-3</v>
      </c>
    </row>
    <row r="5" spans="1:53" x14ac:dyDescent="0.25">
      <c r="A5" s="188" t="s">
        <v>1923</v>
      </c>
      <c r="B5" s="189">
        <v>2.8632510314931601</v>
      </c>
      <c r="C5" s="189">
        <v>3.1404855248115799</v>
      </c>
      <c r="D5" s="189">
        <v>3.4174745489529332</v>
      </c>
      <c r="E5" s="189">
        <v>4.0409707442999405</v>
      </c>
      <c r="F5" s="189">
        <v>5.1877205907872401</v>
      </c>
      <c r="G5" s="189">
        <v>4.2320695743342869</v>
      </c>
      <c r="H5" s="189">
        <v>4.4746036568794008</v>
      </c>
      <c r="I5" s="189">
        <v>3.9304609006615339</v>
      </c>
      <c r="J5" s="189">
        <v>3.3639568119143064</v>
      </c>
      <c r="K5" s="189">
        <v>3.1188190825145936</v>
      </c>
      <c r="L5" s="189">
        <v>3.6975582875508204</v>
      </c>
      <c r="M5" s="189">
        <v>3.1654973010633869</v>
      </c>
      <c r="N5" s="189">
        <v>3.7727133757453069</v>
      </c>
      <c r="O5" s="189">
        <v>2.1289248340428197</v>
      </c>
      <c r="P5" s="189">
        <v>3.1371364037604801</v>
      </c>
      <c r="Q5" s="189">
        <v>2.8734288931823935</v>
      </c>
      <c r="R5" s="189">
        <v>3.0757617709883536</v>
      </c>
      <c r="S5" s="189">
        <v>3.0771881823806932</v>
      </c>
      <c r="T5" s="189">
        <v>2.9003521735980002</v>
      </c>
      <c r="U5" s="189">
        <v>2.7722703450608468</v>
      </c>
      <c r="V5" s="189">
        <v>2.6758199090698533</v>
      </c>
      <c r="W5" s="189">
        <v>2.5869305429646063</v>
      </c>
      <c r="X5" s="189">
        <v>2.38801261268482</v>
      </c>
      <c r="Y5" s="189">
        <v>2.338021031057727</v>
      </c>
      <c r="Z5" s="189">
        <v>1.8520619408390733</v>
      </c>
      <c r="AA5" s="189">
        <v>1.6098287153600668</v>
      </c>
      <c r="AB5" s="189">
        <v>1.4590542710332599</v>
      </c>
      <c r="AC5" s="189">
        <v>1.4007781341507066</v>
      </c>
      <c r="AD5" s="189">
        <v>1.5538755191730467</v>
      </c>
      <c r="AE5" s="189">
        <v>1.6730866133040401</v>
      </c>
      <c r="AF5" s="189">
        <v>1.6972326070268067</v>
      </c>
      <c r="AG5" s="189">
        <v>1.6623305700466666</v>
      </c>
      <c r="AH5" s="189">
        <v>1.6103292154033335</v>
      </c>
      <c r="AI5" s="189">
        <v>1.4566824240833334</v>
      </c>
      <c r="AJ5" s="100">
        <f t="shared" si="6"/>
        <v>-8.4436494126919781E-2</v>
      </c>
      <c r="AK5" s="100">
        <f t="shared" si="7"/>
        <v>-5.7142592545301012E-2</v>
      </c>
      <c r="AL5" s="100">
        <f t="shared" si="8"/>
        <v>-8.5118838732038182E-2</v>
      </c>
      <c r="AM5">
        <f t="shared" si="0"/>
        <v>1.4007781341507066</v>
      </c>
      <c r="AN5" s="113">
        <f t="shared" si="1"/>
        <v>3.9909453588466759E-2</v>
      </c>
      <c r="AO5">
        <f t="shared" si="2"/>
        <v>5.1877205907872401</v>
      </c>
      <c r="AP5" s="149">
        <f t="shared" si="3"/>
        <v>-0.72998196228256429</v>
      </c>
      <c r="AR5" s="113">
        <f t="shared" si="9"/>
        <v>-4.5896692263132352E-2</v>
      </c>
      <c r="AS5">
        <f t="shared" si="10"/>
        <v>-8.5118838732038155E-2</v>
      </c>
      <c r="AT5">
        <f t="shared" si="11"/>
        <v>1.8218247117280938E-2</v>
      </c>
      <c r="AU5">
        <f t="shared" si="12"/>
        <v>12</v>
      </c>
      <c r="AV5">
        <f t="shared" si="13"/>
        <v>2.1788128296672284</v>
      </c>
      <c r="AW5">
        <f t="shared" si="14"/>
        <v>-0.12481298928521786</v>
      </c>
      <c r="AX5">
        <f t="shared" si="15"/>
        <v>-4.5424688178858447E-2</v>
      </c>
      <c r="AY5" s="100">
        <f t="shared" si="16"/>
        <v>-4.5896692263132338E-2</v>
      </c>
      <c r="AZ5" s="344">
        <f t="shared" si="4"/>
        <v>-6.7300064768260379E-2</v>
      </c>
      <c r="BA5" s="344">
        <f t="shared" si="5"/>
        <v>-2.4493319758004298E-2</v>
      </c>
    </row>
    <row r="6" spans="1:53" x14ac:dyDescent="0.25">
      <c r="A6" s="188" t="s">
        <v>1924</v>
      </c>
      <c r="B6" s="189">
        <v>0.76726817607850673</v>
      </c>
      <c r="C6" s="189">
        <v>0.70597395901978</v>
      </c>
      <c r="D6" s="189">
        <v>1.02465402669432</v>
      </c>
      <c r="E6" s="189">
        <v>1.2027537308682867</v>
      </c>
      <c r="F6" s="189">
        <v>1.1699708690266668</v>
      </c>
      <c r="G6" s="189">
        <v>1.0754400673974467</v>
      </c>
      <c r="H6" s="189">
        <v>1.0059951789800001</v>
      </c>
      <c r="I6" s="189">
        <v>0.96427722240666669</v>
      </c>
      <c r="J6" s="189">
        <v>0.93246802700333342</v>
      </c>
      <c r="K6" s="189">
        <v>0.91279825600333342</v>
      </c>
      <c r="L6" s="189">
        <v>1.1955360338166665</v>
      </c>
      <c r="M6" s="189">
        <v>1.2430280381933334</v>
      </c>
      <c r="N6" s="189">
        <v>1.1108709690466667</v>
      </c>
      <c r="O6" s="189">
        <v>1.1224621289566665</v>
      </c>
      <c r="P6" s="189">
        <v>1.1306011606633333</v>
      </c>
      <c r="Q6" s="189">
        <v>1.0179617021933334</v>
      </c>
      <c r="R6" s="189">
        <v>1.1784604856200001</v>
      </c>
      <c r="S6" s="189">
        <v>0.91418527266000005</v>
      </c>
      <c r="T6" s="189">
        <v>0.84520698668999994</v>
      </c>
      <c r="U6" s="189">
        <v>0.77770156892999998</v>
      </c>
      <c r="V6" s="189">
        <v>0.74157109990333336</v>
      </c>
      <c r="W6" s="189">
        <v>0.74539569283666662</v>
      </c>
      <c r="X6" s="189">
        <v>0.6812539975266666</v>
      </c>
      <c r="Y6" s="189">
        <v>0.77324066314000006</v>
      </c>
      <c r="Z6" s="189">
        <v>0.81209465905333333</v>
      </c>
      <c r="AA6" s="189">
        <v>0.74509964356666669</v>
      </c>
      <c r="AB6" s="189">
        <v>0.70651172595666656</v>
      </c>
      <c r="AC6" s="189">
        <v>0.81363033752000002</v>
      </c>
      <c r="AD6" s="189">
        <v>0.80441468532333327</v>
      </c>
      <c r="AE6" s="189">
        <v>0.81065455097000005</v>
      </c>
      <c r="AF6" s="189">
        <v>0.7774665600166667</v>
      </c>
      <c r="AG6" s="189">
        <v>0.75170474456000003</v>
      </c>
      <c r="AH6" s="189">
        <v>0.76604288695</v>
      </c>
      <c r="AI6" s="189">
        <v>0.79576179382333323</v>
      </c>
      <c r="AJ6" s="100">
        <f t="shared" si="6"/>
        <v>-1.0025558018641337E-2</v>
      </c>
      <c r="AK6" s="100">
        <f t="shared" si="7"/>
        <v>1.6386140108841291E-3</v>
      </c>
      <c r="AL6" s="100">
        <f t="shared" si="8"/>
        <v>4.1167018770549438E-3</v>
      </c>
      <c r="AM6">
        <f t="shared" si="0"/>
        <v>0.6812539975266666</v>
      </c>
      <c r="AN6" s="113">
        <f t="shared" si="1"/>
        <v>0.16808385229649159</v>
      </c>
      <c r="AO6">
        <f t="shared" si="2"/>
        <v>1.2430280381933334</v>
      </c>
      <c r="AP6" s="149">
        <f t="shared" si="3"/>
        <v>-0.45193995904000017</v>
      </c>
      <c r="AR6" s="113">
        <f t="shared" si="9"/>
        <v>5.3738619817234349E-3</v>
      </c>
      <c r="AS6">
        <f t="shared" si="10"/>
        <v>4.1167018770549438E-3</v>
      </c>
      <c r="AT6">
        <f t="shared" si="11"/>
        <v>2.5289850860824069E-3</v>
      </c>
      <c r="AU6">
        <f t="shared" si="12"/>
        <v>12</v>
      </c>
      <c r="AV6">
        <f t="shared" si="13"/>
        <v>2.1788128296672284</v>
      </c>
      <c r="AW6">
        <f t="shared" si="14"/>
        <v>-1.3934832745384849E-3</v>
      </c>
      <c r="AX6">
        <f t="shared" si="15"/>
        <v>9.6268870286483725E-3</v>
      </c>
      <c r="AY6" s="100">
        <f t="shared" si="16"/>
        <v>5.3738619817234349E-3</v>
      </c>
      <c r="AZ6" s="100">
        <f t="shared" si="4"/>
        <v>-1.8190257674347253E-3</v>
      </c>
      <c r="BA6" s="100">
        <f t="shared" si="5"/>
        <v>1.2566749730881595E-2</v>
      </c>
    </row>
    <row r="7" spans="1:53" x14ac:dyDescent="0.25">
      <c r="A7" s="188" t="s">
        <v>1939</v>
      </c>
      <c r="B7" s="189">
        <v>9.1758676893452815</v>
      </c>
      <c r="C7" s="189">
        <v>9.5756144789725202</v>
      </c>
      <c r="D7" s="189">
        <v>13.4355527523877</v>
      </c>
      <c r="E7" s="189">
        <v>13.253146904663161</v>
      </c>
      <c r="F7" s="189">
        <v>13.647737804219494</v>
      </c>
      <c r="G7" s="189">
        <v>14.114135233690142</v>
      </c>
      <c r="H7" s="189">
        <v>13.098609620618793</v>
      </c>
      <c r="I7" s="189">
        <v>13.088773229324467</v>
      </c>
      <c r="J7" s="189">
        <v>12.914513680234466</v>
      </c>
      <c r="K7" s="189">
        <v>13.463278307759573</v>
      </c>
      <c r="L7" s="189">
        <v>7.2376641276995723</v>
      </c>
      <c r="M7" s="189">
        <v>7.8493519133246794</v>
      </c>
      <c r="N7" s="189">
        <v>7.2647797663272335</v>
      </c>
      <c r="O7" s="189">
        <v>6.1946597493021276</v>
      </c>
      <c r="P7" s="189">
        <v>6.7703430819480124</v>
      </c>
      <c r="Q7" s="189">
        <v>6.2323966912446807</v>
      </c>
      <c r="R7" s="189">
        <v>5.5100058685638995</v>
      </c>
      <c r="S7" s="189">
        <v>5.2579483207899997</v>
      </c>
      <c r="T7" s="189">
        <v>4.3610160202400001</v>
      </c>
      <c r="U7" s="189">
        <v>4.0232262913699994</v>
      </c>
      <c r="V7" s="189">
        <v>5.1635710583966663</v>
      </c>
      <c r="W7" s="189">
        <v>5.4680214159266676</v>
      </c>
      <c r="X7" s="189">
        <v>5.4545636967433326</v>
      </c>
      <c r="Y7" s="189">
        <v>5.6447445014033333</v>
      </c>
      <c r="Z7" s="189">
        <v>5.6957173567800004</v>
      </c>
      <c r="AA7" s="189">
        <v>5.5287029405666672</v>
      </c>
      <c r="AB7" s="189">
        <v>5.8610576799866667</v>
      </c>
      <c r="AC7" s="189">
        <v>5.2597577649100007</v>
      </c>
      <c r="AD7" s="189">
        <v>5.7453611390999999</v>
      </c>
      <c r="AE7" s="189">
        <v>5.8804306874133339</v>
      </c>
      <c r="AF7" s="189">
        <v>5.4455706219933333</v>
      </c>
      <c r="AG7" s="189">
        <v>5.6916895783000001</v>
      </c>
      <c r="AH7" s="189">
        <v>6.6258670957600003</v>
      </c>
      <c r="AI7" s="189">
        <v>6.7489066785433334</v>
      </c>
      <c r="AJ7" s="100">
        <f t="shared" si="6"/>
        <v>-0.24868273373363251</v>
      </c>
      <c r="AK7" s="100">
        <f t="shared" si="7"/>
        <v>-0.49353748707265671</v>
      </c>
      <c r="AL7" s="100">
        <f t="shared" si="8"/>
        <v>7.7050159674512828E-2</v>
      </c>
      <c r="AM7">
        <f t="shared" si="0"/>
        <v>4.0232262913699994</v>
      </c>
      <c r="AN7" s="113">
        <f t="shared" si="1"/>
        <v>0.67748622368571221</v>
      </c>
      <c r="AO7">
        <f t="shared" si="2"/>
        <v>14.114135233690142</v>
      </c>
      <c r="AP7" s="149">
        <f t="shared" si="3"/>
        <v>-0.71495056376060195</v>
      </c>
      <c r="AR7" s="113">
        <f t="shared" si="9"/>
        <v>1.3447811398978497E-2</v>
      </c>
      <c r="AS7">
        <f t="shared" si="10"/>
        <v>7.7050159674512841E-2</v>
      </c>
      <c r="AT7">
        <f t="shared" si="11"/>
        <v>2.2220849782780664E-2</v>
      </c>
      <c r="AU7">
        <f t="shared" si="12"/>
        <v>12</v>
      </c>
      <c r="AV7">
        <f t="shared" si="13"/>
        <v>2.1788128296672284</v>
      </c>
      <c r="AW7">
        <f t="shared" si="14"/>
        <v>2.8635087081682081E-2</v>
      </c>
      <c r="AX7">
        <f t="shared" si="15"/>
        <v>0.1254652322673436</v>
      </c>
      <c r="AY7" s="100">
        <f t="shared" si="16"/>
        <v>1.3447811398978498E-2</v>
      </c>
      <c r="AZ7" s="345">
        <f t="shared" si="4"/>
        <v>4.9977735554929074E-3</v>
      </c>
      <c r="BA7" s="345">
        <f t="shared" si="5"/>
        <v>2.1897849242464091E-2</v>
      </c>
    </row>
    <row r="8" spans="1:53" x14ac:dyDescent="0.25">
      <c r="A8" s="188" t="s">
        <v>1925</v>
      </c>
      <c r="B8" s="189">
        <v>10.227750818028554</v>
      </c>
      <c r="C8" s="189">
        <v>10.007076533570967</v>
      </c>
      <c r="D8" s="189">
        <v>11.882074417357906</v>
      </c>
      <c r="E8" s="189">
        <v>12.161145082841994</v>
      </c>
      <c r="F8" s="189">
        <v>12.582652074099876</v>
      </c>
      <c r="G8" s="189">
        <v>14.802197087206979</v>
      </c>
      <c r="H8" s="189">
        <v>15.243623082963218</v>
      </c>
      <c r="I8" s="189">
        <v>14.420410404927122</v>
      </c>
      <c r="J8" s="189">
        <v>12.629432609168175</v>
      </c>
      <c r="K8" s="189">
        <v>8.6293129682154266</v>
      </c>
      <c r="L8" s="189">
        <v>8.6312369888659948</v>
      </c>
      <c r="M8" s="189">
        <v>7.7427524393939144</v>
      </c>
      <c r="N8" s="189">
        <v>8.069587572535573</v>
      </c>
      <c r="O8" s="189">
        <v>8.0889127321714067</v>
      </c>
      <c r="P8" s="189">
        <v>7.8134986037814924</v>
      </c>
      <c r="Q8" s="189">
        <v>8.1941411809744658</v>
      </c>
      <c r="R8" s="189">
        <v>7.8632241174691604</v>
      </c>
      <c r="S8" s="189">
        <v>7.6759228594408064</v>
      </c>
      <c r="T8" s="189">
        <v>7.2722646715865666</v>
      </c>
      <c r="U8" s="189">
        <v>6.2508681409235605</v>
      </c>
      <c r="V8" s="189">
        <v>6.5940451869536201</v>
      </c>
      <c r="W8" s="189">
        <v>6.7374243101129059</v>
      </c>
      <c r="X8" s="189">
        <v>6.5181563406023537</v>
      </c>
      <c r="Y8" s="189">
        <v>6.757920911973148</v>
      </c>
      <c r="Z8" s="189">
        <v>6.793944662703586</v>
      </c>
      <c r="AA8" s="189">
        <v>6.8612295268206074</v>
      </c>
      <c r="AB8" s="189">
        <v>6.7162665361797131</v>
      </c>
      <c r="AC8" s="189">
        <v>6.7812834028435462</v>
      </c>
      <c r="AD8" s="189">
        <v>7.2647694674139203</v>
      </c>
      <c r="AE8" s="189">
        <v>7.4355853646655525</v>
      </c>
      <c r="AF8" s="189">
        <v>7.1963624266032404</v>
      </c>
      <c r="AG8" s="189">
        <v>7.3090881804245802</v>
      </c>
      <c r="AH8" s="189">
        <v>7.3490947535079805</v>
      </c>
      <c r="AI8" s="189">
        <v>7.118481748295646</v>
      </c>
      <c r="AJ8" s="100">
        <f t="shared" si="6"/>
        <v>-0.19471775174945366</v>
      </c>
      <c r="AK8" s="100">
        <f t="shared" si="7"/>
        <v>-0.33735708851031171</v>
      </c>
      <c r="AL8" s="100">
        <f t="shared" si="8"/>
        <v>6.2016192382102077E-2</v>
      </c>
      <c r="AM8">
        <f t="shared" si="0"/>
        <v>6.2508681409235605</v>
      </c>
      <c r="AN8" s="113">
        <f t="shared" si="1"/>
        <v>0.13879889765902131</v>
      </c>
      <c r="AO8">
        <f t="shared" si="2"/>
        <v>15.243623082963218</v>
      </c>
      <c r="AP8" s="149">
        <f t="shared" si="3"/>
        <v>-0.58993553521342701</v>
      </c>
      <c r="AR8" s="113">
        <f t="shared" si="9"/>
        <v>8.9109529226151125E-3</v>
      </c>
      <c r="AS8">
        <f t="shared" si="10"/>
        <v>6.2016192382102084E-2</v>
      </c>
      <c r="AT8">
        <f t="shared" si="11"/>
        <v>1.1266621163140545E-2</v>
      </c>
      <c r="AU8">
        <f t="shared" si="12"/>
        <v>12</v>
      </c>
      <c r="AV8">
        <f t="shared" si="13"/>
        <v>2.1788128296672284</v>
      </c>
      <c r="AW8">
        <f t="shared" si="14"/>
        <v>3.7468333644851151E-2</v>
      </c>
      <c r="AX8">
        <f t="shared" si="15"/>
        <v>8.6564051119353017E-2</v>
      </c>
      <c r="AY8" s="100">
        <f t="shared" si="16"/>
        <v>8.9109529226151143E-3</v>
      </c>
      <c r="AZ8" s="345">
        <f t="shared" si="4"/>
        <v>5.3837319637582608E-3</v>
      </c>
      <c r="BA8" s="345">
        <f t="shared" si="5"/>
        <v>1.2438173881471967E-2</v>
      </c>
    </row>
    <row r="9" spans="1:53" x14ac:dyDescent="0.25">
      <c r="A9" s="188" t="s">
        <v>1940</v>
      </c>
      <c r="B9" s="189">
        <v>20.408135608135879</v>
      </c>
      <c r="C9" s="189">
        <v>19.102562545177467</v>
      </c>
      <c r="D9" s="189">
        <v>20.087233179971978</v>
      </c>
      <c r="E9" s="189">
        <v>19.250668761732317</v>
      </c>
      <c r="F9" s="189">
        <v>18.412799869450652</v>
      </c>
      <c r="G9" s="189">
        <v>17.9185708656603</v>
      </c>
      <c r="H9" s="189">
        <v>17.828362685560901</v>
      </c>
      <c r="I9" s="189">
        <v>16.698936674953501</v>
      </c>
      <c r="J9" s="189">
        <v>16.210983229105647</v>
      </c>
      <c r="K9" s="189">
        <v>16.627705944154801</v>
      </c>
      <c r="L9" s="189">
        <v>17.011344858799571</v>
      </c>
      <c r="M9" s="189">
        <v>15.668517124781621</v>
      </c>
      <c r="N9" s="189">
        <v>15.60283637499686</v>
      </c>
      <c r="O9" s="189">
        <v>15.894988826478812</v>
      </c>
      <c r="P9" s="189">
        <v>16.110649268116042</v>
      </c>
      <c r="Q9" s="189">
        <v>16.068301883566459</v>
      </c>
      <c r="R9" s="189">
        <v>17.192695197037438</v>
      </c>
      <c r="S9" s="189">
        <v>16.996241104942587</v>
      </c>
      <c r="T9" s="189">
        <v>17.455614229631966</v>
      </c>
      <c r="U9" s="189">
        <v>15.100943639136593</v>
      </c>
      <c r="V9" s="189">
        <v>17.573033425801775</v>
      </c>
      <c r="W9" s="189">
        <v>19.362642952979261</v>
      </c>
      <c r="X9" s="189">
        <v>21.165561271410159</v>
      </c>
      <c r="Y9" s="189">
        <v>24.673838035694907</v>
      </c>
      <c r="Z9" s="189">
        <v>28.336322702653678</v>
      </c>
      <c r="AA9" s="189">
        <v>27.063758268972258</v>
      </c>
      <c r="AB9" s="189">
        <v>26.838107441731374</v>
      </c>
      <c r="AC9" s="189">
        <v>27.938677361522689</v>
      </c>
      <c r="AD9" s="189">
        <v>30.391421622340609</v>
      </c>
      <c r="AE9" s="189">
        <v>32.573122890974894</v>
      </c>
      <c r="AF9" s="189">
        <v>30.465258358192461</v>
      </c>
      <c r="AG9" s="189">
        <v>33.632638798712797</v>
      </c>
      <c r="AH9" s="189">
        <v>38.339931348035975</v>
      </c>
      <c r="AI9" s="189">
        <v>41.581788488744898</v>
      </c>
      <c r="AJ9" s="100">
        <f t="shared" si="6"/>
        <v>0.55022948905552693</v>
      </c>
      <c r="AK9" s="100">
        <f t="shared" si="7"/>
        <v>-0.19870071907973219</v>
      </c>
      <c r="AL9" s="100">
        <f t="shared" si="8"/>
        <v>1.5513740419529527</v>
      </c>
      <c r="AM9">
        <f t="shared" si="0"/>
        <v>15.100943639136593</v>
      </c>
      <c r="AN9" s="113">
        <f t="shared" si="1"/>
        <v>1.753588747989153</v>
      </c>
      <c r="AO9">
        <f t="shared" si="2"/>
        <v>41.581788488744898</v>
      </c>
      <c r="AP9" s="149">
        <f t="shared" si="3"/>
        <v>-0.63683756307826866</v>
      </c>
      <c r="AR9" s="113">
        <f t="shared" si="9"/>
        <v>5.4306766571388457E-2</v>
      </c>
      <c r="AS9">
        <f t="shared" si="10"/>
        <v>1.5513740419529527</v>
      </c>
      <c r="AT9">
        <f t="shared" si="11"/>
        <v>0.13151776901272869</v>
      </c>
      <c r="AU9">
        <f t="shared" si="12"/>
        <v>12</v>
      </c>
      <c r="AV9">
        <f t="shared" si="13"/>
        <v>2.1788128296672284</v>
      </c>
      <c r="AW9">
        <f t="shared" si="14"/>
        <v>1.2648214394988084</v>
      </c>
      <c r="AX9">
        <f t="shared" si="15"/>
        <v>1.837926644407097</v>
      </c>
      <c r="AY9" s="100">
        <f t="shared" si="16"/>
        <v>5.4306766571388457E-2</v>
      </c>
      <c r="AZ9" s="345">
        <f t="shared" si="4"/>
        <v>4.4275823116700301E-2</v>
      </c>
      <c r="BA9" s="345">
        <f t="shared" si="5"/>
        <v>6.4337710026076619E-2</v>
      </c>
    </row>
    <row r="10" spans="1:53" x14ac:dyDescent="0.25">
      <c r="A10" s="188" t="s">
        <v>1926</v>
      </c>
      <c r="B10" s="189">
        <v>0.62933799136999991</v>
      </c>
      <c r="C10" s="189">
        <v>1.8085531207333334</v>
      </c>
      <c r="D10" s="189">
        <v>3.0260128291799999</v>
      </c>
      <c r="E10" s="189">
        <v>0.98107572867333337</v>
      </c>
      <c r="F10" s="189">
        <v>2.6562496809566669</v>
      </c>
      <c r="G10" s="189">
        <v>2.2671914907766668</v>
      </c>
      <c r="H10" s="189">
        <v>1.7343176327033334</v>
      </c>
      <c r="I10" s="189">
        <v>1.6556204631633336</v>
      </c>
      <c r="J10" s="189">
        <v>2.5946125878933328</v>
      </c>
      <c r="K10" s="189">
        <v>2.1824008620700002</v>
      </c>
      <c r="L10" s="189">
        <v>0.67326225827666675</v>
      </c>
      <c r="M10" s="189">
        <v>0.54752953001999993</v>
      </c>
      <c r="N10" s="189">
        <v>0.51386577076999995</v>
      </c>
      <c r="O10" s="189">
        <v>0.55645393217333339</v>
      </c>
      <c r="P10" s="189">
        <v>0.59601986300999998</v>
      </c>
      <c r="Q10" s="189">
        <v>0.61972490605666675</v>
      </c>
      <c r="R10" s="189">
        <v>0.62433752304000001</v>
      </c>
      <c r="S10" s="189">
        <v>0.60350811755666678</v>
      </c>
      <c r="T10" s="189">
        <v>0.52621790521666667</v>
      </c>
      <c r="U10" s="189">
        <v>0.67495545094999998</v>
      </c>
      <c r="V10" s="189">
        <v>0.60525917778333338</v>
      </c>
      <c r="W10" s="189">
        <v>0.56694901009999998</v>
      </c>
      <c r="X10" s="189">
        <v>0.55296042285000002</v>
      </c>
      <c r="Y10" s="189">
        <v>0.56275005182000004</v>
      </c>
      <c r="Z10" s="189">
        <v>0.56926723656</v>
      </c>
      <c r="AA10" s="189">
        <v>0.59717276120333329</v>
      </c>
      <c r="AB10" s="189">
        <v>0.60814990206666664</v>
      </c>
      <c r="AC10" s="189">
        <v>0.63061001109333326</v>
      </c>
      <c r="AD10" s="189">
        <v>0.63163119818333335</v>
      </c>
      <c r="AE10" s="189">
        <v>0.61315710962000003</v>
      </c>
      <c r="AF10" s="189">
        <v>0.59241647450333335</v>
      </c>
      <c r="AG10" s="189">
        <v>0.58088313580000006</v>
      </c>
      <c r="AH10" s="189">
        <v>0.58341422711000002</v>
      </c>
      <c r="AI10" s="189">
        <v>0.56578379689333336</v>
      </c>
      <c r="AJ10" s="100">
        <f t="shared" si="6"/>
        <v>-4.7650396289170865E-2</v>
      </c>
      <c r="AK10" s="100">
        <f t="shared" si="7"/>
        <v>-9.0943352327997481E-2</v>
      </c>
      <c r="AL10" s="100">
        <f t="shared" si="8"/>
        <v>1.0377837277802209E-3</v>
      </c>
      <c r="AM10">
        <f t="shared" si="0"/>
        <v>0.51386577076999995</v>
      </c>
      <c r="AN10" s="113">
        <f t="shared" si="1"/>
        <v>0.10103421764313492</v>
      </c>
      <c r="AO10">
        <f t="shared" si="2"/>
        <v>3.0260128291799999</v>
      </c>
      <c r="AP10" s="149">
        <f t="shared" si="3"/>
        <v>-0.8301838756879133</v>
      </c>
      <c r="AR10" s="113">
        <f t="shared" si="9"/>
        <v>1.7588693340027334E-3</v>
      </c>
      <c r="AS10">
        <f t="shared" si="10"/>
        <v>1.0377837277802204E-3</v>
      </c>
      <c r="AT10">
        <f t="shared" si="11"/>
        <v>1.720561104532213E-3</v>
      </c>
      <c r="AU10">
        <f t="shared" si="12"/>
        <v>12</v>
      </c>
      <c r="AV10">
        <f t="shared" si="13"/>
        <v>2.1788128296672284</v>
      </c>
      <c r="AW10">
        <f t="shared" si="14"/>
        <v>-2.7109968810009825E-3</v>
      </c>
      <c r="AX10">
        <f t="shared" si="15"/>
        <v>4.7865643365614238E-3</v>
      </c>
      <c r="AY10" s="100">
        <f t="shared" si="16"/>
        <v>1.7588693340027327E-3</v>
      </c>
      <c r="AZ10" s="100">
        <f t="shared" si="4"/>
        <v>-4.5946849530671208E-3</v>
      </c>
      <c r="BA10" s="100">
        <f t="shared" si="5"/>
        <v>8.1124236210725863E-3</v>
      </c>
    </row>
    <row r="11" spans="1:53" x14ac:dyDescent="0.25">
      <c r="A11" s="188" t="s">
        <v>1927</v>
      </c>
      <c r="B11" s="189">
        <v>0.45071246598744663</v>
      </c>
      <c r="C11" s="189">
        <v>0.46721505963212662</v>
      </c>
      <c r="D11" s="189">
        <v>0.52867276183758671</v>
      </c>
      <c r="E11" s="189">
        <v>0.5706637704166666</v>
      </c>
      <c r="F11" s="189">
        <v>0.45156194588999998</v>
      </c>
      <c r="G11" s="189">
        <v>0.41568127124333332</v>
      </c>
      <c r="H11" s="189">
        <v>0.43423276211333334</v>
      </c>
      <c r="I11" s="189">
        <v>0.43783115795679328</v>
      </c>
      <c r="J11" s="189">
        <v>0.48138533651999998</v>
      </c>
      <c r="K11" s="189">
        <v>0.46237681477239995</v>
      </c>
      <c r="L11" s="189">
        <v>0.59864495115333338</v>
      </c>
      <c r="M11" s="189">
        <v>0.52218927548333327</v>
      </c>
      <c r="N11" s="189">
        <v>0.50140802741333335</v>
      </c>
      <c r="O11" s="189">
        <v>0.53077178524333335</v>
      </c>
      <c r="P11" s="189">
        <v>0.61863120197999999</v>
      </c>
      <c r="Q11" s="189">
        <v>0.62481991403333326</v>
      </c>
      <c r="R11" s="189">
        <v>0.62894816207666659</v>
      </c>
      <c r="S11" s="189">
        <v>0.53400737962</v>
      </c>
      <c r="T11" s="189">
        <v>0.52548699543999999</v>
      </c>
      <c r="U11" s="189">
        <v>0.50196570112333339</v>
      </c>
      <c r="V11" s="189">
        <v>0.51697034110333329</v>
      </c>
      <c r="W11" s="189">
        <v>0.56343540619666665</v>
      </c>
      <c r="X11" s="189">
        <v>0.50398967281666662</v>
      </c>
      <c r="Y11" s="189">
        <v>0.40087844338666662</v>
      </c>
      <c r="Z11" s="189">
        <v>0.43245523647333328</v>
      </c>
      <c r="AA11" s="189">
        <v>0.40069741734000003</v>
      </c>
      <c r="AB11" s="189">
        <v>0.40846397947666663</v>
      </c>
      <c r="AC11" s="189">
        <v>0.44490630359999994</v>
      </c>
      <c r="AD11" s="189">
        <v>0.44419927925999997</v>
      </c>
      <c r="AE11" s="189">
        <v>0.44552034930333323</v>
      </c>
      <c r="AF11" s="189">
        <v>0.47382579581333323</v>
      </c>
      <c r="AG11" s="189">
        <v>0.40833766511999992</v>
      </c>
      <c r="AH11" s="189">
        <v>0.42054986827333329</v>
      </c>
      <c r="AI11" s="189">
        <v>0.40570216210333326</v>
      </c>
      <c r="AJ11" s="100">
        <f t="shared" si="6"/>
        <v>-2.1346938277891666E-3</v>
      </c>
      <c r="AK11" s="100">
        <f t="shared" si="7"/>
        <v>5.8547934009790942E-3</v>
      </c>
      <c r="AL11" s="100">
        <f t="shared" si="8"/>
        <v>-6.8927260932014692E-3</v>
      </c>
      <c r="AM11">
        <f t="shared" si="0"/>
        <v>0.40069741734000003</v>
      </c>
      <c r="AN11" s="113">
        <f t="shared" si="1"/>
        <v>1.2490084903858056E-2</v>
      </c>
      <c r="AO11">
        <f t="shared" si="2"/>
        <v>0.62894816207666659</v>
      </c>
      <c r="AP11" s="149">
        <f t="shared" si="3"/>
        <v>-0.36290867594401777</v>
      </c>
      <c r="AR11" s="113">
        <f>+AL11/AVERAGE(V11:AI11)</f>
        <v>-1.5390624097991228E-2</v>
      </c>
      <c r="AS11">
        <f t="shared" si="10"/>
        <v>-6.8927260932014692E-3</v>
      </c>
      <c r="AT11">
        <f t="shared" si="11"/>
        <v>2.8052733436283238E-3</v>
      </c>
      <c r="AU11">
        <f t="shared" si="12"/>
        <v>12</v>
      </c>
      <c r="AV11">
        <f t="shared" si="13"/>
        <v>2.1788128296672284</v>
      </c>
      <c r="AW11">
        <f t="shared" si="14"/>
        <v>-1.3004891645022346E-2</v>
      </c>
      <c r="AX11">
        <f t="shared" si="15"/>
        <v>-7.8056054138059359E-4</v>
      </c>
      <c r="AY11" s="100">
        <f t="shared" si="16"/>
        <v>-1.5390624097991228E-2</v>
      </c>
      <c r="AZ11" s="344">
        <f t="shared" si="4"/>
        <v>-2.9038350869776158E-2</v>
      </c>
      <c r="BA11" s="344">
        <f t="shared" si="5"/>
        <v>-1.7428973262063009E-3</v>
      </c>
    </row>
    <row r="12" spans="1:53" x14ac:dyDescent="0.25">
      <c r="AS12">
        <f>MIN(AS3:AS11)</f>
        <v>-8.5118838732038155E-2</v>
      </c>
      <c r="AY12">
        <f>MIN(AY3:AY11)</f>
        <v>-4.5896692263132338E-2</v>
      </c>
      <c r="AZ12">
        <f>MIN(AZ3:AZ11)</f>
        <v>-6.7300064768260379E-2</v>
      </c>
      <c r="BA12">
        <f>MIN(BA3:BA11)</f>
        <v>-2.4493319758004298E-2</v>
      </c>
    </row>
    <row r="13" spans="1:53" x14ac:dyDescent="0.25">
      <c r="A13" t="s">
        <v>2192</v>
      </c>
      <c r="AS13">
        <f>MAX(AS3:AS11)</f>
        <v>1.5513740419529527</v>
      </c>
      <c r="AY13">
        <f>MAX(AY3:AY11)</f>
        <v>5.4306766571388457E-2</v>
      </c>
      <c r="AZ13">
        <f>MAX(AZ3:AZ11)</f>
        <v>4.4275823116700301E-2</v>
      </c>
      <c r="BA13">
        <f>MAX(BA3:BA11)</f>
        <v>6.4337710026076619E-2</v>
      </c>
    </row>
    <row r="14" spans="1:53" x14ac:dyDescent="0.25">
      <c r="A14" t="s">
        <v>2193</v>
      </c>
    </row>
    <row r="15" spans="1:53" x14ac:dyDescent="0.25">
      <c r="A15" t="s">
        <v>2194</v>
      </c>
    </row>
    <row r="16" spans="1:53" x14ac:dyDescent="0.25">
      <c r="A16" t="s">
        <v>2198</v>
      </c>
    </row>
    <row r="17" spans="1:35" x14ac:dyDescent="0.25">
      <c r="A17" t="s">
        <v>2196</v>
      </c>
    </row>
    <row r="18" spans="1:35" x14ac:dyDescent="0.25">
      <c r="A18" t="s">
        <v>2197</v>
      </c>
    </row>
    <row r="21" spans="1:35" x14ac:dyDescent="0.25">
      <c r="A21" t="s">
        <v>2177</v>
      </c>
    </row>
    <row r="22" spans="1:35" x14ac:dyDescent="0.25">
      <c r="A22" s="136" t="s">
        <v>1786</v>
      </c>
      <c r="B22" s="136" t="s">
        <v>1821</v>
      </c>
      <c r="C22" s="136" t="s">
        <v>1822</v>
      </c>
      <c r="D22" s="136" t="s">
        <v>1823</v>
      </c>
      <c r="E22" s="136" t="s">
        <v>1824</v>
      </c>
      <c r="F22" s="136" t="s">
        <v>1825</v>
      </c>
      <c r="G22" s="136" t="s">
        <v>1826</v>
      </c>
      <c r="H22" s="136" t="s">
        <v>1827</v>
      </c>
      <c r="I22" s="136" t="s">
        <v>1828</v>
      </c>
      <c r="J22" s="136" t="s">
        <v>1829</v>
      </c>
      <c r="K22" s="136" t="s">
        <v>1830</v>
      </c>
      <c r="L22" s="136" t="s">
        <v>1831</v>
      </c>
      <c r="M22" s="136" t="s">
        <v>1832</v>
      </c>
      <c r="N22" s="136" t="s">
        <v>1833</v>
      </c>
      <c r="O22" s="136" t="s">
        <v>1834</v>
      </c>
      <c r="P22" s="136" t="s">
        <v>1835</v>
      </c>
      <c r="Q22" s="136" t="s">
        <v>1836</v>
      </c>
      <c r="R22" s="136" t="s">
        <v>1837</v>
      </c>
      <c r="S22" s="136" t="s">
        <v>1838</v>
      </c>
      <c r="T22" s="136" t="s">
        <v>1839</v>
      </c>
      <c r="U22" s="136" t="s">
        <v>1840</v>
      </c>
      <c r="V22" s="136" t="s">
        <v>1841</v>
      </c>
      <c r="W22" s="136" t="s">
        <v>1842</v>
      </c>
      <c r="X22" s="136" t="s">
        <v>1843</v>
      </c>
      <c r="Y22" s="136" t="s">
        <v>1844</v>
      </c>
      <c r="Z22" s="136" t="s">
        <v>1845</v>
      </c>
      <c r="AA22" s="136" t="s">
        <v>1846</v>
      </c>
      <c r="AB22" s="136" t="s">
        <v>1847</v>
      </c>
      <c r="AC22" s="136" t="s">
        <v>1848</v>
      </c>
      <c r="AD22" s="136" t="s">
        <v>1849</v>
      </c>
      <c r="AE22" s="136" t="s">
        <v>1850</v>
      </c>
      <c r="AF22" s="136" t="s">
        <v>1851</v>
      </c>
      <c r="AG22" s="136" t="s">
        <v>1852</v>
      </c>
      <c r="AH22" s="136" t="s">
        <v>1853</v>
      </c>
      <c r="AI22" s="136" t="s">
        <v>1854</v>
      </c>
    </row>
    <row r="23" spans="1:35" x14ac:dyDescent="0.25">
      <c r="A23" s="138" t="s">
        <v>1922</v>
      </c>
      <c r="B23" s="37">
        <f>B3/$V3</f>
        <v>1.5051940581424172</v>
      </c>
      <c r="C23" s="37">
        <f t="shared" ref="C23:AI31" si="17">C3/$V3</f>
        <v>1.5781629490499656</v>
      </c>
      <c r="D23" s="37">
        <f t="shared" si="17"/>
        <v>1.7105788642623216</v>
      </c>
      <c r="E23" s="37">
        <f t="shared" si="17"/>
        <v>1.7240124726780826</v>
      </c>
      <c r="F23" s="37">
        <f t="shared" si="17"/>
        <v>1.4980418886401672</v>
      </c>
      <c r="G23" s="37">
        <f t="shared" si="17"/>
        <v>1.4226098089607755</v>
      </c>
      <c r="H23" s="37">
        <f t="shared" si="17"/>
        <v>1.4498988058471862</v>
      </c>
      <c r="I23" s="37">
        <f t="shared" si="17"/>
        <v>1.3855830208935547</v>
      </c>
      <c r="J23" s="37">
        <f t="shared" si="17"/>
        <v>1.2883039039939033</v>
      </c>
      <c r="K23" s="37">
        <f t="shared" si="17"/>
        <v>1.3050651372527806</v>
      </c>
      <c r="L23" s="37">
        <f t="shared" si="17"/>
        <v>1.3804604507741571</v>
      </c>
      <c r="M23" s="37">
        <f t="shared" si="17"/>
        <v>1.3351344622599959</v>
      </c>
      <c r="N23" s="37">
        <f t="shared" si="17"/>
        <v>1.2569356837380967</v>
      </c>
      <c r="O23" s="37">
        <f t="shared" si="17"/>
        <v>1.5295241398086534</v>
      </c>
      <c r="P23" s="37">
        <f t="shared" si="17"/>
        <v>1.4243034446660643</v>
      </c>
      <c r="Q23" s="37">
        <f t="shared" si="17"/>
        <v>1.5174119303707068</v>
      </c>
      <c r="R23" s="37">
        <f t="shared" si="17"/>
        <v>1.4673684168450725</v>
      </c>
      <c r="S23" s="37">
        <f t="shared" si="17"/>
        <v>1.2802941801116263</v>
      </c>
      <c r="T23" s="37">
        <f t="shared" si="17"/>
        <v>0.96028289471124073</v>
      </c>
      <c r="U23" s="37">
        <f t="shared" si="17"/>
        <v>1.0542371277053562</v>
      </c>
      <c r="V23" s="37">
        <f>V3/$V3</f>
        <v>1</v>
      </c>
      <c r="W23" s="37">
        <f t="shared" si="17"/>
        <v>1.0564858456605155</v>
      </c>
      <c r="X23" s="37">
        <f t="shared" si="17"/>
        <v>1.0038146328577366</v>
      </c>
      <c r="Y23" s="37">
        <f t="shared" si="17"/>
        <v>1.1238069125013646</v>
      </c>
      <c r="Z23" s="37">
        <f t="shared" si="17"/>
        <v>1.0581793255626877</v>
      </c>
      <c r="AA23" s="37">
        <f t="shared" si="17"/>
        <v>0.96582339621722346</v>
      </c>
      <c r="AB23" s="37">
        <f t="shared" si="17"/>
        <v>0.91847989520687645</v>
      </c>
      <c r="AC23" s="37">
        <f t="shared" si="17"/>
        <v>0.92413326374638627</v>
      </c>
      <c r="AD23" s="37">
        <f t="shared" si="17"/>
        <v>0.93744038798501428</v>
      </c>
      <c r="AE23" s="37">
        <f t="shared" si="17"/>
        <v>0.9302648480690876</v>
      </c>
      <c r="AF23" s="37">
        <f t="shared" si="17"/>
        <v>0.90225712834644212</v>
      </c>
      <c r="AG23" s="37">
        <f t="shared" si="17"/>
        <v>0.86975928029244687</v>
      </c>
      <c r="AH23" s="37">
        <f t="shared" si="17"/>
        <v>0.84674584465723335</v>
      </c>
      <c r="AI23" s="37">
        <f>AI3/$V3</f>
        <v>0.82426123655801153</v>
      </c>
    </row>
    <row r="24" spans="1:35" x14ac:dyDescent="0.25">
      <c r="A24" s="138" t="s">
        <v>1788</v>
      </c>
      <c r="B24" s="37">
        <f t="shared" ref="B24:Q31" si="18">B4/$V4</f>
        <v>1.533070597579107</v>
      </c>
      <c r="C24" s="37">
        <f t="shared" si="18"/>
        <v>1.3311948460505236</v>
      </c>
      <c r="D24" s="37">
        <f t="shared" si="18"/>
        <v>1.8058256846274114</v>
      </c>
      <c r="E24" s="37">
        <f t="shared" si="18"/>
        <v>1.8927411738565449</v>
      </c>
      <c r="F24" s="37">
        <f t="shared" si="18"/>
        <v>1.6660804861005154</v>
      </c>
      <c r="G24" s="37">
        <f t="shared" si="18"/>
        <v>1.4745219111270715</v>
      </c>
      <c r="H24" s="37">
        <f t="shared" si="18"/>
        <v>1.4768693947348437</v>
      </c>
      <c r="I24" s="37">
        <f t="shared" si="18"/>
        <v>1.4982048558471199</v>
      </c>
      <c r="J24" s="37">
        <f t="shared" si="18"/>
        <v>1.4556859640611239</v>
      </c>
      <c r="K24" s="37">
        <f t="shared" si="18"/>
        <v>1.6130924626751697</v>
      </c>
      <c r="L24" s="37">
        <f t="shared" si="18"/>
        <v>1.5753482407366421</v>
      </c>
      <c r="M24" s="37">
        <f t="shared" si="18"/>
        <v>1.9514024830144989</v>
      </c>
      <c r="N24" s="37">
        <f t="shared" si="18"/>
        <v>1.9135915842941673</v>
      </c>
      <c r="O24" s="37">
        <f t="shared" si="18"/>
        <v>1.2191069381955888</v>
      </c>
      <c r="P24" s="37">
        <f t="shared" si="18"/>
        <v>1.1676133102573187</v>
      </c>
      <c r="Q24" s="37">
        <f t="shared" si="18"/>
        <v>1.2598923513333038</v>
      </c>
      <c r="R24" s="37">
        <f t="shared" si="17"/>
        <v>1.2494354913747916</v>
      </c>
      <c r="S24" s="37">
        <f t="shared" si="17"/>
        <v>1.2124823829565641</v>
      </c>
      <c r="T24" s="37">
        <f t="shared" si="17"/>
        <v>1.071378380243172</v>
      </c>
      <c r="U24" s="37">
        <f t="shared" si="17"/>
        <v>0.87760048184965678</v>
      </c>
      <c r="V24" s="37">
        <f t="shared" si="17"/>
        <v>1</v>
      </c>
      <c r="W24" s="37">
        <f t="shared" si="17"/>
        <v>1.083426852091562</v>
      </c>
      <c r="X24" s="37">
        <f t="shared" si="17"/>
        <v>0.93214695092453448</v>
      </c>
      <c r="Y24" s="37">
        <f t="shared" si="17"/>
        <v>0.96328022531804858</v>
      </c>
      <c r="Z24" s="37">
        <f t="shared" si="17"/>
        <v>0.93960100796227009</v>
      </c>
      <c r="AA24" s="37">
        <f t="shared" si="17"/>
        <v>0.94745207971834577</v>
      </c>
      <c r="AB24" s="37">
        <f t="shared" si="17"/>
        <v>0.94551879043483145</v>
      </c>
      <c r="AC24" s="37">
        <f t="shared" si="17"/>
        <v>0.98205793620717441</v>
      </c>
      <c r="AD24" s="37">
        <f t="shared" si="17"/>
        <v>0.9775610207366261</v>
      </c>
      <c r="AE24" s="37">
        <f t="shared" si="17"/>
        <v>0.99257089794263487</v>
      </c>
      <c r="AF24" s="37">
        <f t="shared" si="17"/>
        <v>0.93365991752367139</v>
      </c>
      <c r="AG24" s="37">
        <f t="shared" si="17"/>
        <v>0.98383450269072614</v>
      </c>
      <c r="AH24" s="37">
        <f t="shared" si="17"/>
        <v>0.98966050816317086</v>
      </c>
      <c r="AI24" s="37">
        <f t="shared" si="17"/>
        <v>0.91162631592977583</v>
      </c>
    </row>
    <row r="25" spans="1:35" x14ac:dyDescent="0.25">
      <c r="A25" s="138" t="s">
        <v>1923</v>
      </c>
      <c r="B25" s="37">
        <f t="shared" si="18"/>
        <v>1.0700462395798751</v>
      </c>
      <c r="C25" s="37">
        <f t="shared" si="17"/>
        <v>1.1736535460277855</v>
      </c>
      <c r="D25" s="37">
        <f t="shared" si="17"/>
        <v>1.2771691164151955</v>
      </c>
      <c r="E25" s="37">
        <f t="shared" si="17"/>
        <v>1.5101803864313985</v>
      </c>
      <c r="F25" s="37">
        <f t="shared" si="17"/>
        <v>1.9387405606794192</v>
      </c>
      <c r="G25" s="37">
        <f t="shared" si="17"/>
        <v>1.5815973115340951</v>
      </c>
      <c r="H25" s="37">
        <f t="shared" si="17"/>
        <v>1.6722364766449569</v>
      </c>
      <c r="I25" s="37">
        <f t="shared" si="17"/>
        <v>1.4688809539606904</v>
      </c>
      <c r="J25" s="37">
        <f t="shared" si="17"/>
        <v>1.2571686160611824</v>
      </c>
      <c r="K25" s="37">
        <f t="shared" si="17"/>
        <v>1.1655564232641995</v>
      </c>
      <c r="L25" s="37">
        <f t="shared" si="17"/>
        <v>1.3818412349118574</v>
      </c>
      <c r="M25" s="37">
        <f t="shared" si="17"/>
        <v>1.1830008777248957</v>
      </c>
      <c r="N25" s="37">
        <f t="shared" si="17"/>
        <v>1.409927986168825</v>
      </c>
      <c r="O25" s="37">
        <f t="shared" si="17"/>
        <v>0.7956158883588168</v>
      </c>
      <c r="P25" s="37">
        <f t="shared" si="17"/>
        <v>1.1724019217911366</v>
      </c>
      <c r="Q25" s="37">
        <f t="shared" si="17"/>
        <v>1.0738498818409761</v>
      </c>
      <c r="R25" s="37">
        <f t="shared" si="17"/>
        <v>1.1494651641401101</v>
      </c>
      <c r="S25" s="37">
        <f t="shared" si="17"/>
        <v>1.1499982386521521</v>
      </c>
      <c r="T25" s="37">
        <f t="shared" si="17"/>
        <v>1.0839115755761743</v>
      </c>
      <c r="U25" s="37">
        <f t="shared" si="17"/>
        <v>1.0360451896123759</v>
      </c>
      <c r="V25" s="37">
        <f t="shared" si="17"/>
        <v>1</v>
      </c>
      <c r="W25" s="37">
        <f t="shared" si="17"/>
        <v>0.96678051246873864</v>
      </c>
      <c r="X25" s="37">
        <f t="shared" si="17"/>
        <v>0.89244145489407078</v>
      </c>
      <c r="Y25" s="37">
        <f t="shared" si="17"/>
        <v>0.87375873956721206</v>
      </c>
      <c r="Z25" s="37">
        <f t="shared" si="17"/>
        <v>0.69214745527581933</v>
      </c>
      <c r="AA25" s="37">
        <f t="shared" si="17"/>
        <v>0.60162072563383473</v>
      </c>
      <c r="AB25" s="37">
        <f t="shared" si="17"/>
        <v>0.54527371819295734</v>
      </c>
      <c r="AC25" s="37">
        <f t="shared" si="17"/>
        <v>0.52349492183785784</v>
      </c>
      <c r="AD25" s="37">
        <f t="shared" si="17"/>
        <v>0.58071005223710748</v>
      </c>
      <c r="AE25" s="37">
        <f t="shared" si="17"/>
        <v>0.62526129192514479</v>
      </c>
      <c r="AF25" s="37">
        <f t="shared" si="17"/>
        <v>0.6342850657751421</v>
      </c>
      <c r="AG25" s="37">
        <f t="shared" si="17"/>
        <v>0.62124157325091145</v>
      </c>
      <c r="AH25" s="37">
        <f t="shared" si="17"/>
        <v>0.60180777112279693</v>
      </c>
      <c r="AI25" s="37">
        <f t="shared" si="17"/>
        <v>0.54438731812474384</v>
      </c>
    </row>
    <row r="26" spans="1:35" x14ac:dyDescent="0.25">
      <c r="A26" s="138" t="s">
        <v>1924</v>
      </c>
      <c r="B26" s="37">
        <f t="shared" si="18"/>
        <v>1.0346522082353575</v>
      </c>
      <c r="C26" s="37">
        <f t="shared" si="17"/>
        <v>0.95199766969317767</v>
      </c>
      <c r="D26" s="37">
        <f t="shared" si="17"/>
        <v>1.381734033092562</v>
      </c>
      <c r="E26" s="37">
        <f t="shared" si="17"/>
        <v>1.621899411971516</v>
      </c>
      <c r="F26" s="37">
        <f t="shared" si="17"/>
        <v>1.5776921042084529</v>
      </c>
      <c r="G26" s="37">
        <f t="shared" si="17"/>
        <v>1.4502184180824123</v>
      </c>
      <c r="H26" s="37">
        <f t="shared" si="17"/>
        <v>1.3565727940464987</v>
      </c>
      <c r="I26" s="37">
        <f t="shared" si="17"/>
        <v>1.3003166149980276</v>
      </c>
      <c r="J26" s="37">
        <f t="shared" si="17"/>
        <v>1.2574222850983328</v>
      </c>
      <c r="K26" s="37">
        <f t="shared" si="17"/>
        <v>1.2308978277636766</v>
      </c>
      <c r="L26" s="37">
        <f t="shared" si="17"/>
        <v>1.6121664314756996</v>
      </c>
      <c r="M26" s="37">
        <f t="shared" si="17"/>
        <v>1.6762088468056089</v>
      </c>
      <c r="N26" s="37">
        <f t="shared" si="17"/>
        <v>1.4979965767159387</v>
      </c>
      <c r="O26" s="37">
        <f t="shared" si="17"/>
        <v>1.5136271209908043</v>
      </c>
      <c r="P26" s="37">
        <f t="shared" si="17"/>
        <v>1.5246025105491725</v>
      </c>
      <c r="Q26" s="37">
        <f t="shared" si="17"/>
        <v>1.372709511368537</v>
      </c>
      <c r="R26" s="37">
        <f t="shared" si="17"/>
        <v>1.5891402534074168</v>
      </c>
      <c r="S26" s="37">
        <f t="shared" si="17"/>
        <v>1.2327682035871781</v>
      </c>
      <c r="T26" s="37">
        <f t="shared" si="17"/>
        <v>1.1397517875227015</v>
      </c>
      <c r="U26" s="37">
        <f t="shared" si="17"/>
        <v>1.0487215171025088</v>
      </c>
      <c r="V26" s="37">
        <f t="shared" si="17"/>
        <v>1</v>
      </c>
      <c r="W26" s="37">
        <f t="shared" si="17"/>
        <v>1.0051574190712553</v>
      </c>
      <c r="X26" s="37">
        <f t="shared" si="17"/>
        <v>0.91866308923779616</v>
      </c>
      <c r="Y26" s="37">
        <f t="shared" si="17"/>
        <v>1.042706037547573</v>
      </c>
      <c r="Z26" s="37">
        <f t="shared" si="17"/>
        <v>1.09510019896837</v>
      </c>
      <c r="AA26" s="37">
        <f t="shared" si="17"/>
        <v>1.0047582000752096</v>
      </c>
      <c r="AB26" s="37">
        <f t="shared" si="17"/>
        <v>0.95272284215062197</v>
      </c>
      <c r="AC26" s="37">
        <f t="shared" si="17"/>
        <v>1.0971710435129685</v>
      </c>
      <c r="AD26" s="37">
        <f t="shared" si="17"/>
        <v>1.0847438437503725</v>
      </c>
      <c r="AE26" s="37">
        <f t="shared" si="17"/>
        <v>1.0931582299737301</v>
      </c>
      <c r="AF26" s="37">
        <f t="shared" si="17"/>
        <v>1.0484046103172204</v>
      </c>
      <c r="AG26" s="37">
        <f t="shared" si="17"/>
        <v>1.0136651019140142</v>
      </c>
      <c r="AH26" s="37">
        <f t="shared" si="17"/>
        <v>1.0329999201018711</v>
      </c>
      <c r="AI26" s="37">
        <f t="shared" si="17"/>
        <v>1.0730755202394806</v>
      </c>
    </row>
    <row r="27" spans="1:35" x14ac:dyDescent="0.25">
      <c r="A27" s="138" t="s">
        <v>1939</v>
      </c>
      <c r="B27" s="37">
        <f t="shared" si="18"/>
        <v>1.7770391044438281</v>
      </c>
      <c r="C27" s="37">
        <f t="shared" si="17"/>
        <v>1.8544558350564913</v>
      </c>
      <c r="D27" s="37">
        <f t="shared" si="17"/>
        <v>2.6019885463839354</v>
      </c>
      <c r="E27" s="37">
        <f t="shared" si="17"/>
        <v>2.566663023473212</v>
      </c>
      <c r="F27" s="37">
        <f t="shared" si="17"/>
        <v>2.6430812416198712</v>
      </c>
      <c r="G27" s="37">
        <f t="shared" si="17"/>
        <v>2.7334058298159074</v>
      </c>
      <c r="H27" s="37">
        <f t="shared" si="17"/>
        <v>2.5367346498153984</v>
      </c>
      <c r="I27" s="37">
        <f t="shared" si="17"/>
        <v>2.5348296907893517</v>
      </c>
      <c r="J27" s="37">
        <f t="shared" si="17"/>
        <v>2.5010818160880572</v>
      </c>
      <c r="K27" s="37">
        <f t="shared" si="17"/>
        <v>2.6073580000156014</v>
      </c>
      <c r="L27" s="37">
        <f t="shared" si="17"/>
        <v>1.4016780336411077</v>
      </c>
      <c r="M27" s="37">
        <f t="shared" si="17"/>
        <v>1.5201401945579056</v>
      </c>
      <c r="N27" s="37">
        <f t="shared" si="17"/>
        <v>1.4069293680995669</v>
      </c>
      <c r="O27" s="37">
        <f t="shared" si="17"/>
        <v>1.1996851944602895</v>
      </c>
      <c r="P27" s="37">
        <f t="shared" si="17"/>
        <v>1.3111745738326805</v>
      </c>
      <c r="Q27" s="37">
        <f t="shared" si="17"/>
        <v>1.2069934974768981</v>
      </c>
      <c r="R27" s="37">
        <f t="shared" si="17"/>
        <v>1.0670920969711231</v>
      </c>
      <c r="S27" s="37">
        <f t="shared" si="17"/>
        <v>1.0182775178894581</v>
      </c>
      <c r="T27" s="37">
        <f t="shared" si="17"/>
        <v>0.84457364310856087</v>
      </c>
      <c r="U27" s="37">
        <f t="shared" si="17"/>
        <v>0.7791557908025083</v>
      </c>
      <c r="V27" s="37">
        <f t="shared" si="17"/>
        <v>1</v>
      </c>
      <c r="W27" s="37">
        <f t="shared" si="17"/>
        <v>1.058961202254576</v>
      </c>
      <c r="X27" s="37">
        <f t="shared" si="17"/>
        <v>1.0563549208591743</v>
      </c>
      <c r="Y27" s="37">
        <f t="shared" si="17"/>
        <v>1.0931861763041324</v>
      </c>
      <c r="Z27" s="37">
        <f t="shared" si="17"/>
        <v>1.1030578048341162</v>
      </c>
      <c r="AA27" s="37">
        <f t="shared" si="17"/>
        <v>1.0707130545974084</v>
      </c>
      <c r="AB27" s="37">
        <f t="shared" si="17"/>
        <v>1.1350783428177662</v>
      </c>
      <c r="AC27" s="37">
        <f t="shared" si="17"/>
        <v>1.0186279428375293</v>
      </c>
      <c r="AD27" s="37">
        <f t="shared" si="17"/>
        <v>1.1126720391999378</v>
      </c>
      <c r="AE27" s="37">
        <f t="shared" si="17"/>
        <v>1.1388302050866439</v>
      </c>
      <c r="AF27" s="37">
        <f t="shared" si="17"/>
        <v>1.0546132822435159</v>
      </c>
      <c r="AG27" s="37">
        <f t="shared" si="17"/>
        <v>1.1022777674463375</v>
      </c>
      <c r="AH27" s="37">
        <f t="shared" si="17"/>
        <v>1.2831947156000578</v>
      </c>
      <c r="AI27" s="37">
        <f t="shared" si="17"/>
        <v>1.3070231051761545</v>
      </c>
    </row>
    <row r="28" spans="1:35" x14ac:dyDescent="0.25">
      <c r="A28" s="138" t="s">
        <v>1925</v>
      </c>
      <c r="B28" s="37">
        <f t="shared" si="18"/>
        <v>1.5510586488342928</v>
      </c>
      <c r="C28" s="37">
        <f t="shared" si="17"/>
        <v>1.5175929569560822</v>
      </c>
      <c r="D28" s="37">
        <f t="shared" si="17"/>
        <v>1.8019400960228027</v>
      </c>
      <c r="E28" s="37">
        <f t="shared" si="17"/>
        <v>1.8442617146304872</v>
      </c>
      <c r="F28" s="37">
        <f t="shared" si="17"/>
        <v>1.9081840838753683</v>
      </c>
      <c r="G28" s="37">
        <f t="shared" si="17"/>
        <v>2.2447824768464226</v>
      </c>
      <c r="H28" s="37">
        <f t="shared" si="17"/>
        <v>2.3117256025364927</v>
      </c>
      <c r="I28" s="37">
        <f t="shared" si="17"/>
        <v>2.1868837710511961</v>
      </c>
      <c r="J28" s="37">
        <f t="shared" si="17"/>
        <v>1.915278444581427</v>
      </c>
      <c r="K28" s="37">
        <f t="shared" si="17"/>
        <v>1.3086523861390278</v>
      </c>
      <c r="L28" s="37">
        <f t="shared" si="17"/>
        <v>1.3089441676776765</v>
      </c>
      <c r="M28" s="37">
        <f t="shared" si="17"/>
        <v>1.1742037277380237</v>
      </c>
      <c r="N28" s="37">
        <f t="shared" si="17"/>
        <v>1.2237689223758017</v>
      </c>
      <c r="O28" s="37">
        <f t="shared" si="17"/>
        <v>1.2266996210725696</v>
      </c>
      <c r="P28" s="37">
        <f t="shared" si="17"/>
        <v>1.1849325235502741</v>
      </c>
      <c r="Q28" s="37">
        <f t="shared" si="17"/>
        <v>1.2426577235452754</v>
      </c>
      <c r="R28" s="37">
        <f t="shared" si="17"/>
        <v>1.1924734960910828</v>
      </c>
      <c r="S28" s="37">
        <f t="shared" si="17"/>
        <v>1.1640688897048646</v>
      </c>
      <c r="T28" s="37">
        <f t="shared" si="17"/>
        <v>1.1028533268129266</v>
      </c>
      <c r="U28" s="37">
        <f t="shared" si="17"/>
        <v>0.94795652193754476</v>
      </c>
      <c r="V28" s="37">
        <f t="shared" si="17"/>
        <v>1</v>
      </c>
      <c r="W28" s="37">
        <f t="shared" si="17"/>
        <v>1.0217437277261858</v>
      </c>
      <c r="X28" s="37">
        <f t="shared" si="17"/>
        <v>0.98849130629231763</v>
      </c>
      <c r="Y28" s="37">
        <f t="shared" si="17"/>
        <v>1.0248520779541757</v>
      </c>
      <c r="Z28" s="37">
        <f t="shared" si="17"/>
        <v>1.030315151031338</v>
      </c>
      <c r="AA28" s="37">
        <f t="shared" si="17"/>
        <v>1.0405190338088088</v>
      </c>
      <c r="AB28" s="37">
        <f t="shared" si="17"/>
        <v>1.0185351094450958</v>
      </c>
      <c r="AC28" s="37">
        <f t="shared" si="17"/>
        <v>1.0283950459211864</v>
      </c>
      <c r="AD28" s="37">
        <f t="shared" si="17"/>
        <v>1.1017166642696556</v>
      </c>
      <c r="AE28" s="37">
        <f t="shared" si="17"/>
        <v>1.1276212330750974</v>
      </c>
      <c r="AF28" s="37">
        <f t="shared" si="17"/>
        <v>1.0913426011761811</v>
      </c>
      <c r="AG28" s="37">
        <f t="shared" si="17"/>
        <v>1.1084376847895552</v>
      </c>
      <c r="AH28" s="37">
        <f t="shared" si="17"/>
        <v>1.1145047607572107</v>
      </c>
      <c r="AI28" s="37">
        <f t="shared" si="17"/>
        <v>1.0795318422111557</v>
      </c>
    </row>
    <row r="29" spans="1:35" x14ac:dyDescent="0.25">
      <c r="A29" s="138" t="s">
        <v>1940</v>
      </c>
      <c r="B29" s="37">
        <f t="shared" si="18"/>
        <v>1.161332543655863</v>
      </c>
      <c r="C29" s="37">
        <f t="shared" si="17"/>
        <v>1.0870384231518018</v>
      </c>
      <c r="D29" s="37">
        <f t="shared" si="17"/>
        <v>1.1430714716833523</v>
      </c>
      <c r="E29" s="37">
        <f t="shared" si="17"/>
        <v>1.0954664624644337</v>
      </c>
      <c r="F29" s="37">
        <f t="shared" si="17"/>
        <v>1.0477872216652067</v>
      </c>
      <c r="G29" s="37">
        <f t="shared" si="17"/>
        <v>1.0196629364712404</v>
      </c>
      <c r="H29" s="37">
        <f t="shared" si="17"/>
        <v>1.0145296064471281</v>
      </c>
      <c r="I29" s="37">
        <f t="shared" si="17"/>
        <v>0.95025919944106674</v>
      </c>
      <c r="J29" s="37">
        <f t="shared" si="17"/>
        <v>0.92249202720480317</v>
      </c>
      <c r="K29" s="37">
        <f t="shared" si="17"/>
        <v>0.94620578822441737</v>
      </c>
      <c r="L29" s="37">
        <f t="shared" si="17"/>
        <v>0.96803690328287328</v>
      </c>
      <c r="M29" s="37">
        <f t="shared" si="17"/>
        <v>0.8916227918724704</v>
      </c>
      <c r="N29" s="37">
        <f t="shared" si="17"/>
        <v>0.88788520438866558</v>
      </c>
      <c r="O29" s="37">
        <f t="shared" si="17"/>
        <v>0.90451024825007398</v>
      </c>
      <c r="P29" s="37">
        <f t="shared" si="17"/>
        <v>0.91678248585479993</v>
      </c>
      <c r="Q29" s="37">
        <f t="shared" si="17"/>
        <v>0.91437269219405348</v>
      </c>
      <c r="R29" s="37">
        <f t="shared" si="17"/>
        <v>0.97835671169862448</v>
      </c>
      <c r="S29" s="37">
        <f t="shared" si="17"/>
        <v>0.96717741855470973</v>
      </c>
      <c r="T29" s="37">
        <f t="shared" si="17"/>
        <v>0.99331821699050504</v>
      </c>
      <c r="U29" s="37">
        <f t="shared" si="17"/>
        <v>0.85932481167221186</v>
      </c>
      <c r="V29" s="37">
        <f t="shared" si="17"/>
        <v>1</v>
      </c>
      <c r="W29" s="37">
        <f t="shared" si="17"/>
        <v>1.1018383954445721</v>
      </c>
      <c r="X29" s="37">
        <f t="shared" si="17"/>
        <v>1.204434132603061</v>
      </c>
      <c r="Y29" s="37">
        <f t="shared" si="17"/>
        <v>1.4040739261024398</v>
      </c>
      <c r="Z29" s="37">
        <f t="shared" si="17"/>
        <v>1.6124889776314089</v>
      </c>
      <c r="AA29" s="37">
        <f t="shared" si="17"/>
        <v>1.5400732254475562</v>
      </c>
      <c r="AB29" s="37">
        <f t="shared" si="17"/>
        <v>1.5272324812360549</v>
      </c>
      <c r="AC29" s="37">
        <f t="shared" si="17"/>
        <v>1.5898608216667622</v>
      </c>
      <c r="AD29" s="37">
        <f t="shared" si="17"/>
        <v>1.7294351456543702</v>
      </c>
      <c r="AE29" s="37">
        <f t="shared" si="17"/>
        <v>1.8535856674095375</v>
      </c>
      <c r="AF29" s="37">
        <f t="shared" si="17"/>
        <v>1.7336368525573709</v>
      </c>
      <c r="AG29" s="37">
        <f t="shared" si="17"/>
        <v>1.9138778140222139</v>
      </c>
      <c r="AH29" s="37">
        <f t="shared" si="17"/>
        <v>2.1817480465121637</v>
      </c>
      <c r="AI29" s="37">
        <f t="shared" si="17"/>
        <v>2.3662271322885005</v>
      </c>
    </row>
    <row r="30" spans="1:35" x14ac:dyDescent="0.25">
      <c r="A30" s="138" t="s">
        <v>1926</v>
      </c>
      <c r="B30" s="37">
        <f t="shared" si="18"/>
        <v>1.0397826492691138</v>
      </c>
      <c r="C30" s="37">
        <f t="shared" si="17"/>
        <v>2.9880639354480754</v>
      </c>
      <c r="D30" s="37">
        <f t="shared" si="17"/>
        <v>4.9995323330119446</v>
      </c>
      <c r="E30" s="37">
        <f t="shared" si="17"/>
        <v>1.6209183845280448</v>
      </c>
      <c r="F30" s="37">
        <f t="shared" si="17"/>
        <v>4.3886152882220868</v>
      </c>
      <c r="G30" s="37">
        <f t="shared" si="17"/>
        <v>3.7458192688294285</v>
      </c>
      <c r="H30" s="37">
        <f t="shared" si="17"/>
        <v>2.8654131921716566</v>
      </c>
      <c r="I30" s="37">
        <f t="shared" si="17"/>
        <v>2.7353909266221841</v>
      </c>
      <c r="J30" s="37">
        <f t="shared" si="17"/>
        <v>4.2867794213310297</v>
      </c>
      <c r="K30" s="37">
        <f t="shared" si="17"/>
        <v>3.6057294828022277</v>
      </c>
      <c r="L30" s="37">
        <f t="shared" si="17"/>
        <v>1.1123536544169128</v>
      </c>
      <c r="M30" s="37">
        <f t="shared" si="17"/>
        <v>0.90461995475267432</v>
      </c>
      <c r="N30" s="37">
        <f t="shared" si="17"/>
        <v>0.84900120416505298</v>
      </c>
      <c r="O30" s="37">
        <f t="shared" si="17"/>
        <v>0.91936471613905713</v>
      </c>
      <c r="P30" s="37">
        <f t="shared" si="17"/>
        <v>0.98473494477659818</v>
      </c>
      <c r="Q30" s="37">
        <f t="shared" si="17"/>
        <v>1.0239000560492313</v>
      </c>
      <c r="R30" s="37">
        <f t="shared" si="17"/>
        <v>1.0315209516137172</v>
      </c>
      <c r="S30" s="37">
        <f t="shared" si="17"/>
        <v>0.99710692494894571</v>
      </c>
      <c r="T30" s="37">
        <f t="shared" si="17"/>
        <v>0.86940921266796323</v>
      </c>
      <c r="U30" s="37">
        <f t="shared" si="17"/>
        <v>1.1151511215772361</v>
      </c>
      <c r="V30" s="37">
        <f t="shared" si="17"/>
        <v>1</v>
      </c>
      <c r="W30" s="37">
        <f t="shared" si="17"/>
        <v>0.93670452412859173</v>
      </c>
      <c r="X30" s="37">
        <f t="shared" si="17"/>
        <v>0.91359279321485165</v>
      </c>
      <c r="Y30" s="37">
        <f t="shared" si="17"/>
        <v>0.92976706917685026</v>
      </c>
      <c r="Z30" s="37">
        <f t="shared" si="17"/>
        <v>0.94053466259669416</v>
      </c>
      <c r="AA30" s="37">
        <f t="shared" si="17"/>
        <v>0.98663974562167678</v>
      </c>
      <c r="AB30" s="37">
        <f t="shared" si="17"/>
        <v>1.0047760106569885</v>
      </c>
      <c r="AC30" s="37">
        <f t="shared" si="17"/>
        <v>1.0418842608927357</v>
      </c>
      <c r="AD30" s="37">
        <f t="shared" si="17"/>
        <v>1.0435714506578544</v>
      </c>
      <c r="AE30" s="37">
        <f t="shared" si="17"/>
        <v>1.0130488427545892</v>
      </c>
      <c r="AF30" s="37">
        <f t="shared" si="17"/>
        <v>0.97878148113832086</v>
      </c>
      <c r="AG30" s="37">
        <f t="shared" si="17"/>
        <v>0.95972627449846071</v>
      </c>
      <c r="AH30" s="37">
        <f t="shared" si="17"/>
        <v>0.96390810503140645</v>
      </c>
      <c r="AI30" s="37">
        <f t="shared" si="17"/>
        <v>0.93477937660594856</v>
      </c>
    </row>
    <row r="31" spans="1:35" x14ac:dyDescent="0.25">
      <c r="A31" s="138" t="s">
        <v>1927</v>
      </c>
      <c r="B31" s="37">
        <f t="shared" si="18"/>
        <v>0.8718342816833996</v>
      </c>
      <c r="C31" s="37">
        <f t="shared" si="17"/>
        <v>0.90375602328555737</v>
      </c>
      <c r="D31" s="37">
        <f t="shared" si="17"/>
        <v>1.0226365417971131</v>
      </c>
      <c r="E31" s="37">
        <f t="shared" si="17"/>
        <v>1.103861720962056</v>
      </c>
      <c r="F31" s="37">
        <f t="shared" si="17"/>
        <v>0.87347747053779379</v>
      </c>
      <c r="G31" s="37">
        <f t="shared" si="17"/>
        <v>0.80407179714831245</v>
      </c>
      <c r="H31" s="37">
        <f t="shared" si="17"/>
        <v>0.83995681683901058</v>
      </c>
      <c r="I31" s="37">
        <f t="shared" ref="I31:AI31" si="19">I11/$V11</f>
        <v>0.84691736284592489</v>
      </c>
      <c r="J31" s="37">
        <f t="shared" si="19"/>
        <v>0.93116625509427342</v>
      </c>
      <c r="K31" s="37">
        <f t="shared" si="19"/>
        <v>0.89439717912169148</v>
      </c>
      <c r="L31" s="37">
        <f t="shared" si="19"/>
        <v>1.1579870324392068</v>
      </c>
      <c r="M31" s="37">
        <f t="shared" si="19"/>
        <v>1.010095229774423</v>
      </c>
      <c r="N31" s="37">
        <f t="shared" si="19"/>
        <v>0.96989708605567893</v>
      </c>
      <c r="O31" s="37">
        <f t="shared" si="19"/>
        <v>1.026696781309629</v>
      </c>
      <c r="P31" s="37">
        <f t="shared" si="19"/>
        <v>1.1966473756689777</v>
      </c>
      <c r="Q31" s="37">
        <f t="shared" si="19"/>
        <v>1.2086184919232006</v>
      </c>
      <c r="R31" s="37">
        <f t="shared" si="19"/>
        <v>1.2166039559142734</v>
      </c>
      <c r="S31" s="37">
        <f t="shared" si="19"/>
        <v>1.0329555434075886</v>
      </c>
      <c r="T31" s="37">
        <f t="shared" si="19"/>
        <v>1.0164741642982655</v>
      </c>
      <c r="U31" s="37">
        <f t="shared" si="19"/>
        <v>0.97097582049295794</v>
      </c>
      <c r="V31" s="37">
        <f t="shared" si="19"/>
        <v>1</v>
      </c>
      <c r="W31" s="37">
        <f t="shared" si="19"/>
        <v>1.0898795567153161</v>
      </c>
      <c r="X31" s="37">
        <f t="shared" si="19"/>
        <v>0.97489088395484558</v>
      </c>
      <c r="Y31" s="37">
        <f t="shared" si="19"/>
        <v>0.77543799230551613</v>
      </c>
      <c r="Z31" s="37">
        <f t="shared" si="19"/>
        <v>0.83651846554751019</v>
      </c>
      <c r="AA31" s="37">
        <f t="shared" si="19"/>
        <v>0.77508782512517027</v>
      </c>
      <c r="AB31" s="37">
        <f t="shared" si="19"/>
        <v>0.79011105086785216</v>
      </c>
      <c r="AC31" s="37">
        <f t="shared" si="19"/>
        <v>0.86060314920671821</v>
      </c>
      <c r="AD31" s="37">
        <f t="shared" si="19"/>
        <v>0.85923551883455596</v>
      </c>
      <c r="AE31" s="37">
        <f t="shared" si="19"/>
        <v>0.86179092663708834</v>
      </c>
      <c r="AF31" s="37">
        <f t="shared" si="19"/>
        <v>0.91654348062227375</v>
      </c>
      <c r="AG31" s="37">
        <f t="shared" si="19"/>
        <v>0.78986671507791661</v>
      </c>
      <c r="AH31" s="37">
        <f t="shared" si="19"/>
        <v>0.81348935294002245</v>
      </c>
      <c r="AI31" s="37">
        <f t="shared" si="19"/>
        <v>0.78476873786893031</v>
      </c>
    </row>
    <row r="34" spans="1:49" x14ac:dyDescent="0.25">
      <c r="A34" t="s">
        <v>2012</v>
      </c>
      <c r="AO34" t="s">
        <v>2187</v>
      </c>
      <c r="AU34" t="s">
        <v>2188</v>
      </c>
    </row>
    <row r="35" spans="1:49" x14ac:dyDescent="0.25">
      <c r="A35" s="136" t="s">
        <v>1786</v>
      </c>
      <c r="B35" s="136" t="s">
        <v>1821</v>
      </c>
      <c r="C35" s="136" t="s">
        <v>1822</v>
      </c>
      <c r="D35" s="136" t="s">
        <v>1823</v>
      </c>
      <c r="E35" s="136" t="s">
        <v>1824</v>
      </c>
      <c r="F35" s="136" t="s">
        <v>1825</v>
      </c>
      <c r="G35" s="136" t="s">
        <v>1826</v>
      </c>
      <c r="H35" s="136" t="s">
        <v>1827</v>
      </c>
      <c r="I35" s="136" t="s">
        <v>1828</v>
      </c>
      <c r="J35" s="136" t="s">
        <v>1829</v>
      </c>
      <c r="K35" s="136" t="s">
        <v>1830</v>
      </c>
      <c r="L35" s="136" t="s">
        <v>1831</v>
      </c>
      <c r="M35" s="136" t="s">
        <v>1832</v>
      </c>
      <c r="N35" s="136" t="s">
        <v>1833</v>
      </c>
      <c r="O35" s="136" t="s">
        <v>1834</v>
      </c>
      <c r="P35" s="136" t="s">
        <v>1835</v>
      </c>
      <c r="Q35" s="136" t="s">
        <v>1836</v>
      </c>
      <c r="R35" s="136" t="s">
        <v>1837</v>
      </c>
      <c r="S35" s="136" t="s">
        <v>1838</v>
      </c>
      <c r="T35" s="136" t="s">
        <v>1839</v>
      </c>
      <c r="U35" s="136" t="s">
        <v>1840</v>
      </c>
      <c r="V35" s="136" t="s">
        <v>1841</v>
      </c>
      <c r="W35" s="136" t="s">
        <v>1842</v>
      </c>
      <c r="X35" s="136" t="s">
        <v>1843</v>
      </c>
      <c r="Y35" s="136" t="s">
        <v>1844</v>
      </c>
      <c r="Z35" s="136" t="s">
        <v>1845</v>
      </c>
      <c r="AA35" s="136" t="s">
        <v>1846</v>
      </c>
      <c r="AB35" s="136" t="s">
        <v>1847</v>
      </c>
      <c r="AC35" s="136" t="s">
        <v>1848</v>
      </c>
      <c r="AD35" s="136" t="s">
        <v>1849</v>
      </c>
      <c r="AE35" s="136" t="s">
        <v>1850</v>
      </c>
      <c r="AF35" s="136" t="s">
        <v>1851</v>
      </c>
      <c r="AG35" s="136" t="s">
        <v>1852</v>
      </c>
      <c r="AH35" s="136" t="s">
        <v>1853</v>
      </c>
      <c r="AI35" s="136" t="s">
        <v>1854</v>
      </c>
      <c r="AJ35" s="116" t="s">
        <v>2013</v>
      </c>
      <c r="AK35" s="116" t="s">
        <v>1983</v>
      </c>
      <c r="AL35" s="116" t="s">
        <v>2023</v>
      </c>
      <c r="AM35" s="116" t="s">
        <v>1986</v>
      </c>
      <c r="AN35" s="116" t="s">
        <v>2047</v>
      </c>
      <c r="AO35" s="239" t="s">
        <v>2184</v>
      </c>
      <c r="AP35" s="239" t="s">
        <v>2185</v>
      </c>
      <c r="AQ35" s="239" t="s">
        <v>1984</v>
      </c>
      <c r="AR35" s="239" t="s">
        <v>2181</v>
      </c>
      <c r="AS35" s="262" t="s">
        <v>2182</v>
      </c>
      <c r="AT35" s="262" t="s">
        <v>2183</v>
      </c>
      <c r="AU35" s="239" t="s">
        <v>2184</v>
      </c>
      <c r="AV35" s="239" t="s">
        <v>2182</v>
      </c>
      <c r="AW35" s="239" t="s">
        <v>2183</v>
      </c>
    </row>
    <row r="36" spans="1:49" x14ac:dyDescent="0.25">
      <c r="A36" s="138" t="s">
        <v>1922</v>
      </c>
      <c r="B36" s="37">
        <f>$AJ36*'NE HDD'!B3+$AK36</f>
        <v>2.0087651908308586</v>
      </c>
      <c r="C36" s="37">
        <f>$AJ36*'NE HDD'!C3+$AK36</f>
        <v>2.0811973630334601</v>
      </c>
      <c r="D36" s="37">
        <f>$AJ36*'NE HDD'!D3+$AK36</f>
        <v>2.6911168691506959</v>
      </c>
      <c r="E36" s="37">
        <f>$AJ36*'NE HDD'!E3+$AK36</f>
        <v>2.6180077607592849</v>
      </c>
      <c r="F36" s="37">
        <f>$AJ36*'NE HDD'!F3+$AK36</f>
        <v>2.5983766112838134</v>
      </c>
      <c r="G36" s="37">
        <f>$AJ36*'NE HDD'!G3+$AK36</f>
        <v>2.5333907371581144</v>
      </c>
      <c r="H36" s="37">
        <f>$AJ36*'NE HDD'!H3+$AK36</f>
        <v>2.6180077607592849</v>
      </c>
      <c r="I36" s="37">
        <f>$AJ36*'NE HDD'!I3+$AK36</f>
        <v>2.5300060562140678</v>
      </c>
      <c r="J36" s="37">
        <f>$AJ36*'NE HDD'!J3+$AK36</f>
        <v>1.918055741530404</v>
      </c>
      <c r="K36" s="37">
        <f>$AJ36*'NE HDD'!K3+$AK36</f>
        <v>2.1739376209003431</v>
      </c>
      <c r="L36" s="37">
        <f>$AJ36*'NE HDD'!L3+$AK36</f>
        <v>2.5083440981721679</v>
      </c>
      <c r="M36" s="37">
        <f>$AJ36*'NE HDD'!M3+$AK36</f>
        <v>2.2131999198512862</v>
      </c>
      <c r="N36" s="37">
        <f>$AJ36*'NE HDD'!N3+$AK36</f>
        <v>2.2301233245715202</v>
      </c>
      <c r="O36" s="37">
        <f>$AJ36*'NE HDD'!O3+$AK36</f>
        <v>2.7452717642554449</v>
      </c>
      <c r="P36" s="37">
        <f>$AJ36*'NE HDD'!P3+$AK36</f>
        <v>2.5354215457245428</v>
      </c>
      <c r="Q36" s="37">
        <f>$AJ36*'NE HDD'!Q3+$AK36</f>
        <v>2.5557296313888238</v>
      </c>
      <c r="R36" s="37">
        <f>$AJ36*'NE HDD'!R3+$AK36</f>
        <v>2.0399042555160891</v>
      </c>
      <c r="S36" s="37">
        <f>$AJ36*'NE HDD'!S3+$AK36</f>
        <v>2.3980034993962422</v>
      </c>
      <c r="T36" s="37">
        <f>$AJ36*'NE HDD'!T3+$AK36</f>
        <v>2.3729568604102957</v>
      </c>
      <c r="U36" s="37">
        <f>$AJ36*'NE HDD'!U3+$AK36</f>
        <v>2.5049594172281213</v>
      </c>
      <c r="V36" s="37">
        <f>$AJ36*'NE HDD'!V3+$AK36</f>
        <v>2.1130133639075002</v>
      </c>
      <c r="W36" s="37">
        <f>$AJ36*'NE HDD'!W3+$AK36</f>
        <v>2.1678451952010587</v>
      </c>
      <c r="X36" s="37">
        <f>$AJ36*'NE HDD'!X3+$AK36</f>
        <v>1.7772530142580565</v>
      </c>
      <c r="Y36" s="37">
        <f>$AJ36*'NE HDD'!Y3+$AK36</f>
        <v>2.3878494565641017</v>
      </c>
      <c r="Z36" s="37">
        <f>$AJ36*'NE HDD'!Z3+$AK36</f>
        <v>2.5740069084866763</v>
      </c>
      <c r="AA36" s="37">
        <f>$AJ36*'NE HDD'!AA3+$AK36</f>
        <v>2.3932649460745767</v>
      </c>
      <c r="AB36" s="37">
        <f>$AJ36*'NE HDD'!AB3+$AK36</f>
        <v>2.0047035736980021</v>
      </c>
      <c r="AC36" s="37">
        <f>$AJ36*'NE HDD'!AC3+$AK36</f>
        <v>2.0561507240475141</v>
      </c>
      <c r="AD36" s="37">
        <f>$AJ36*'NE HDD'!AD3+$AK36</f>
        <v>2.2585546445015132</v>
      </c>
      <c r="AE36" s="37">
        <f>$AJ36*'NE HDD'!AE3+$AK36</f>
        <v>2.3925880098857673</v>
      </c>
      <c r="AF36" s="37">
        <f>$AJ36*'NE HDD'!AF3+$AK36</f>
        <v>1.9911648499218151</v>
      </c>
      <c r="AG36" s="37">
        <f>$AJ36*'NE HDD'!AG3+$AK36</f>
        <v>2.0358426383832331</v>
      </c>
      <c r="AH36" s="37">
        <f>$AJ36*'NE HDD'!AH3+$AK36</f>
        <v>2.1827377913548647</v>
      </c>
      <c r="AI36" s="37">
        <f>$AJ36*'NE HDD'!AI3+$AK36</f>
        <v>1.819899994153046</v>
      </c>
      <c r="AJ36" s="271">
        <f>INDEX(LINEST(B3:AI3,'NE HDD'!B3:AI3,TRUE,TRUE),1,1)</f>
        <v>6.7693618880936284E-4</v>
      </c>
      <c r="AK36" s="271">
        <f>INDEX(LINEST(B3:AI3,'NE HDD'!B3:AI3,TRUE,TRUE),1,2)</f>
        <v>-1.62638214307542</v>
      </c>
      <c r="AL36" s="271">
        <f>INDEX(LINEST(B3:AI3,'NE HDD'!B3:AI3,TRUE,TRUE),3,1)</f>
        <v>0.27077316522946199</v>
      </c>
      <c r="AM36" s="271">
        <f>INDEX(LINEST(B3:AI3,'NE HDD'!B3:AI3,TRUE,TRUE),4,1)</f>
        <v>11.882093299637379</v>
      </c>
      <c r="AN36" s="273">
        <f t="shared" ref="AN36:AN44" si="20">_xlfn.F.DIST.RT(AM36,1,32)</f>
        <v>1.6066007956438001E-3</v>
      </c>
      <c r="AO36" s="271">
        <f>INDEX(LINEST($B3:$AI3,'NE HDD'!$B3:$AI3,TRUE,TRUE),1,1)</f>
        <v>6.7693618880936284E-4</v>
      </c>
      <c r="AP36" s="271">
        <f>INDEX(LINEST($B3:$AI3,'NE HDD'!$B3:$AI3,TRUE,TRUE),2,1)</f>
        <v>1.963818074633698E-4</v>
      </c>
      <c r="AQ36" s="271">
        <f>INDEX(LINEST($B36:$AI36,'NE HDD'!$B3:$AI3,TRUE,TRUE),4,2)</f>
        <v>32</v>
      </c>
      <c r="AR36" s="271">
        <f t="shared" ref="AR36:AR44" si="21">_xlfn.T.INV.2T(0.05,AQ36)</f>
        <v>2.0369333434601011</v>
      </c>
      <c r="AS36" s="272">
        <f t="shared" ref="AS36:AS44" si="22">+AO36-AR36*AP36</f>
        <v>2.7691953713826316E-4</v>
      </c>
      <c r="AT36" s="272">
        <f t="shared" ref="AT36:AT44" si="23">AO36+AP36*AR36</f>
        <v>1.0769528404804625E-3</v>
      </c>
      <c r="AU36" s="271">
        <f t="shared" ref="AU36:AU44" si="24">AO36/AVERAGE(B3:AI3)</f>
        <v>2.9496262105086954E-4</v>
      </c>
      <c r="AV36" s="271">
        <f t="shared" ref="AV36:AV44" si="25">AS3/AVERAGE(B3:AI3)</f>
        <v>-1.4550439762139643E-2</v>
      </c>
      <c r="AW36" s="271">
        <f t="shared" ref="AW36:AW44" si="26">AT36/AVERAGE(B3:AI3)</f>
        <v>4.6926259495007599E-4</v>
      </c>
    </row>
    <row r="37" spans="1:49" x14ac:dyDescent="0.25">
      <c r="A37" s="138" t="s">
        <v>1788</v>
      </c>
      <c r="B37" s="37">
        <f>$AJ37*'NE HDD'!B4+$AK37</f>
        <v>3.9318813322565722</v>
      </c>
      <c r="C37" s="37">
        <f>$AJ37*'NE HDD'!C4+$AK37</f>
        <v>3.9992456127025475</v>
      </c>
      <c r="D37" s="37">
        <f>$AJ37*'NE HDD'!D4+$AK37</f>
        <v>4.9146073058213826</v>
      </c>
      <c r="E37" s="37">
        <f>$AJ37*'NE HDD'!E4+$AK37</f>
        <v>4.7531311629876489</v>
      </c>
      <c r="F37" s="37">
        <f>$AJ37*'NE HDD'!F4+$AK37</f>
        <v>4.6818042778095581</v>
      </c>
      <c r="G37" s="37">
        <f>$AJ37*'NE HDD'!G4+$AK37</f>
        <v>4.6193932532787283</v>
      </c>
      <c r="H37" s="37">
        <f>$AJ37*'NE HDD'!H4+$AK37</f>
        <v>4.6986453479210519</v>
      </c>
      <c r="I37" s="37">
        <f>$AJ37*'NE HDD'!I4+$AK37</f>
        <v>4.6600099517829188</v>
      </c>
      <c r="J37" s="37">
        <f>$AJ37*'NE HDD'!J4+$AK37</f>
        <v>3.7317697932847054</v>
      </c>
      <c r="K37" s="37">
        <f>$AJ37*'NE HDD'!K4+$AK37</f>
        <v>4.0091521245328376</v>
      </c>
      <c r="L37" s="37">
        <f>$AJ37*'NE HDD'!L4+$AK37</f>
        <v>4.5292439956230854</v>
      </c>
      <c r="M37" s="37">
        <f>$AJ37*'NE HDD'!M4+$AK37</f>
        <v>4.1329835224114682</v>
      </c>
      <c r="N37" s="37">
        <f>$AJ37*'NE HDD'!N4+$AK37</f>
        <v>4.13100222004541</v>
      </c>
      <c r="O37" s="37">
        <f>$AJ37*'NE HDD'!O4+$AK37</f>
        <v>4.8967755845268606</v>
      </c>
      <c r="P37" s="37">
        <f>$AJ37*'NE HDD'!P4+$AK37</f>
        <v>4.6144399973635828</v>
      </c>
      <c r="Q37" s="37">
        <f>$AJ37*'NE HDD'!Q4+$AK37</f>
        <v>4.5827391595066533</v>
      </c>
      <c r="R37" s="37">
        <f>$AJ37*'NE HDD'!R4+$AK37</f>
        <v>3.8318255627706392</v>
      </c>
      <c r="S37" s="37">
        <f>$AJ37*'NE HDD'!S4+$AK37</f>
        <v>4.433150830869268</v>
      </c>
      <c r="T37" s="37">
        <f>$AJ37*'NE HDD'!T4+$AK37</f>
        <v>4.351917433860887</v>
      </c>
      <c r="U37" s="37">
        <f>$AJ37*'NE HDD'!U4+$AK37</f>
        <v>4.5480663681006375</v>
      </c>
      <c r="V37" s="37">
        <f>$AJ37*'NE HDD'!V4+$AK37</f>
        <v>3.8962178896675272</v>
      </c>
      <c r="W37" s="37">
        <f>$AJ37*'NE HDD'!W4+$AK37</f>
        <v>4.0339184041085643</v>
      </c>
      <c r="X37" s="37">
        <f>$AJ37*'NE HDD'!X4+$AK37</f>
        <v>3.4742004856971542</v>
      </c>
      <c r="Y37" s="37">
        <f>$AJ37*'NE HDD'!Y4+$AK37</f>
        <v>4.3380483172984796</v>
      </c>
      <c r="Z37" s="37">
        <f>$AJ37*'NE HDD'!Z4+$AK37</f>
        <v>4.5658980893951595</v>
      </c>
      <c r="AA37" s="37">
        <f>$AJ37*'NE HDD'!AA4+$AK37</f>
        <v>4.4371134356013844</v>
      </c>
      <c r="AB37" s="37">
        <f>$AJ37*'NE HDD'!AB4+$AK37</f>
        <v>3.8853207266542071</v>
      </c>
      <c r="AC37" s="37">
        <f>$AJ37*'NE HDD'!AC4+$AK37</f>
        <v>3.9695260772116763</v>
      </c>
      <c r="AD37" s="37">
        <f>$AJ37*'NE HDD'!AD4+$AK37</f>
        <v>4.232048640714372</v>
      </c>
      <c r="AE37" s="37">
        <f>$AJ37*'NE HDD'!AE4+$AK37</f>
        <v>4.4143284583917159</v>
      </c>
      <c r="AF37" s="37">
        <f>$AJ37*'NE HDD'!AF4+$AK37</f>
        <v>3.710966118441096</v>
      </c>
      <c r="AG37" s="37">
        <f>$AJ37*'NE HDD'!AG4+$AK37</f>
        <v>3.6911530947805149</v>
      </c>
      <c r="AH37" s="37">
        <f>$AJ37*'NE HDD'!AH4+$AK37</f>
        <v>3.8823487731051207</v>
      </c>
      <c r="AI37" s="37">
        <f>$AJ37*'NE HDD'!AI4+$AK37</f>
        <v>3.4325931360099347</v>
      </c>
      <c r="AJ37" s="1">
        <f>INDEX(LINEST(B4:AI4,'NE HDD'!B4:AI4,TRUE,TRUE),1,1)</f>
        <v>9.9065118302904282E-4</v>
      </c>
      <c r="AK37" s="1">
        <f>INDEX(LINEST(B4:AI4,'NE HDD'!B4:AI4,TRUE,TRUE),1,2)</f>
        <v>-1.7722881796246561</v>
      </c>
      <c r="AL37" s="1">
        <f>INDEX(LINEST(B4:AI4,'NE HDD'!B4:AI4,TRUE,TRUE),3,1)</f>
        <v>0.1333011917065513</v>
      </c>
      <c r="AM37" s="1">
        <f>INDEX(LINEST(B4:AI4,'NE HDD'!B4:AI4,TRUE,TRUE),4,1)</f>
        <v>4.9217076264461328</v>
      </c>
      <c r="AN37" s="274">
        <f t="shared" si="20"/>
        <v>3.3738090538703573E-2</v>
      </c>
      <c r="AO37" s="1">
        <f>INDEX(LINEST($B4:$AI4,'NE HDD'!$B4:$AI4,TRUE,TRUE),1,1)</f>
        <v>9.9065118302904282E-4</v>
      </c>
      <c r="AP37" s="1">
        <f>INDEX(LINEST($B4:$AI4,'NE HDD'!$B4:$AI4,TRUE,TRUE),2,1)</f>
        <v>4.4654255919409529E-4</v>
      </c>
      <c r="AQ37" s="1">
        <f>INDEX(LINEST($B37:$AI37,'NE HDD'!$B4:$AI4,TRUE,TRUE),4,2)</f>
        <v>32</v>
      </c>
      <c r="AR37" s="1">
        <f t="shared" si="21"/>
        <v>2.0369333434601011</v>
      </c>
      <c r="AS37" s="270">
        <f t="shared" si="22"/>
        <v>8.1073754932584194E-5</v>
      </c>
      <c r="AT37" s="270">
        <f t="shared" si="23"/>
        <v>1.9002286111255014E-3</v>
      </c>
      <c r="AU37" s="1">
        <f t="shared" si="24"/>
        <v>2.3387863154687469E-4</v>
      </c>
      <c r="AV37" s="1">
        <f t="shared" si="25"/>
        <v>-2.67080399255816E-3</v>
      </c>
      <c r="AW37" s="1">
        <f t="shared" si="26"/>
        <v>4.4861690452674852E-4</v>
      </c>
    </row>
    <row r="38" spans="1:49" x14ac:dyDescent="0.25">
      <c r="A38" s="138" t="s">
        <v>1923</v>
      </c>
      <c r="B38" s="37">
        <f>$AJ38*'NE HDD'!B5+$AK38</f>
        <v>2.5840622618757099</v>
      </c>
      <c r="C38" s="37">
        <f>$AJ38*'NE HDD'!C5+$AK38</f>
        <v>2.7524814992880202</v>
      </c>
      <c r="D38" s="37">
        <f>$AJ38*'NE HDD'!D5+$AK38</f>
        <v>3.4138581675532169</v>
      </c>
      <c r="E38" s="37">
        <f>$AJ38*'NE HDD'!E5+$AK38</f>
        <v>3.3845267273297246</v>
      </c>
      <c r="F38" s="37">
        <f>$AJ38*'NE HDD'!F5+$AK38</f>
        <v>3.2690933174179158</v>
      </c>
      <c r="G38" s="37">
        <f>$AJ38*'NE HDD'!G5+$AK38</f>
        <v>3.1423058016131433</v>
      </c>
      <c r="H38" s="37">
        <f>$AJ38*'NE HDD'!H5+$AK38</f>
        <v>3.1195975898272135</v>
      </c>
      <c r="I38" s="37">
        <f>$AJ38*'NE HDD'!I5+$AK38</f>
        <v>3.376957323401081</v>
      </c>
      <c r="J38" s="37">
        <f>$AJ38*'NE HDD'!J5+$AK38</f>
        <v>2.279393753747823</v>
      </c>
      <c r="K38" s="37">
        <f>$AJ38*'NE HDD'!K5+$AK38</f>
        <v>2.2576317174529734</v>
      </c>
      <c r="L38" s="37">
        <f>$AJ38*'NE HDD'!L5+$AK38</f>
        <v>3.020249163263772</v>
      </c>
      <c r="M38" s="37">
        <f>$AJ38*'NE HDD'!M5+$AK38</f>
        <v>2.6427251423226945</v>
      </c>
      <c r="N38" s="37">
        <f>$AJ38*'NE HDD'!N5+$AK38</f>
        <v>2.8329064160298536</v>
      </c>
      <c r="O38" s="37">
        <f>$AJ38*'NE HDD'!O5+$AK38</f>
        <v>3.3069403370611319</v>
      </c>
      <c r="P38" s="37">
        <f>$AJ38*'NE HDD'!P5+$AK38</f>
        <v>3.2312462977747005</v>
      </c>
      <c r="Q38" s="37">
        <f>$AJ38*'NE HDD'!Q5+$AK38</f>
        <v>2.9218469121914108</v>
      </c>
      <c r="R38" s="37">
        <f>$AJ38*'NE HDD'!R5+$AK38</f>
        <v>2.1507138869608893</v>
      </c>
      <c r="S38" s="37">
        <f>$AJ38*'NE HDD'!S5+$AK38</f>
        <v>3.098781729023445</v>
      </c>
      <c r="T38" s="37">
        <f>$AJ38*'NE HDD'!T5+$AK38</f>
        <v>2.8622378562533459</v>
      </c>
      <c r="U38" s="37">
        <f>$AJ38*'NE HDD'!U5+$AK38</f>
        <v>3.1252746427736957</v>
      </c>
      <c r="V38" s="37">
        <f>$AJ38*'NE HDD'!V5+$AK38</f>
        <v>2.0154107917363921</v>
      </c>
      <c r="W38" s="37">
        <f>$AJ38*'NE HDD'!W5+$AK38</f>
        <v>2.5537846461611373</v>
      </c>
      <c r="X38" s="37">
        <f>$AJ38*'NE HDD'!X5+$AK38</f>
        <v>2.1932917840595065</v>
      </c>
      <c r="Y38" s="37">
        <f>$AJ38*'NE HDD'!Y5+$AK38</f>
        <v>2.8262831875922911</v>
      </c>
      <c r="Z38" s="37">
        <f>$AJ38*'NE HDD'!Z5+$AK38</f>
        <v>3.0268723917013354</v>
      </c>
      <c r="AA38" s="37">
        <f>$AJ38*'NE HDD'!AA5+$AK38</f>
        <v>3.0921585005858825</v>
      </c>
      <c r="AB38" s="37">
        <f>$AJ38*'NE HDD'!AB5+$AK38</f>
        <v>2.3777960048201834</v>
      </c>
      <c r="AC38" s="37">
        <f>$AJ38*'NE HDD'!AC5+$AK38</f>
        <v>2.5963625432597555</v>
      </c>
      <c r="AD38" s="37">
        <f>$AJ38*'NE HDD'!AD5+$AK38</f>
        <v>2.9142775082627681</v>
      </c>
      <c r="AE38" s="37">
        <f>$AJ38*'NE HDD'!AE5+$AK38</f>
        <v>3.1621754869258316</v>
      </c>
      <c r="AF38" s="37">
        <f>$AJ38*'NE HDD'!AF5+$AK38</f>
        <v>2.2983172635694302</v>
      </c>
      <c r="AG38" s="37">
        <f>$AJ38*'NE HDD'!AG5+$AK38</f>
        <v>2.0854277780763413</v>
      </c>
      <c r="AH38" s="37">
        <f>$AJ38*'NE HDD'!AH5+$AK38</f>
        <v>2.3494107400877722</v>
      </c>
      <c r="AI38" s="37">
        <f>$AJ38*'NE HDD'!AI5+$AK38</f>
        <v>2.070288970219055</v>
      </c>
      <c r="AJ38" s="271">
        <f>INDEX(LINEST(B5:AI5,'NE HDD'!B5:AI5,TRUE,TRUE),1,1)</f>
        <v>9.4617549108039526E-4</v>
      </c>
      <c r="AK38" s="271">
        <f>INDEX(LINEST(B5:AI5,'NE HDD'!B5:AI5,TRUE,TRUE),1,2)</f>
        <v>-4.4990074643521289</v>
      </c>
      <c r="AL38" s="271">
        <f>INDEX(LINEST(B5:AI5,'NE HDD'!B5:AI5,TRUE,TRUE),3,1)</f>
        <v>0.19646755453424183</v>
      </c>
      <c r="AM38" s="271">
        <f>INDEX(LINEST(B5:AI5,'NE HDD'!B5:AI5,TRUE,TRUE),4,1)</f>
        <v>7.8241541839067557</v>
      </c>
      <c r="AN38" s="273">
        <f t="shared" si="20"/>
        <v>8.6529244079689704E-3</v>
      </c>
      <c r="AO38" s="271">
        <f>INDEX(LINEST($B5:$AI5,'NE HDD'!$B5:$AI5,TRUE,TRUE),1,1)</f>
        <v>9.4617549108039526E-4</v>
      </c>
      <c r="AP38" s="271">
        <f>INDEX(LINEST($B5:$AI5,'NE HDD'!$B5:$AI5,TRUE,TRUE),2,1)</f>
        <v>3.3826183009568329E-4</v>
      </c>
      <c r="AQ38" s="271">
        <f>INDEX(LINEST($B38:$AI38,'NE HDD'!$B5:$AI5,TRUE,TRUE),4,2)</f>
        <v>32</v>
      </c>
      <c r="AR38" s="271">
        <f t="shared" si="21"/>
        <v>2.0369333434601011</v>
      </c>
      <c r="AS38" s="272">
        <f t="shared" si="22"/>
        <v>2.5715869053866245E-4</v>
      </c>
      <c r="AT38" s="272">
        <f t="shared" si="23"/>
        <v>1.6351922916221281E-3</v>
      </c>
      <c r="AU38" s="271">
        <f t="shared" si="24"/>
        <v>3.4101948425287507E-4</v>
      </c>
      <c r="AV38" s="271">
        <f t="shared" si="25"/>
        <v>-3.0678434136418457E-2</v>
      </c>
      <c r="AW38" s="271">
        <f t="shared" si="26"/>
        <v>5.8935412848891227E-4</v>
      </c>
    </row>
    <row r="39" spans="1:49" x14ac:dyDescent="0.25">
      <c r="A39" s="138" t="s">
        <v>1924</v>
      </c>
      <c r="B39" s="37">
        <f>$AJ39*'NE HDD'!B6+$AK39</f>
        <v>0.86088861047991749</v>
      </c>
      <c r="C39" s="37">
        <f>$AJ39*'NE HDD'!C6+$AK39</f>
        <v>0.88034329916624021</v>
      </c>
      <c r="D39" s="37">
        <f>$AJ39*'NE HDD'!D6+$AK39</f>
        <v>1.0469358760724199</v>
      </c>
      <c r="E39" s="37">
        <f>$AJ39*'NE HDD'!E6+$AK39</f>
        <v>1.017470522333912</v>
      </c>
      <c r="F39" s="37">
        <f>$AJ39*'NE HDD'!F6+$AK39</f>
        <v>1.0169038809158639</v>
      </c>
      <c r="G39" s="37">
        <f>$AJ39*'NE HDD'!G6+$AK39</f>
        <v>0.98196099346955623</v>
      </c>
      <c r="H39" s="37">
        <f>$AJ39*'NE HDD'!H6+$AK39</f>
        <v>0.99159389757637617</v>
      </c>
      <c r="I39" s="37">
        <f>$AJ39*'NE HDD'!I6+$AK39</f>
        <v>1.0214370122602494</v>
      </c>
      <c r="J39" s="37">
        <f>$AJ39*'NE HDD'!J6+$AK39</f>
        <v>0.79289164031412984</v>
      </c>
      <c r="K39" s="37">
        <f>$AJ39*'NE HDD'!K6+$AK39</f>
        <v>0.85182234779114585</v>
      </c>
      <c r="L39" s="37">
        <f>$AJ39*'NE HDD'!L6+$AK39</f>
        <v>0.97043928463590878</v>
      </c>
      <c r="M39" s="37">
        <f>$AJ39*'NE HDD'!M6+$AK39</f>
        <v>0.89205388847257028</v>
      </c>
      <c r="N39" s="37">
        <f>$AJ39*'NE HDD'!N6+$AK39</f>
        <v>0.89432045414476324</v>
      </c>
      <c r="O39" s="37">
        <f>$AJ39*'NE HDD'!O6+$AK39</f>
        <v>1.0371140914929171</v>
      </c>
      <c r="P39" s="37">
        <f>$AJ39*'NE HDD'!P6+$AK39</f>
        <v>0.97572793787102563</v>
      </c>
      <c r="Q39" s="37">
        <f>$AJ39*'NE HDD'!Q6+$AK39</f>
        <v>0.95325116162177925</v>
      </c>
      <c r="R39" s="37">
        <f>$AJ39*'NE HDD'!R6+$AK39</f>
        <v>0.81480177514532814</v>
      </c>
      <c r="S39" s="37">
        <f>$AJ39*'NE HDD'!S6+$AK39</f>
        <v>0.96722831660030228</v>
      </c>
      <c r="T39" s="37">
        <f>$AJ39*'NE HDD'!T6+$AK39</f>
        <v>0.94135169184276635</v>
      </c>
      <c r="U39" s="37">
        <f>$AJ39*'NE HDD'!U6+$AK39</f>
        <v>0.9842275591417492</v>
      </c>
      <c r="V39" s="37">
        <f>$AJ39*'NE HDD'!V6+$AK39</f>
        <v>0.80856871954679754</v>
      </c>
      <c r="W39" s="37">
        <f>$AJ39*'NE HDD'!W6+$AK39</f>
        <v>0.87543240687648882</v>
      </c>
      <c r="X39" s="37">
        <f>$AJ39*'NE HDD'!X6+$AK39</f>
        <v>0.76248188421220819</v>
      </c>
      <c r="Y39" s="37">
        <f>$AJ39*'NE HDD'!Y6+$AK39</f>
        <v>0.92926334159107082</v>
      </c>
      <c r="Z39" s="37">
        <f>$AJ39*'NE HDD'!Z6+$AK39</f>
        <v>0.99064949521296242</v>
      </c>
      <c r="AA39" s="37">
        <f>$AJ39*'NE HDD'!AA6+$AK39</f>
        <v>0.95362892256714471</v>
      </c>
      <c r="AB39" s="37">
        <f>$AJ39*'NE HDD'!AB6+$AK39</f>
        <v>0.82556796208824446</v>
      </c>
      <c r="AC39" s="37">
        <f>$AJ39*'NE HDD'!AC6+$AK39</f>
        <v>0.85937756669845566</v>
      </c>
      <c r="AD39" s="37">
        <f>$AJ39*'NE HDD'!AD6+$AK39</f>
        <v>0.9209526007930301</v>
      </c>
      <c r="AE39" s="37">
        <f>$AJ39*'NE HDD'!AE6+$AK39</f>
        <v>0.9774278621251703</v>
      </c>
      <c r="AF39" s="37">
        <f>$AJ39*'NE HDD'!AF6+$AK39</f>
        <v>0.82273475499800341</v>
      </c>
      <c r="AG39" s="37">
        <f>$AJ39*'NE HDD'!AG6+$AK39</f>
        <v>0.80044685922143965</v>
      </c>
      <c r="AH39" s="37">
        <f>$AJ39*'NE HDD'!AH6+$AK39</f>
        <v>0.85276675015455961</v>
      </c>
      <c r="AI39" s="37">
        <f>$AJ39*'NE HDD'!AI6+$AK39</f>
        <v>0.75039353396051267</v>
      </c>
      <c r="AJ39" s="271">
        <f>INDEX(LINEST(B6:AI6,'NE HDD'!B6:AI6,TRUE,TRUE),1,1)</f>
        <v>1.8888047268274355E-4</v>
      </c>
      <c r="AK39" s="271">
        <f>INDEX(LINEST(B6:AI6,'NE HDD'!B6:AI6,TRUE,TRUE),1,2)</f>
        <v>-0.48167378934902361</v>
      </c>
      <c r="AL39" s="271">
        <f>INDEX(LINEST(B6:AI6,'NE HDD'!B6:AI6,TRUE,TRUE),3,1)</f>
        <v>0.233591580459622</v>
      </c>
      <c r="AM39" s="271">
        <f>INDEX(LINEST(B6:AI6,'NE HDD'!B6:AI6,TRUE,TRUE),4,1)</f>
        <v>9.7531947511624235</v>
      </c>
      <c r="AN39" s="273">
        <f t="shared" si="20"/>
        <v>3.7848390127607334E-3</v>
      </c>
      <c r="AO39" s="271">
        <f>INDEX(LINEST($B6:$AI6,'NE HDD'!$B6:$AI6,TRUE,TRUE),1,1)</f>
        <v>1.8888047268274355E-4</v>
      </c>
      <c r="AP39" s="271">
        <f>INDEX(LINEST($B6:$AI6,'NE HDD'!$B6:$AI6,TRUE,TRUE),2,1)</f>
        <v>6.0480254887229267E-5</v>
      </c>
      <c r="AQ39" s="271">
        <f>INDEX(LINEST($B39:$AI39,'NE HDD'!$B6:$AI6,TRUE,TRUE),4,2)</f>
        <v>32</v>
      </c>
      <c r="AR39" s="271">
        <f t="shared" si="21"/>
        <v>2.0369333434601011</v>
      </c>
      <c r="AS39" s="272">
        <f t="shared" si="22"/>
        <v>6.5686224881980517E-5</v>
      </c>
      <c r="AT39" s="272">
        <f t="shared" si="23"/>
        <v>3.1207472048350659E-4</v>
      </c>
      <c r="AU39" s="271">
        <f t="shared" si="24"/>
        <v>2.070092672422893E-4</v>
      </c>
      <c r="AV39" s="271">
        <f t="shared" si="25"/>
        <v>4.5118239430473371E-3</v>
      </c>
      <c r="AW39" s="271">
        <f t="shared" si="26"/>
        <v>3.420277294659435E-4</v>
      </c>
    </row>
    <row r="40" spans="1:49" x14ac:dyDescent="0.25">
      <c r="A40" s="138" t="s">
        <v>1939</v>
      </c>
      <c r="B40" s="37">
        <f>$AJ40*'NE HDD'!B7+$AK40</f>
        <v>6.4425828528805642</v>
      </c>
      <c r="C40" s="37">
        <f>$AJ40*'NE HDD'!C7+$AK40</f>
        <v>7.1085988932387369</v>
      </c>
      <c r="D40" s="37">
        <f>$AJ40*'NE HDD'!D7+$AK40</f>
        <v>9.6459575640667019</v>
      </c>
      <c r="E40" s="37">
        <f>$AJ40*'NE HDD'!E7+$AK40</f>
        <v>9.4315328876587046</v>
      </c>
      <c r="F40" s="37">
        <f>$AJ40*'NE HDD'!F7+$AK40</f>
        <v>9.3892977241237965</v>
      </c>
      <c r="G40" s="37">
        <f>$AJ40*'NE HDD'!G7+$AK40</f>
        <v>9.1716241889823458</v>
      </c>
      <c r="H40" s="37">
        <f>$AJ40*'NE HDD'!H7+$AK40</f>
        <v>9.6849438688681566</v>
      </c>
      <c r="I40" s="37">
        <f>$AJ40*'NE HDD'!I7+$AK40</f>
        <v>9.0091812523096202</v>
      </c>
      <c r="J40" s="37">
        <f>$AJ40*'NE HDD'!J7+$AK40</f>
        <v>5.9844937714634785</v>
      </c>
      <c r="K40" s="37">
        <f>$AJ40*'NE HDD'!K7+$AK40</f>
        <v>7.6609048779260007</v>
      </c>
      <c r="L40" s="37">
        <f>$AJ40*'NE HDD'!L7+$AK40</f>
        <v>8.7980054346350762</v>
      </c>
      <c r="M40" s="37">
        <f>$AJ40*'NE HDD'!M7+$AK40</f>
        <v>7.5731856921227312</v>
      </c>
      <c r="N40" s="37">
        <f>$AJ40*'NE HDD'!N7+$AK40</f>
        <v>7.3815030268489146</v>
      </c>
      <c r="O40" s="37">
        <f>$AJ40*'NE HDD'!O7+$AK40</f>
        <v>9.7369256086034284</v>
      </c>
      <c r="P40" s="37">
        <f>$AJ40*'NE HDD'!P7+$AK40</f>
        <v>8.3983958104201726</v>
      </c>
      <c r="Q40" s="37">
        <f>$AJ40*'NE HDD'!Q7+$AK40</f>
        <v>8.7655168473005318</v>
      </c>
      <c r="R40" s="37">
        <f>$AJ40*'NE HDD'!R7+$AK40</f>
        <v>6.2444024701398391</v>
      </c>
      <c r="S40" s="37">
        <f>$AJ40*'NE HDD'!S7+$AK40</f>
        <v>7.9630487401372712</v>
      </c>
      <c r="T40" s="37">
        <f>$AJ40*'NE HDD'!T7+$AK40</f>
        <v>7.9890396100049053</v>
      </c>
      <c r="U40" s="37">
        <f>$AJ40*'NE HDD'!U7+$AK40</f>
        <v>8.4406309739550807</v>
      </c>
      <c r="V40" s="37">
        <f>$AJ40*'NE HDD'!V7+$AK40</f>
        <v>7.5212039523874594</v>
      </c>
      <c r="W40" s="37">
        <f>$AJ40*'NE HDD'!W7+$AK40</f>
        <v>7.1021011757718266</v>
      </c>
      <c r="X40" s="37">
        <f>$AJ40*'NE HDD'!X7+$AK40</f>
        <v>5.6758521917853013</v>
      </c>
      <c r="Y40" s="37">
        <f>$AJ40*'NE HDD'!Y7+$AK40</f>
        <v>8.3041789071499927</v>
      </c>
      <c r="Z40" s="37">
        <f>$AJ40*'NE HDD'!Z7+$AK40</f>
        <v>9.509505497261614</v>
      </c>
      <c r="AA40" s="37">
        <f>$AJ40*'NE HDD'!AA7+$AK40</f>
        <v>8.0637633608743613</v>
      </c>
      <c r="AB40" s="37">
        <f>$AJ40*'NE HDD'!AB7+$AK40</f>
        <v>6.9494048152994665</v>
      </c>
      <c r="AC40" s="37">
        <f>$AJ40*'NE HDD'!AC7+$AK40</f>
        <v>6.7382289976249226</v>
      </c>
      <c r="AD40" s="37">
        <f>$AJ40*'NE HDD'!AD7+$AK40</f>
        <v>8.086505372008542</v>
      </c>
      <c r="AE40" s="37">
        <f>$AJ40*'NE HDD'!AE7+$AK40</f>
        <v>7.7551217811961806</v>
      </c>
      <c r="AF40" s="37">
        <f>$AJ40*'NE HDD'!AF7+$AK40</f>
        <v>6.2119138828052929</v>
      </c>
      <c r="AG40" s="37">
        <f>$AJ40*'NE HDD'!AG7+$AK40</f>
        <v>6.6732518229558337</v>
      </c>
      <c r="AH40" s="37">
        <f>$AJ40*'NE HDD'!AH7+$AK40</f>
        <v>7.7291309113285465</v>
      </c>
      <c r="AI40" s="37">
        <f>$AJ40*'NE HDD'!AI7+$AK40</f>
        <v>5.5426489837136668</v>
      </c>
      <c r="AJ40" s="271">
        <f>INDEX(LINEST(B7:AI7,'NE HDD'!B7:AI7,TRUE,TRUE),1,1)</f>
        <v>3.2488587334545023E-3</v>
      </c>
      <c r="AK40" s="271">
        <f>INDEX(LINEST(B7:AI7,'NE HDD'!B7:AI7,TRUE,TRUE),1,2)</f>
        <v>-8.7815691720872344</v>
      </c>
      <c r="AL40" s="271">
        <f>INDEX(LINEST(B7:AI7,'NE HDD'!B7:AI7,TRUE,TRUE),3,1)</f>
        <v>0.13637226126232935</v>
      </c>
      <c r="AM40" s="271">
        <f>INDEX(LINEST(B7:AI7,'NE HDD'!B7:AI7,TRUE,TRUE),4,1)</f>
        <v>5.0530016170776211</v>
      </c>
      <c r="AN40" s="273">
        <f t="shared" si="20"/>
        <v>3.1604916802648951E-2</v>
      </c>
      <c r="AO40" s="271">
        <f>INDEX(LINEST($B7:$AI7,'NE HDD'!$B7:$AI7,TRUE,TRUE),1,1)</f>
        <v>3.2488587334545023E-3</v>
      </c>
      <c r="AP40" s="271">
        <f>INDEX(LINEST($B7:$AI7,'NE HDD'!$B7:$AI7,TRUE,TRUE),2,1)</f>
        <v>1.4452936986425692E-3</v>
      </c>
      <c r="AQ40" s="271">
        <f>INDEX(LINEST($B40:$AI40,'NE HDD'!$B7:$AI7,TRUE,TRUE),4,2)</f>
        <v>32</v>
      </c>
      <c r="AR40" s="271">
        <f t="shared" si="21"/>
        <v>2.0369333434601011</v>
      </c>
      <c r="AS40" s="272">
        <f t="shared" si="22"/>
        <v>3.0489180759667818E-4</v>
      </c>
      <c r="AT40" s="272">
        <f t="shared" si="23"/>
        <v>6.192825659312326E-3</v>
      </c>
      <c r="AU40" s="271">
        <f t="shared" si="24"/>
        <v>4.142047650246827E-4</v>
      </c>
      <c r="AV40" s="271">
        <f t="shared" si="25"/>
        <v>9.8233090144739001E-3</v>
      </c>
      <c r="AW40" s="271">
        <f t="shared" si="26"/>
        <v>7.8953814477702034E-4</v>
      </c>
    </row>
    <row r="41" spans="1:49" x14ac:dyDescent="0.25">
      <c r="A41" s="138" t="s">
        <v>1925</v>
      </c>
      <c r="B41" s="37">
        <f>$AJ41*'NE HDD'!B8+$AK41</f>
        <v>7.650835455825499</v>
      </c>
      <c r="C41" s="37">
        <f>$AJ41*'NE HDD'!C8+$AK41</f>
        <v>7.9430545381887896</v>
      </c>
      <c r="D41" s="37">
        <f>$AJ41*'NE HDD'!D8+$AK41</f>
        <v>10.378213557882878</v>
      </c>
      <c r="E41" s="37">
        <f>$AJ41*'NE HDD'!E8+$AK41</f>
        <v>10.299747322803844</v>
      </c>
      <c r="F41" s="37">
        <f>$AJ41*'NE HDD'!F8+$AK41</f>
        <v>10.191518033039662</v>
      </c>
      <c r="G41" s="37">
        <f>$AJ41*'NE HDD'!G8+$AK41</f>
        <v>9.7423664805183083</v>
      </c>
      <c r="H41" s="37">
        <f>$AJ41*'NE HDD'!H8+$AK41</f>
        <v>10.23210401670123</v>
      </c>
      <c r="I41" s="37">
        <f>$AJ41*'NE HDD'!I8+$AK41</f>
        <v>9.8884760216999563</v>
      </c>
      <c r="J41" s="37">
        <f>$AJ41*'NE HDD'!J8+$AK41</f>
        <v>7.0988660780281734</v>
      </c>
      <c r="K41" s="37">
        <f>$AJ41*'NE HDD'!K8+$AK41</f>
        <v>8.3813831617337247</v>
      </c>
      <c r="L41" s="37">
        <f>$AJ41*'NE HDD'!L8+$AK41</f>
        <v>9.6909575678803233</v>
      </c>
      <c r="M41" s="37">
        <f>$AJ41*'NE HDD'!M8+$AK41</f>
        <v>8.2704481397254401</v>
      </c>
      <c r="N41" s="37">
        <f>$AJ41*'NE HDD'!N8+$AK41</f>
        <v>8.3380914458280522</v>
      </c>
      <c r="O41" s="37">
        <f>$AJ41*'NE HDD'!O8+$AK41</f>
        <v>10.391742219103401</v>
      </c>
      <c r="P41" s="37">
        <f>$AJ41*'NE HDD'!P8+$AK41</f>
        <v>9.5015563107930046</v>
      </c>
      <c r="Q41" s="37">
        <f>$AJ41*'NE HDD'!Q8+$AK41</f>
        <v>9.5015563107930046</v>
      </c>
      <c r="R41" s="37">
        <f>$AJ41*'NE HDD'!R8+$AK41</f>
        <v>7.4479055375176593</v>
      </c>
      <c r="S41" s="37">
        <f>$AJ41*'NE HDD'!S8+$AK41</f>
        <v>9.0713448839803821</v>
      </c>
      <c r="T41" s="37">
        <f>$AJ41*'NE HDD'!T8+$AK41</f>
        <v>8.9549983974838891</v>
      </c>
      <c r="U41" s="37">
        <f>$AJ41*'NE HDD'!U8+$AK41</f>
        <v>9.4853219173283794</v>
      </c>
      <c r="V41" s="37">
        <f>$AJ41*'NE HDD'!V8+$AK41</f>
        <v>8.1405729920084209</v>
      </c>
      <c r="W41" s="37">
        <f>$AJ41*'NE HDD'!W8+$AK41</f>
        <v>8.2055105658669305</v>
      </c>
      <c r="X41" s="37">
        <f>$AJ41*'NE HDD'!X8+$AK41</f>
        <v>6.6226572030657742</v>
      </c>
      <c r="Y41" s="37">
        <f>$AJ41*'NE HDD'!Y8+$AK41</f>
        <v>9.1200480643742647</v>
      </c>
      <c r="Z41" s="37">
        <f>$AJ41*'NE HDD'!Z8+$AK41</f>
        <v>9.9263562731174186</v>
      </c>
      <c r="AA41" s="37">
        <f>$AJ41*'NE HDD'!AA8+$AK41</f>
        <v>9.0632276872480713</v>
      </c>
      <c r="AB41" s="37">
        <f>$AJ41*'NE HDD'!AB8+$AK41</f>
        <v>7.6562469203137091</v>
      </c>
      <c r="AC41" s="37">
        <f>$AJ41*'NE HDD'!AC8+$AK41</f>
        <v>7.8321195161805033</v>
      </c>
      <c r="AD41" s="37">
        <f>$AJ41*'NE HDD'!AD8+$AK41</f>
        <v>9.0037015778777683</v>
      </c>
      <c r="AE41" s="37">
        <f>$AJ41*'NE HDD'!AE8+$AK41</f>
        <v>9.2391002831148636</v>
      </c>
      <c r="AF41" s="37">
        <f>$AJ41*'NE HDD'!AF8+$AK41</f>
        <v>7.4830800566910174</v>
      </c>
      <c r="AG41" s="37">
        <f>$AJ41*'NE HDD'!AG8+$AK41</f>
        <v>7.5940150786993037</v>
      </c>
      <c r="AH41" s="37">
        <f>$AJ41*'NE HDD'!AH8+$AK41</f>
        <v>8.492318183742011</v>
      </c>
      <c r="AI41" s="37">
        <f>$AJ41*'NE HDD'!AI8+$AK41</f>
        <v>6.7822954054679414</v>
      </c>
      <c r="AJ41" s="271">
        <f>INDEX(LINEST(B8:AI8,'NE HDD'!B8:AI8,TRUE,TRUE),1,1)</f>
        <v>2.7057322441045415E-3</v>
      </c>
      <c r="AK41" s="271">
        <f>INDEX(LINEST(B8:AI8,'NE HDD'!B8:AI8,TRUE,TRUE),1,2)</f>
        <v>-7.3335097120254513</v>
      </c>
      <c r="AL41" s="271">
        <f>INDEX(LINEST(B8:AI8,'NE HDD'!B8:AI8,TRUE,TRUE),3,1)</f>
        <v>0.17674233854750168</v>
      </c>
      <c r="AM41" s="271">
        <f>INDEX(LINEST(B8:AI8,'NE HDD'!B8:AI8,TRUE,TRUE),4,1)</f>
        <v>6.8699692676305428</v>
      </c>
      <c r="AN41" s="273">
        <f t="shared" si="20"/>
        <v>1.3300792682590842E-2</v>
      </c>
      <c r="AO41" s="271">
        <f>INDEX(LINEST($B8:$AI8,'NE HDD'!$B8:$AI8,TRUE,TRUE),1,1)</f>
        <v>2.7057322441045415E-3</v>
      </c>
      <c r="AP41" s="271">
        <f>INDEX(LINEST($B8:$AI8,'NE HDD'!$B8:$AI8,TRUE,TRUE),2,1)</f>
        <v>1.0323035480168806E-3</v>
      </c>
      <c r="AQ41" s="271">
        <f>INDEX(LINEST($B41:$AI41,'NE HDD'!$B8:$AI8,TRUE,TRUE),4,2)</f>
        <v>32</v>
      </c>
      <c r="AR41" s="271">
        <f t="shared" si="21"/>
        <v>2.0369333434601011</v>
      </c>
      <c r="AS41" s="272">
        <f t="shared" si="22"/>
        <v>6.0299872657679178E-4</v>
      </c>
      <c r="AT41" s="272">
        <f t="shared" si="23"/>
        <v>4.8084657616322916E-3</v>
      </c>
      <c r="AU41" s="271">
        <f t="shared" si="24"/>
        <v>3.0910005822694749E-4</v>
      </c>
      <c r="AV41" s="271">
        <f t="shared" si="25"/>
        <v>7.0846657935531819E-3</v>
      </c>
      <c r="AW41" s="271">
        <f t="shared" si="26"/>
        <v>5.4931416445262965E-4</v>
      </c>
    </row>
    <row r="42" spans="1:49" x14ac:dyDescent="0.25">
      <c r="A42" s="138" t="s">
        <v>1940</v>
      </c>
      <c r="B42" s="37">
        <f>$AJ42*'NE HDD'!B9+$AK42</f>
        <v>24.738596184932323</v>
      </c>
      <c r="C42" s="37">
        <f>$AJ42*'NE HDD'!C9+$AK42</f>
        <v>23.377459482608916</v>
      </c>
      <c r="D42" s="37">
        <f>$AJ42*'NE HDD'!D9+$AK42</f>
        <v>19.243218544431599</v>
      </c>
      <c r="E42" s="37">
        <f>$AJ42*'NE HDD'!E9+$AK42</f>
        <v>19.2940493756387</v>
      </c>
      <c r="F42" s="37">
        <f>$AJ42*'NE HDD'!F9+$AK42</f>
        <v>19.0116558689326</v>
      </c>
      <c r="G42" s="37">
        <f>$AJ42*'NE HDD'!G9+$AK42</f>
        <v>19.412654648455259</v>
      </c>
      <c r="H42" s="37">
        <f>$AJ42*'NE HDD'!H9+$AK42</f>
        <v>18.458164595788638</v>
      </c>
      <c r="I42" s="37">
        <f>$AJ42*'NE HDD'!I9+$AK42</f>
        <v>19.762822596770825</v>
      </c>
      <c r="J42" s="37">
        <f>$AJ42*'NE HDD'!J9+$AK42</f>
        <v>25.98677548457329</v>
      </c>
      <c r="K42" s="37">
        <f>$AJ42*'NE HDD'!K9+$AK42</f>
        <v>22.332603507796343</v>
      </c>
      <c r="L42" s="37">
        <f>$AJ42*'NE HDD'!L9+$AK42</f>
        <v>20.457510623267837</v>
      </c>
      <c r="M42" s="37">
        <f>$AJ42*'NE HDD'!M9+$AK42</f>
        <v>22.722306547050763</v>
      </c>
      <c r="N42" s="37">
        <f>$AJ42*'NE HDD'!N9+$AK42</f>
        <v>22.592405533965955</v>
      </c>
      <c r="O42" s="37">
        <f>$AJ42*'NE HDD'!O9+$AK42</f>
        <v>19.09637392094443</v>
      </c>
      <c r="P42" s="37">
        <f>$AJ42*'NE HDD'!P9+$AK42</f>
        <v>21.304691143386137</v>
      </c>
      <c r="Q42" s="37">
        <f>$AJ42*'NE HDD'!Q9+$AK42</f>
        <v>20.660833948096226</v>
      </c>
      <c r="R42" s="37">
        <f>$AJ42*'NE HDD'!R9+$AK42</f>
        <v>24.518329249701562</v>
      </c>
      <c r="S42" s="37">
        <f>$AJ42*'NE HDD'!S9+$AK42</f>
        <v>21.858182416530095</v>
      </c>
      <c r="T42" s="37">
        <f>$AJ42*'NE HDD'!T9+$AK42</f>
        <v>21.073128467887138</v>
      </c>
      <c r="U42" s="37">
        <f>$AJ42*'NE HDD'!U9+$AK42</f>
        <v>20.711664779303327</v>
      </c>
      <c r="V42" s="37">
        <f>$AJ42*'NE HDD'!V9+$AK42</f>
        <v>22.061505741358488</v>
      </c>
      <c r="W42" s="37">
        <f>$AJ42*'NE HDD'!W9+$AK42</f>
        <v>23.004700053756864</v>
      </c>
      <c r="X42" s="37">
        <f>$AJ42*'NE HDD'!X9+$AK42</f>
        <v>25.529298003709403</v>
      </c>
      <c r="Y42" s="37">
        <f>$AJ42*'NE HDD'!Y9+$AK42</f>
        <v>20.892396623595232</v>
      </c>
      <c r="Z42" s="37">
        <f>$AJ42*'NE HDD'!Z9+$AK42</f>
        <v>18.30567210216735</v>
      </c>
      <c r="AA42" s="37">
        <f>$AJ42*'NE HDD'!AA9+$AK42</f>
        <v>21.609676130628728</v>
      </c>
      <c r="AB42" s="37">
        <f>$AJ42*'NE HDD'!AB9+$AK42</f>
        <v>23.473473274888992</v>
      </c>
      <c r="AC42" s="37">
        <f>$AJ42*'NE HDD'!AC9+$AK42</f>
        <v>24.162513431251877</v>
      </c>
      <c r="AD42" s="37">
        <f>$AJ42*'NE HDD'!AD9+$AK42</f>
        <v>21.299043273252018</v>
      </c>
      <c r="AE42" s="37">
        <f>$AJ42*'NE HDD'!AE9+$AK42</f>
        <v>22.259181196052758</v>
      </c>
      <c r="AF42" s="37">
        <f>$AJ42*'NE HDD'!AF9+$AK42</f>
        <v>24.540920730238053</v>
      </c>
      <c r="AG42" s="37">
        <f>$AJ42*'NE HDD'!AG9+$AK42</f>
        <v>24.286766574202563</v>
      </c>
      <c r="AH42" s="37">
        <f>$AJ42*'NE HDD'!AH9+$AK42</f>
        <v>21.598380390360482</v>
      </c>
      <c r="AI42" s="37">
        <f>$AJ42*'NE HDD'!AI9+$AK42</f>
        <v>25.947240393634434</v>
      </c>
      <c r="AJ42" s="271">
        <f>INDEX(LINEST(B9:AI9,'NE HDD'!B9:AI9,TRUE,TRUE),1,1)</f>
        <v>-5.6478701341220157E-3</v>
      </c>
      <c r="AK42" s="271">
        <f>INDEX(LINEST(B9:AI9,'NE HDD'!B9:AI9,TRUE,TRUE),1,2)</f>
        <v>53.830775245794825</v>
      </c>
      <c r="AL42" s="271">
        <f>INDEX(LINEST(B9:AI9,'NE HDD'!B9:AI9,TRUE,TRUE),3,1)</f>
        <v>9.4528041347677338E-2</v>
      </c>
      <c r="AM42" s="271">
        <f>INDEX(LINEST(B9:AI9,'NE HDD'!B9:AI9,TRUE,TRUE),4,1)</f>
        <v>3.3406858094510636</v>
      </c>
      <c r="AN42" s="273">
        <f t="shared" si="20"/>
        <v>7.6924024810206701E-2</v>
      </c>
      <c r="AO42" s="271">
        <f>INDEX(LINEST($B9:$AI9,'NE HDD'!$B9:$AI9,TRUE,TRUE),1,1)</f>
        <v>-5.6478701341220157E-3</v>
      </c>
      <c r="AP42" s="271">
        <f>INDEX(LINEST($B9:$AI9,'NE HDD'!$B9:$AI9,TRUE,TRUE),2,1)</f>
        <v>3.0900598128612302E-3</v>
      </c>
      <c r="AQ42" s="271">
        <f>INDEX(LINEST($B42:$AI42,'NE HDD'!$B9:$AI9,TRUE,TRUE),4,2)</f>
        <v>32</v>
      </c>
      <c r="AR42" s="271">
        <f t="shared" si="21"/>
        <v>2.0369333434601011</v>
      </c>
      <c r="AS42" s="272">
        <f t="shared" si="22"/>
        <v>-1.1942116000225135E-2</v>
      </c>
      <c r="AT42" s="272">
        <f t="shared" si="23"/>
        <v>6.4637573198110445E-4</v>
      </c>
      <c r="AU42" s="271">
        <f t="shared" si="24"/>
        <v>-2.5755318566211501E-4</v>
      </c>
      <c r="AV42" s="271">
        <f t="shared" si="25"/>
        <v>7.0745487620991143E-2</v>
      </c>
      <c r="AW42" s="271">
        <f t="shared" si="26"/>
        <v>2.9475913035010727E-5</v>
      </c>
    </row>
    <row r="43" spans="1:49" x14ac:dyDescent="0.25">
      <c r="A43" s="138" t="s">
        <v>1926</v>
      </c>
      <c r="B43" s="37">
        <f>$AJ43*'NE HDD'!B10+$AK43</f>
        <v>0.82332042859037902</v>
      </c>
      <c r="C43" s="37">
        <f>$AJ43*'NE HDD'!C10+$AK43</f>
        <v>0.8724463910069522</v>
      </c>
      <c r="D43" s="37">
        <f>$AJ43*'NE HDD'!D10+$AK43</f>
        <v>1.3219753589263483</v>
      </c>
      <c r="E43" s="37">
        <f>$AJ43*'NE HDD'!E10+$AK43</f>
        <v>1.2527764226191325</v>
      </c>
      <c r="F43" s="37">
        <f>$AJ43*'NE HDD'!F10+$AK43</f>
        <v>1.2253081425582528</v>
      </c>
      <c r="G43" s="37">
        <f>$AJ43*'NE HDD'!G10+$AK43</f>
        <v>1.1513550808558843</v>
      </c>
      <c r="H43" s="37">
        <f>$AJ43*'NE HDD'!H10+$AK43</f>
        <v>1.2480222972239803</v>
      </c>
      <c r="I43" s="37">
        <f>$AJ43*'NE HDD'!I10+$AK43</f>
        <v>1.1930857371022205</v>
      </c>
      <c r="J43" s="37">
        <f>$AJ43*'NE HDD'!J10+$AK43</f>
        <v>0.74672618611292618</v>
      </c>
      <c r="K43" s="37">
        <f>$AJ43*'NE HDD'!K10+$AK43</f>
        <v>0.86769226561180002</v>
      </c>
      <c r="L43" s="37">
        <f>$AJ43*'NE HDD'!L10+$AK43</f>
        <v>1.1513550808558843</v>
      </c>
      <c r="M43" s="37">
        <f>$AJ43*'NE HDD'!M10+$AK43</f>
        <v>0.92262882573355931</v>
      </c>
      <c r="N43" s="37">
        <f>$AJ43*'NE HDD'!N10+$AK43</f>
        <v>0.94006061884911762</v>
      </c>
      <c r="O43" s="37">
        <f>$AJ43*'NE HDD'!O10+$AK43</f>
        <v>1.3330683181817036</v>
      </c>
      <c r="P43" s="37">
        <f>$AJ43*'NE HDD'!P10+$AK43</f>
        <v>1.2094610579077449</v>
      </c>
      <c r="Q43" s="37">
        <f>$AJ43*'NE HDD'!Q10+$AK43</f>
        <v>1.1983680986523897</v>
      </c>
      <c r="R43" s="37">
        <f>$AJ43*'NE HDD'!R10+$AK43</f>
        <v>0.79056978697933022</v>
      </c>
      <c r="S43" s="37">
        <f>$AJ43*'NE HDD'!S10+$AK43</f>
        <v>1.0805714360836176</v>
      </c>
      <c r="T43" s="37">
        <f>$AJ43*'NE HDD'!T10+$AK43</f>
        <v>1.0097877913113504</v>
      </c>
      <c r="U43" s="37">
        <f>$AJ43*'NE HDD'!U10+$AK43</f>
        <v>1.1291691623451738</v>
      </c>
      <c r="V43" s="37">
        <f>$AJ43*'NE HDD'!V10+$AK43</f>
        <v>0.85078870865125866</v>
      </c>
      <c r="W43" s="37">
        <f>$AJ43*'NE HDD'!W10+$AK43</f>
        <v>0.87455933562702004</v>
      </c>
      <c r="X43" s="37">
        <f>$AJ43*'NE HDD'!X10+$AK43</f>
        <v>0.62417539814900147</v>
      </c>
      <c r="Y43" s="37">
        <f>$AJ43*'NE HDD'!Y10+$AK43</f>
        <v>1.0583855175729071</v>
      </c>
      <c r="Z43" s="37">
        <f>$AJ43*'NE HDD'!Z10+$AK43</f>
        <v>1.1608633316461887</v>
      </c>
      <c r="AA43" s="37">
        <f>$AJ43*'NE HDD'!AA10+$AK43</f>
        <v>1.0863820337888037</v>
      </c>
      <c r="AB43" s="37">
        <f>$AJ43*'NE HDD'!AB10+$AK43</f>
        <v>0.8085298162499055</v>
      </c>
      <c r="AC43" s="37">
        <f>$AJ43*'NE HDD'!AC10+$AK43</f>
        <v>0.84761929172115691</v>
      </c>
      <c r="AD43" s="37">
        <f>$AJ43*'NE HDD'!AD10+$AK43</f>
        <v>0.95907712042972637</v>
      </c>
      <c r="AE43" s="37">
        <f>$AJ43*'NE HDD'!AE10+$AK43</f>
        <v>1.0657808237431436</v>
      </c>
      <c r="AF43" s="37">
        <f>$AJ43*'NE HDD'!AF10+$AK43</f>
        <v>0.71872966989702958</v>
      </c>
      <c r="AG43" s="37">
        <f>$AJ43*'NE HDD'!AG10+$AK43</f>
        <v>0.73774617147763832</v>
      </c>
      <c r="AH43" s="37">
        <f>$AJ43*'NE HDD'!AH10+$AK43</f>
        <v>0.83969574939590341</v>
      </c>
      <c r="AI43" s="37">
        <f>$AJ43*'NE HDD'!AI10+$AK43</f>
        <v>0.63157070431923801</v>
      </c>
      <c r="AJ43" s="271">
        <f>INDEX(LINEST(B10:AI10,'NE HDD'!B10:AI10,TRUE,TRUE),1,1)</f>
        <v>5.282361550169168E-4</v>
      </c>
      <c r="AK43" s="271">
        <f>INDEX(LINEST(B10:AI10,'NE HDD'!B10:AI10,TRUE,TRUE),1,2)</f>
        <v>-2.0196465577106673</v>
      </c>
      <c r="AL43" s="271">
        <f>INDEX(LINEST(B10:AI10,'NE HDD'!B10:AI10,TRUE,TRUE),3,1)</f>
        <v>7.4307287611826006E-2</v>
      </c>
      <c r="AM43" s="271">
        <f>INDEX(LINEST(B10:AI10,'NE HDD'!B10:AI10,TRUE,TRUE),4,1)</f>
        <v>2.5687068416514953</v>
      </c>
      <c r="AN43" s="273">
        <f t="shared" si="20"/>
        <v>0.11882335648283816</v>
      </c>
      <c r="AO43" s="271">
        <f>INDEX(LINEST($B10:$AI10,'NE HDD'!$B10:$AI10,TRUE,TRUE),1,1)</f>
        <v>5.282361550169168E-4</v>
      </c>
      <c r="AP43" s="271">
        <f>INDEX(LINEST($B10:$AI10,'NE HDD'!$B10:$AI10,TRUE,TRUE),2,1)</f>
        <v>3.2958759081314705E-4</v>
      </c>
      <c r="AQ43" s="271">
        <f>INDEX(LINEST($B43:$AI43,'NE HDD'!$B10:$AI10,TRUE,TRUE),4,2)</f>
        <v>32</v>
      </c>
      <c r="AR43" s="271">
        <f t="shared" si="21"/>
        <v>2.0369333434601011</v>
      </c>
      <c r="AS43" s="272">
        <f t="shared" si="22"/>
        <v>-1.4311179830106655E-4</v>
      </c>
      <c r="AT43" s="272">
        <f t="shared" si="23"/>
        <v>1.1995841083349001E-3</v>
      </c>
      <c r="AU43" s="271">
        <f t="shared" si="24"/>
        <v>5.3243847011379532E-4</v>
      </c>
      <c r="AV43" s="271">
        <f t="shared" si="25"/>
        <v>1.0460396833507097E-3</v>
      </c>
      <c r="AW43" s="271">
        <f t="shared" si="26"/>
        <v>1.2091272461162773E-3</v>
      </c>
    </row>
    <row r="44" spans="1:49" x14ac:dyDescent="0.25">
      <c r="A44" s="138" t="s">
        <v>1927</v>
      </c>
      <c r="B44" s="37">
        <f>$AJ44*'NE HDD'!B11+$AK44</f>
        <v>0.48107723426269483</v>
      </c>
      <c r="C44" s="37">
        <f>$AJ44*'NE HDD'!C11+$AK44</f>
        <v>0.48457745587591117</v>
      </c>
      <c r="D44" s="37">
        <f>$AJ44*'NE HDD'!D11+$AK44</f>
        <v>0.50147138264174096</v>
      </c>
      <c r="E44" s="37">
        <f>$AJ44*'NE HDD'!E11+$AK44</f>
        <v>0.49972127183513282</v>
      </c>
      <c r="F44" s="37">
        <f>$AJ44*'NE HDD'!F11+$AK44</f>
        <v>0.49945339773208053</v>
      </c>
      <c r="G44" s="37">
        <f>$AJ44*'NE HDD'!G11+$AK44</f>
        <v>0.49322086026773104</v>
      </c>
      <c r="H44" s="37">
        <f>$AJ44*'NE HDD'!H11+$AK44</f>
        <v>0.49447093941530829</v>
      </c>
      <c r="I44" s="37">
        <f>$AJ44*'NE HDD'!I11+$AK44</f>
        <v>0.49950697255269094</v>
      </c>
      <c r="J44" s="37">
        <f>$AJ44*'NE HDD'!J11+$AK44</f>
        <v>0.47430894859224082</v>
      </c>
      <c r="K44" s="37">
        <f>$AJ44*'NE HDD'!K11+$AK44</f>
        <v>0.48175584865709392</v>
      </c>
      <c r="L44" s="37">
        <f>$AJ44*'NE HDD'!L11+$AK44</f>
        <v>0.49429235667994009</v>
      </c>
      <c r="M44" s="37">
        <f>$AJ44*'NE HDD'!M11+$AK44</f>
        <v>0.48327380190772345</v>
      </c>
      <c r="N44" s="37">
        <f>$AJ44*'NE HDD'!N11+$AK44</f>
        <v>0.48477389688481615</v>
      </c>
      <c r="O44" s="37">
        <f>$AJ44*'NE HDD'!O11+$AK44</f>
        <v>0.49841761786694505</v>
      </c>
      <c r="P44" s="37">
        <f>$AJ44*'NE HDD'!P11+$AK44</f>
        <v>0.49502454589494965</v>
      </c>
      <c r="Q44" s="37">
        <f>$AJ44*'NE HDD'!Q11+$AK44</f>
        <v>0.48855985087462156</v>
      </c>
      <c r="R44" s="37">
        <f>$AJ44*'NE HDD'!R11+$AK44</f>
        <v>0.47563046083396532</v>
      </c>
      <c r="S44" s="37">
        <f>$AJ44*'NE HDD'!S11+$AK44</f>
        <v>0.49241723795857423</v>
      </c>
      <c r="T44" s="37">
        <f>$AJ44*'NE HDD'!T11+$AK44</f>
        <v>0.48779194511253843</v>
      </c>
      <c r="U44" s="37">
        <f>$AJ44*'NE HDD'!U11+$AK44</f>
        <v>0.49222079694966925</v>
      </c>
      <c r="V44" s="37">
        <f>$AJ44*'NE HDD'!V11+$AK44</f>
        <v>0.47755915437594171</v>
      </c>
      <c r="W44" s="37">
        <f>$AJ44*'NE HDD'!W11+$AK44</f>
        <v>0.48100580116854758</v>
      </c>
      <c r="X44" s="37">
        <f>$AJ44*'NE HDD'!X11+$AK44</f>
        <v>0.47043370323475131</v>
      </c>
      <c r="Y44" s="37">
        <f>$AJ44*'NE HDD'!Y11+$AK44</f>
        <v>0.48768479547131749</v>
      </c>
      <c r="Z44" s="37">
        <f>$AJ44*'NE HDD'!Z11+$AK44</f>
        <v>0.49434593150055062</v>
      </c>
      <c r="AA44" s="37">
        <f>$AJ44*'NE HDD'!AA11+$AK44</f>
        <v>0.49054211923720836</v>
      </c>
      <c r="AB44" s="37">
        <f>$AJ44*'NE HDD'!AB11+$AK44</f>
        <v>0.47857707596754029</v>
      </c>
      <c r="AC44" s="37">
        <f>$AJ44*'NE HDD'!AC11+$AK44</f>
        <v>0.48222016376905119</v>
      </c>
      <c r="AD44" s="37">
        <f>$AJ44*'NE HDD'!AD11+$AK44</f>
        <v>0.48900630771304199</v>
      </c>
      <c r="AE44" s="37">
        <f>$AJ44*'NE HDD'!AE11+$AK44</f>
        <v>0.49556029410105418</v>
      </c>
      <c r="AF44" s="37">
        <f>$AJ44*'NE HDD'!AF11+$AK44</f>
        <v>0.47788060329960441</v>
      </c>
      <c r="AG44" s="37">
        <f>$AJ44*'NE HDD'!AG11+$AK44</f>
        <v>0.4768983982550794</v>
      </c>
      <c r="AH44" s="37">
        <f>$AJ44*'NE HDD'!AH11+$AK44</f>
        <v>0.48205943930721984</v>
      </c>
      <c r="AI44" s="37">
        <f>$AJ44*'NE HDD'!AI11+$AK44</f>
        <v>0.47139805000573953</v>
      </c>
      <c r="AJ44" s="271">
        <f>INDEX(LINEST(B11:AI11,'NE HDD'!B11:AI11,TRUE,TRUE),1,1)</f>
        <v>1.7858273536817963E-5</v>
      </c>
      <c r="AK44" s="271">
        <f>INDEX(LINEST(B11:AI11,'NE HDD'!B11:AI11,TRUE,TRUE),1,2)</f>
        <v>0.34428285897066924</v>
      </c>
      <c r="AL44" s="271">
        <f>INDEX(LINEST(B11:AI11,'NE HDD'!B11:AI11,TRUE,TRUE),3,1)</f>
        <v>1.673207894957171E-2</v>
      </c>
      <c r="AM44" s="271">
        <f>INDEX(LINEST(B11:AI11,'NE HDD'!B11:AI11,TRUE,TRUE),4,1)</f>
        <v>0.54453777543591253</v>
      </c>
      <c r="AN44" s="273">
        <f t="shared" si="20"/>
        <v>0.46593559713181543</v>
      </c>
      <c r="AO44" s="271">
        <f>INDEX(LINEST($B11:$AI11,'NE HDD'!$B11:$AI11,TRUE,TRUE),1,1)</f>
        <v>1.7858273536817963E-5</v>
      </c>
      <c r="AP44" s="271">
        <f>INDEX(LINEST($B11:$AI11,'NE HDD'!$B11:$AI11,TRUE,TRUE),2,1)</f>
        <v>2.4200562716126851E-5</v>
      </c>
      <c r="AQ44" s="271">
        <f>INDEX(LINEST($B44:$AI44,'NE HDD'!$B11:$AI11,TRUE,TRUE),4,2)</f>
        <v>32</v>
      </c>
      <c r="AR44" s="271">
        <f t="shared" si="21"/>
        <v>2.0369333434601011</v>
      </c>
      <c r="AS44" s="272">
        <f t="shared" si="22"/>
        <v>-3.1436659590158169E-5</v>
      </c>
      <c r="AT44" s="272">
        <f t="shared" si="23"/>
        <v>6.7153206663794095E-5</v>
      </c>
      <c r="AU44" s="271">
        <f t="shared" si="24"/>
        <v>3.6671873849268453E-5</v>
      </c>
      <c r="AV44" s="271">
        <f t="shared" si="25"/>
        <v>-1.4154177963861809E-2</v>
      </c>
      <c r="AW44" s="271">
        <f t="shared" si="26"/>
        <v>1.3789876822478718E-4</v>
      </c>
    </row>
    <row r="46" spans="1:49" x14ac:dyDescent="0.25">
      <c r="A46" s="121" t="s">
        <v>2014</v>
      </c>
      <c r="AJ46" s="250" t="s">
        <v>2016</v>
      </c>
      <c r="AK46" s="251"/>
      <c r="AL46" s="251"/>
    </row>
    <row r="47" spans="1:49" x14ac:dyDescent="0.25">
      <c r="A47" s="136" t="s">
        <v>1786</v>
      </c>
      <c r="B47" s="136" t="s">
        <v>1821</v>
      </c>
      <c r="C47" s="136" t="s">
        <v>1822</v>
      </c>
      <c r="D47" s="136" t="s">
        <v>1823</v>
      </c>
      <c r="E47" s="136" t="s">
        <v>1824</v>
      </c>
      <c r="F47" s="136" t="s">
        <v>1825</v>
      </c>
      <c r="G47" s="136" t="s">
        <v>1826</v>
      </c>
      <c r="H47" s="136" t="s">
        <v>1827</v>
      </c>
      <c r="I47" s="136" t="s">
        <v>1828</v>
      </c>
      <c r="J47" s="136" t="s">
        <v>1829</v>
      </c>
      <c r="K47" s="136" t="s">
        <v>1830</v>
      </c>
      <c r="L47" s="136" t="s">
        <v>1831</v>
      </c>
      <c r="M47" s="136" t="s">
        <v>1832</v>
      </c>
      <c r="N47" s="136" t="s">
        <v>1833</v>
      </c>
      <c r="O47" s="136" t="s">
        <v>1834</v>
      </c>
      <c r="P47" s="136" t="s">
        <v>1835</v>
      </c>
      <c r="Q47" s="136" t="s">
        <v>1836</v>
      </c>
      <c r="R47" s="136" t="s">
        <v>1837</v>
      </c>
      <c r="S47" s="136" t="s">
        <v>1838</v>
      </c>
      <c r="T47" s="136" t="s">
        <v>1839</v>
      </c>
      <c r="U47" s="136" t="s">
        <v>1840</v>
      </c>
      <c r="V47" s="136" t="s">
        <v>1841</v>
      </c>
      <c r="W47" s="136" t="s">
        <v>1842</v>
      </c>
      <c r="X47" s="136" t="s">
        <v>1843</v>
      </c>
      <c r="Y47" s="136" t="s">
        <v>1844</v>
      </c>
      <c r="Z47" s="136" t="s">
        <v>1845</v>
      </c>
      <c r="AA47" s="136" t="s">
        <v>1846</v>
      </c>
      <c r="AB47" s="136" t="s">
        <v>1847</v>
      </c>
      <c r="AC47" s="136" t="s">
        <v>1848</v>
      </c>
      <c r="AD47" s="136" t="s">
        <v>1849</v>
      </c>
      <c r="AE47" s="136" t="s">
        <v>1850</v>
      </c>
      <c r="AF47" s="136" t="s">
        <v>1851</v>
      </c>
      <c r="AG47" s="136" t="s">
        <v>1852</v>
      </c>
      <c r="AH47" s="136" t="s">
        <v>1853</v>
      </c>
      <c r="AI47" s="136" t="s">
        <v>1854</v>
      </c>
      <c r="AJ47" s="116" t="s">
        <v>2017</v>
      </c>
      <c r="AK47" s="116" t="s">
        <v>2018</v>
      </c>
      <c r="AL47" s="154" t="s">
        <v>2019</v>
      </c>
    </row>
    <row r="48" spans="1:49" x14ac:dyDescent="0.25">
      <c r="A48" s="138" t="s">
        <v>1922</v>
      </c>
      <c r="B48" s="37">
        <f>B3-B36</f>
        <v>0.82579922222658775</v>
      </c>
      <c r="C48" s="37">
        <f t="shared" ref="C48:AI48" si="27">C3-C36</f>
        <v>0.89078123944888032</v>
      </c>
      <c r="D48" s="37">
        <f t="shared" si="27"/>
        <v>0.53022588604866439</v>
      </c>
      <c r="E48" s="37">
        <f t="shared" si="27"/>
        <v>0.6286330137541154</v>
      </c>
      <c r="F48" s="37">
        <f t="shared" si="27"/>
        <v>0.22271891712213998</v>
      </c>
      <c r="G48" s="37">
        <f t="shared" si="27"/>
        <v>0.14565195260855246</v>
      </c>
      <c r="H48" s="37">
        <f t="shared" si="27"/>
        <v>0.11242525906071554</v>
      </c>
      <c r="I48" s="37">
        <f t="shared" si="27"/>
        <v>7.9308205369265306E-2</v>
      </c>
      <c r="J48" s="37">
        <f t="shared" si="27"/>
        <v>0.50806358820626274</v>
      </c>
      <c r="K48" s="37">
        <f t="shared" si="27"/>
        <v>0.28374627358965698</v>
      </c>
      <c r="L48" s="37">
        <f t="shared" si="27"/>
        <v>9.1323397344499124E-2</v>
      </c>
      <c r="M48" s="37">
        <f t="shared" si="27"/>
        <v>0.30111018713871429</v>
      </c>
      <c r="N48" s="37">
        <f t="shared" si="27"/>
        <v>0.13692372783514672</v>
      </c>
      <c r="O48" s="37">
        <f t="shared" si="27"/>
        <v>0.13511078320455505</v>
      </c>
      <c r="P48" s="37">
        <f t="shared" si="27"/>
        <v>0.14681057963212352</v>
      </c>
      <c r="Q48" s="37">
        <f t="shared" si="27"/>
        <v>0.30184334035528959</v>
      </c>
      <c r="R48" s="37">
        <f t="shared" si="27"/>
        <v>0.72342733799724446</v>
      </c>
      <c r="S48" s="37">
        <f t="shared" si="27"/>
        <v>1.3032008987091448E-2</v>
      </c>
      <c r="T48" s="37">
        <f t="shared" si="27"/>
        <v>-0.56456298249696224</v>
      </c>
      <c r="U48" s="37">
        <f t="shared" si="27"/>
        <v>-0.51963199120478798</v>
      </c>
      <c r="V48" s="37">
        <f t="shared" si="27"/>
        <v>-0.22982468287083369</v>
      </c>
      <c r="W48" s="37">
        <f t="shared" si="27"/>
        <v>-0.17828300897772542</v>
      </c>
      <c r="X48" s="37">
        <f t="shared" si="27"/>
        <v>0.11311934019861014</v>
      </c>
      <c r="Y48" s="37">
        <f t="shared" si="27"/>
        <v>-0.27150899927076866</v>
      </c>
      <c r="Z48" s="37">
        <f t="shared" si="27"/>
        <v>-0.58125558008000944</v>
      </c>
      <c r="AA48" s="37">
        <f t="shared" si="27"/>
        <v>-0.57443725843791005</v>
      </c>
      <c r="AB48" s="37">
        <f t="shared" si="27"/>
        <v>-0.2750326312846687</v>
      </c>
      <c r="AC48" s="37">
        <f t="shared" si="27"/>
        <v>-0.31583342199084719</v>
      </c>
      <c r="AD48" s="37">
        <f t="shared" si="27"/>
        <v>-0.49317751670151333</v>
      </c>
      <c r="AE48" s="37">
        <f t="shared" si="27"/>
        <v>-0.64072377763576727</v>
      </c>
      <c r="AF48" s="37">
        <f t="shared" si="27"/>
        <v>-0.29204443843514838</v>
      </c>
      <c r="AG48" s="37">
        <f t="shared" si="27"/>
        <v>-0.39792180650989972</v>
      </c>
      <c r="AH48" s="37">
        <f t="shared" si="27"/>
        <v>-0.58815560098153141</v>
      </c>
      <c r="AI48" s="37">
        <f t="shared" si="27"/>
        <v>-0.26766056324971266</v>
      </c>
      <c r="AJ48" s="100">
        <f>SLOPE(B48:AI48,B$57:AI$57)</f>
        <v>-3.6043749632526594E-2</v>
      </c>
      <c r="AK48" s="100">
        <f>SLOPE(B48:U48,B$57:U$57)</f>
        <v>-4.2342283660430913E-2</v>
      </c>
      <c r="AL48" s="100">
        <f>SLOPE(V48:AI48,V$57:AI$57)</f>
        <v>-2.1621859131363337E-2</v>
      </c>
    </row>
    <row r="49" spans="1:38" x14ac:dyDescent="0.25">
      <c r="A49" s="138" t="s">
        <v>1788</v>
      </c>
      <c r="B49" s="37">
        <f t="shared" ref="B49:AI56" si="28">B4-B37</f>
        <v>1.2233505056703677</v>
      </c>
      <c r="C49" s="37">
        <f t="shared" si="28"/>
        <v>0.4771418828770857</v>
      </c>
      <c r="D49" s="37">
        <f t="shared" si="28"/>
        <v>1.1578136758595177</v>
      </c>
      <c r="E49" s="37">
        <f t="shared" si="28"/>
        <v>1.6115591362253845</v>
      </c>
      <c r="F49" s="37">
        <f t="shared" si="28"/>
        <v>0.9206977726878085</v>
      </c>
      <c r="G49" s="37">
        <f t="shared" si="28"/>
        <v>0.33895785851403204</v>
      </c>
      <c r="H49" s="37">
        <f t="shared" si="28"/>
        <v>0.26759960923858817</v>
      </c>
      <c r="I49" s="37">
        <f t="shared" si="28"/>
        <v>0.37797941726260831</v>
      </c>
      <c r="J49" s="37">
        <f t="shared" si="28"/>
        <v>1.1632419822992617</v>
      </c>
      <c r="K49" s="37">
        <f t="shared" si="28"/>
        <v>1.4151679519429017</v>
      </c>
      <c r="L49" s="37">
        <f t="shared" si="28"/>
        <v>0.76815419288314857</v>
      </c>
      <c r="M49" s="37">
        <f t="shared" si="28"/>
        <v>2.4289662174973188</v>
      </c>
      <c r="N49" s="37">
        <f t="shared" si="28"/>
        <v>2.3038014189522436</v>
      </c>
      <c r="O49" s="37">
        <f t="shared" si="28"/>
        <v>-0.79730429367573397</v>
      </c>
      <c r="P49" s="37">
        <f t="shared" si="28"/>
        <v>-0.68812550086812907</v>
      </c>
      <c r="Q49" s="37">
        <f t="shared" si="28"/>
        <v>-0.34611941596028029</v>
      </c>
      <c r="R49" s="37">
        <f t="shared" si="28"/>
        <v>0.36963106599942108</v>
      </c>
      <c r="S49" s="37">
        <f t="shared" si="28"/>
        <v>-0.35595582535963466</v>
      </c>
      <c r="T49" s="37">
        <f t="shared" si="28"/>
        <v>-0.74921058851536682</v>
      </c>
      <c r="U49" s="37">
        <f t="shared" si="28"/>
        <v>-1.5969733446249705</v>
      </c>
      <c r="V49" s="37">
        <f t="shared" si="28"/>
        <v>-0.53353397539271308</v>
      </c>
      <c r="W49" s="37">
        <f t="shared" si="28"/>
        <v>-0.39069635628687038</v>
      </c>
      <c r="X49" s="37">
        <f t="shared" si="28"/>
        <v>-0.33968492808290751</v>
      </c>
      <c r="Y49" s="37">
        <f t="shared" si="28"/>
        <v>-1.0988413986824592</v>
      </c>
      <c r="Z49" s="37">
        <f t="shared" si="28"/>
        <v>-1.4063168940840325</v>
      </c>
      <c r="AA49" s="37">
        <f t="shared" si="28"/>
        <v>-1.2511315675862842</v>
      </c>
      <c r="AB49" s="37">
        <f t="shared" si="28"/>
        <v>-0.70583989941442038</v>
      </c>
      <c r="AC49" s="37">
        <f t="shared" si="28"/>
        <v>-0.66717565224188924</v>
      </c>
      <c r="AD49" s="37">
        <f t="shared" si="28"/>
        <v>-0.94481992106125157</v>
      </c>
      <c r="AE49" s="37">
        <f t="shared" si="28"/>
        <v>-1.0766262661027093</v>
      </c>
      <c r="AF49" s="37">
        <f t="shared" si="28"/>
        <v>-0.57136293238109648</v>
      </c>
      <c r="AG49" s="37">
        <f t="shared" si="28"/>
        <v>-0.38282863827384883</v>
      </c>
      <c r="AH49" s="37">
        <f t="shared" si="28"/>
        <v>-0.55443330171178751</v>
      </c>
      <c r="AI49" s="37">
        <f t="shared" si="28"/>
        <v>-0.36708198760326782</v>
      </c>
      <c r="AJ49" s="100">
        <f t="shared" ref="AJ49:AJ56" si="29">SLOPE(B49:AI49,B$57:AI$57)</f>
        <v>-7.2534664488563591E-2</v>
      </c>
      <c r="AK49" s="100">
        <f t="shared" ref="AK49:AK56" si="30">SLOPE(B49:U49,B$57:U$57)</f>
        <v>-9.8601165620672185E-2</v>
      </c>
      <c r="AL49" s="100">
        <f t="shared" ref="AL49:AL56" si="31">SLOPE(V49:AI49,V$57:AI$57)</f>
        <v>1.3786544265129699E-2</v>
      </c>
    </row>
    <row r="50" spans="1:38" x14ac:dyDescent="0.25">
      <c r="A50" s="138" t="s">
        <v>1923</v>
      </c>
      <c r="B50" s="37">
        <f t="shared" si="28"/>
        <v>0.27918876961745021</v>
      </c>
      <c r="C50" s="37">
        <f t="shared" si="28"/>
        <v>0.38800402552355973</v>
      </c>
      <c r="D50" s="37">
        <f t="shared" si="28"/>
        <v>3.6163813997163174E-3</v>
      </c>
      <c r="E50" s="37">
        <f t="shared" si="28"/>
        <v>0.65644401697021593</v>
      </c>
      <c r="F50" s="37">
        <f t="shared" si="28"/>
        <v>1.9186272733693244</v>
      </c>
      <c r="G50" s="37">
        <f t="shared" si="28"/>
        <v>1.0897637727211436</v>
      </c>
      <c r="H50" s="37">
        <f t="shared" si="28"/>
        <v>1.3550060670521873</v>
      </c>
      <c r="I50" s="37">
        <f t="shared" si="28"/>
        <v>0.55350357726045285</v>
      </c>
      <c r="J50" s="37">
        <f t="shared" si="28"/>
        <v>1.0845630581664834</v>
      </c>
      <c r="K50" s="37">
        <f t="shared" si="28"/>
        <v>0.86118736506162019</v>
      </c>
      <c r="L50" s="37">
        <f t="shared" si="28"/>
        <v>0.67730912428704837</v>
      </c>
      <c r="M50" s="37">
        <f t="shared" si="28"/>
        <v>0.52277215874069238</v>
      </c>
      <c r="N50" s="37">
        <f t="shared" si="28"/>
        <v>0.93980695971545325</v>
      </c>
      <c r="O50" s="37">
        <f t="shared" si="28"/>
        <v>-1.1780155030183121</v>
      </c>
      <c r="P50" s="37">
        <f t="shared" si="28"/>
        <v>-9.410989401422043E-2</v>
      </c>
      <c r="Q50" s="37">
        <f t="shared" si="28"/>
        <v>-4.8418019009017321E-2</v>
      </c>
      <c r="R50" s="37">
        <f t="shared" si="28"/>
        <v>0.9250478840274643</v>
      </c>
      <c r="S50" s="37">
        <f t="shared" si="28"/>
        <v>-2.1593546642751704E-2</v>
      </c>
      <c r="T50" s="37">
        <f t="shared" si="28"/>
        <v>3.8114317344654314E-2</v>
      </c>
      <c r="U50" s="37">
        <f t="shared" si="28"/>
        <v>-0.35300429771284891</v>
      </c>
      <c r="V50" s="37">
        <f t="shared" si="28"/>
        <v>0.66040911733346119</v>
      </c>
      <c r="W50" s="37">
        <f t="shared" si="28"/>
        <v>3.3145896803469022E-2</v>
      </c>
      <c r="X50" s="37">
        <f t="shared" si="28"/>
        <v>0.19472082862531348</v>
      </c>
      <c r="Y50" s="37">
        <f t="shared" si="28"/>
        <v>-0.48826215653456417</v>
      </c>
      <c r="Z50" s="37">
        <f t="shared" si="28"/>
        <v>-1.1748104508622621</v>
      </c>
      <c r="AA50" s="37">
        <f t="shared" si="28"/>
        <v>-1.4823297852258157</v>
      </c>
      <c r="AB50" s="37">
        <f t="shared" si="28"/>
        <v>-0.91874173378692348</v>
      </c>
      <c r="AC50" s="37">
        <f t="shared" si="28"/>
        <v>-1.1955844091090488</v>
      </c>
      <c r="AD50" s="37">
        <f t="shared" si="28"/>
        <v>-1.3604019890897214</v>
      </c>
      <c r="AE50" s="37">
        <f t="shared" si="28"/>
        <v>-1.4890888736217915</v>
      </c>
      <c r="AF50" s="37">
        <f t="shared" si="28"/>
        <v>-0.60108465654262355</v>
      </c>
      <c r="AG50" s="37">
        <f t="shared" si="28"/>
        <v>-0.42309720802967465</v>
      </c>
      <c r="AH50" s="37">
        <f t="shared" si="28"/>
        <v>-0.73908152468443866</v>
      </c>
      <c r="AI50" s="37">
        <f t="shared" si="28"/>
        <v>-0.61360654613572163</v>
      </c>
      <c r="AJ50" s="100">
        <f t="shared" si="29"/>
        <v>-6.4785679661213236E-2</v>
      </c>
      <c r="AK50" s="100">
        <f t="shared" si="30"/>
        <v>-4.8727321955834839E-2</v>
      </c>
      <c r="AL50" s="100">
        <f t="shared" si="31"/>
        <v>-7.2284124158525628E-2</v>
      </c>
    </row>
    <row r="51" spans="1:38" x14ac:dyDescent="0.25">
      <c r="A51" s="138" t="s">
        <v>1924</v>
      </c>
      <c r="B51" s="37">
        <f t="shared" si="28"/>
        <v>-9.3620434401410768E-2</v>
      </c>
      <c r="C51" s="37">
        <f t="shared" si="28"/>
        <v>-0.17436934014646022</v>
      </c>
      <c r="D51" s="37">
        <f t="shared" si="28"/>
        <v>-2.2281849378099849E-2</v>
      </c>
      <c r="E51" s="37">
        <f t="shared" si="28"/>
        <v>0.18528320853437474</v>
      </c>
      <c r="F51" s="37">
        <f t="shared" si="28"/>
        <v>0.15306698811080288</v>
      </c>
      <c r="G51" s="37">
        <f t="shared" si="28"/>
        <v>9.3479073927890455E-2</v>
      </c>
      <c r="H51" s="37">
        <f t="shared" si="28"/>
        <v>1.4401281403623956E-2</v>
      </c>
      <c r="I51" s="37">
        <f t="shared" si="28"/>
        <v>-5.7159789853582721E-2</v>
      </c>
      <c r="J51" s="37">
        <f t="shared" si="28"/>
        <v>0.13957638668920358</v>
      </c>
      <c r="K51" s="37">
        <f t="shared" si="28"/>
        <v>6.0975908212187568E-2</v>
      </c>
      <c r="L51" s="37">
        <f t="shared" si="28"/>
        <v>0.22509674918075773</v>
      </c>
      <c r="M51" s="37">
        <f t="shared" si="28"/>
        <v>0.35097414972076313</v>
      </c>
      <c r="N51" s="37">
        <f t="shared" si="28"/>
        <v>0.21655051490190347</v>
      </c>
      <c r="O51" s="37">
        <f t="shared" si="28"/>
        <v>8.5348037463749415E-2</v>
      </c>
      <c r="P51" s="37">
        <f t="shared" si="28"/>
        <v>0.15487322279230764</v>
      </c>
      <c r="Q51" s="37">
        <f t="shared" si="28"/>
        <v>6.471054057155412E-2</v>
      </c>
      <c r="R51" s="37">
        <f t="shared" si="28"/>
        <v>0.36365871047467191</v>
      </c>
      <c r="S51" s="37">
        <f t="shared" si="28"/>
        <v>-5.3043043940302237E-2</v>
      </c>
      <c r="T51" s="37">
        <f t="shared" si="28"/>
        <v>-9.6144705152766408E-2</v>
      </c>
      <c r="U51" s="37">
        <f t="shared" si="28"/>
        <v>-0.20652599021174922</v>
      </c>
      <c r="V51" s="37">
        <f t="shared" si="28"/>
        <v>-6.6997619643464179E-2</v>
      </c>
      <c r="W51" s="37">
        <f t="shared" si="28"/>
        <v>-0.1300367140398222</v>
      </c>
      <c r="X51" s="37">
        <f t="shared" si="28"/>
        <v>-8.1227886685541595E-2</v>
      </c>
      <c r="Y51" s="37">
        <f t="shared" si="28"/>
        <v>-0.15602267845107076</v>
      </c>
      <c r="Z51" s="37">
        <f t="shared" si="28"/>
        <v>-0.17855483615962908</v>
      </c>
      <c r="AA51" s="37">
        <f t="shared" si="28"/>
        <v>-0.20852927900047802</v>
      </c>
      <c r="AB51" s="37">
        <f t="shared" si="28"/>
        <v>-0.1190562361315779</v>
      </c>
      <c r="AC51" s="37">
        <f t="shared" si="28"/>
        <v>-4.574722917845564E-2</v>
      </c>
      <c r="AD51" s="37">
        <f t="shared" si="28"/>
        <v>-0.11653791546969683</v>
      </c>
      <c r="AE51" s="37">
        <f t="shared" si="28"/>
        <v>-0.16677331115517025</v>
      </c>
      <c r="AF51" s="37">
        <f t="shared" si="28"/>
        <v>-4.5268194981336718E-2</v>
      </c>
      <c r="AG51" s="37">
        <f t="shared" si="28"/>
        <v>-4.8742114661439628E-2</v>
      </c>
      <c r="AH51" s="37">
        <f t="shared" si="28"/>
        <v>-8.6723863204559604E-2</v>
      </c>
      <c r="AI51" s="37">
        <f t="shared" si="28"/>
        <v>4.5368259862820559E-2</v>
      </c>
      <c r="AJ51" s="100">
        <f t="shared" si="29"/>
        <v>-6.2743543147961989E-3</v>
      </c>
      <c r="AK51" s="100">
        <f t="shared" si="30"/>
        <v>2.4708242138321568E-3</v>
      </c>
      <c r="AL51" s="100">
        <f t="shared" si="31"/>
        <v>7.5011908743789152E-3</v>
      </c>
    </row>
    <row r="52" spans="1:38" x14ac:dyDescent="0.25">
      <c r="A52" s="138" t="s">
        <v>1939</v>
      </c>
      <c r="B52" s="37">
        <f t="shared" si="28"/>
        <v>2.7332848364647173</v>
      </c>
      <c r="C52" s="37">
        <f t="shared" si="28"/>
        <v>2.4670155857337832</v>
      </c>
      <c r="D52" s="37">
        <f t="shared" si="28"/>
        <v>3.7895951883209982</v>
      </c>
      <c r="E52" s="37">
        <f t="shared" si="28"/>
        <v>3.8216140170044568</v>
      </c>
      <c r="F52" s="37">
        <f t="shared" si="28"/>
        <v>4.2584400800956974</v>
      </c>
      <c r="G52" s="37">
        <f t="shared" si="28"/>
        <v>4.9425110447077962</v>
      </c>
      <c r="H52" s="37">
        <f t="shared" si="28"/>
        <v>3.4136657517506368</v>
      </c>
      <c r="I52" s="37">
        <f t="shared" si="28"/>
        <v>4.0795919770148465</v>
      </c>
      <c r="J52" s="37">
        <f t="shared" si="28"/>
        <v>6.9300199087709871</v>
      </c>
      <c r="K52" s="37">
        <f t="shared" si="28"/>
        <v>5.8023734298335725</v>
      </c>
      <c r="L52" s="37">
        <f t="shared" si="28"/>
        <v>-1.5603413069355039</v>
      </c>
      <c r="M52" s="37">
        <f t="shared" si="28"/>
        <v>0.27616622120194823</v>
      </c>
      <c r="N52" s="37">
        <f t="shared" si="28"/>
        <v>-0.11672326052168103</v>
      </c>
      <c r="O52" s="37">
        <f t="shared" si="28"/>
        <v>-3.5422658593013008</v>
      </c>
      <c r="P52" s="37">
        <f t="shared" si="28"/>
        <v>-1.6280527284721602</v>
      </c>
      <c r="Q52" s="37">
        <f t="shared" si="28"/>
        <v>-2.5331201560558512</v>
      </c>
      <c r="R52" s="37">
        <f t="shared" si="28"/>
        <v>-0.73439660157593956</v>
      </c>
      <c r="S52" s="37">
        <f t="shared" si="28"/>
        <v>-2.7051004193472714</v>
      </c>
      <c r="T52" s="37">
        <f t="shared" si="28"/>
        <v>-3.6280235897649051</v>
      </c>
      <c r="U52" s="37">
        <f t="shared" si="28"/>
        <v>-4.4174046825850812</v>
      </c>
      <c r="V52" s="37">
        <f t="shared" si="28"/>
        <v>-2.3576328939907931</v>
      </c>
      <c r="W52" s="37">
        <f t="shared" si="28"/>
        <v>-1.6340797598451591</v>
      </c>
      <c r="X52" s="37">
        <f t="shared" si="28"/>
        <v>-0.22128849504196868</v>
      </c>
      <c r="Y52" s="37">
        <f t="shared" si="28"/>
        <v>-2.6594344057466595</v>
      </c>
      <c r="Z52" s="37">
        <f t="shared" si="28"/>
        <v>-3.8137881404816136</v>
      </c>
      <c r="AA52" s="37">
        <f t="shared" si="28"/>
        <v>-2.5350604203076941</v>
      </c>
      <c r="AB52" s="37">
        <f t="shared" si="28"/>
        <v>-1.0883471353127998</v>
      </c>
      <c r="AC52" s="37">
        <f t="shared" si="28"/>
        <v>-1.4784712327149219</v>
      </c>
      <c r="AD52" s="37">
        <f t="shared" si="28"/>
        <v>-2.3411442329085421</v>
      </c>
      <c r="AE52" s="37">
        <f t="shared" si="28"/>
        <v>-1.8746910937828467</v>
      </c>
      <c r="AF52" s="37">
        <f t="shared" si="28"/>
        <v>-0.76634326081195958</v>
      </c>
      <c r="AG52" s="37">
        <f t="shared" si="28"/>
        <v>-0.98156224465583364</v>
      </c>
      <c r="AH52" s="37">
        <f t="shared" si="28"/>
        <v>-1.1032638155685461</v>
      </c>
      <c r="AI52" s="37">
        <f t="shared" si="28"/>
        <v>1.2062576948296666</v>
      </c>
      <c r="AJ52" s="100">
        <f t="shared" si="29"/>
        <v>-0.19779404012992149</v>
      </c>
      <c r="AK52" s="100">
        <f t="shared" si="30"/>
        <v>-0.47140372091940008</v>
      </c>
      <c r="AL52" s="100">
        <f t="shared" si="31"/>
        <v>0.15047436705058462</v>
      </c>
    </row>
    <row r="53" spans="1:38" x14ac:dyDescent="0.25">
      <c r="A53" s="138" t="s">
        <v>1925</v>
      </c>
      <c r="B53" s="37">
        <f t="shared" si="28"/>
        <v>2.5769153622030547</v>
      </c>
      <c r="C53" s="37">
        <f t="shared" si="28"/>
        <v>2.064021995382177</v>
      </c>
      <c r="D53" s="37">
        <f t="shared" si="28"/>
        <v>1.5038608594750276</v>
      </c>
      <c r="E53" s="37">
        <f t="shared" si="28"/>
        <v>1.8613977600381499</v>
      </c>
      <c r="F53" s="37">
        <f t="shared" si="28"/>
        <v>2.391134041060214</v>
      </c>
      <c r="G53" s="37">
        <f t="shared" si="28"/>
        <v>5.0598306066886707</v>
      </c>
      <c r="H53" s="37">
        <f t="shared" si="28"/>
        <v>5.0115190662619877</v>
      </c>
      <c r="I53" s="37">
        <f t="shared" si="28"/>
        <v>4.5319343832271652</v>
      </c>
      <c r="J53" s="37">
        <f t="shared" si="28"/>
        <v>5.5305665311400016</v>
      </c>
      <c r="K53" s="37">
        <f t="shared" si="28"/>
        <v>0.24792980648170193</v>
      </c>
      <c r="L53" s="37">
        <f t="shared" si="28"/>
        <v>-1.0597205790143285</v>
      </c>
      <c r="M53" s="37">
        <f t="shared" si="28"/>
        <v>-0.52769570033152569</v>
      </c>
      <c r="N53" s="37">
        <f t="shared" si="28"/>
        <v>-0.26850387329247916</v>
      </c>
      <c r="O53" s="37">
        <f t="shared" si="28"/>
        <v>-2.3028294869319943</v>
      </c>
      <c r="P53" s="37">
        <f t="shared" si="28"/>
        <v>-1.6880577070115121</v>
      </c>
      <c r="Q53" s="37">
        <f t="shared" si="28"/>
        <v>-1.3074151298185388</v>
      </c>
      <c r="R53" s="37">
        <f t="shared" si="28"/>
        <v>0.41531857995150112</v>
      </c>
      <c r="S53" s="37">
        <f t="shared" si="28"/>
        <v>-1.3954220245395756</v>
      </c>
      <c r="T53" s="37">
        <f t="shared" si="28"/>
        <v>-1.6827337258973225</v>
      </c>
      <c r="U53" s="37">
        <f t="shared" si="28"/>
        <v>-3.2344537764048189</v>
      </c>
      <c r="V53" s="37">
        <f t="shared" si="28"/>
        <v>-1.5465278050548008</v>
      </c>
      <c r="W53" s="37">
        <f t="shared" si="28"/>
        <v>-1.4680862557540246</v>
      </c>
      <c r="X53" s="37">
        <f t="shared" si="28"/>
        <v>-0.1045008624634205</v>
      </c>
      <c r="Y53" s="37">
        <f t="shared" si="28"/>
        <v>-2.3621271524011167</v>
      </c>
      <c r="Z53" s="37">
        <f t="shared" si="28"/>
        <v>-3.1324116104138326</v>
      </c>
      <c r="AA53" s="37">
        <f t="shared" si="28"/>
        <v>-2.2019981604274639</v>
      </c>
      <c r="AB53" s="37">
        <f t="shared" si="28"/>
        <v>-0.93998038413399598</v>
      </c>
      <c r="AC53" s="37">
        <f t="shared" si="28"/>
        <v>-1.050836113336957</v>
      </c>
      <c r="AD53" s="37">
        <f t="shared" si="28"/>
        <v>-1.738932110463848</v>
      </c>
      <c r="AE53" s="37">
        <f t="shared" si="28"/>
        <v>-1.8035149184493111</v>
      </c>
      <c r="AF53" s="37">
        <f t="shared" si="28"/>
        <v>-0.28671763008777695</v>
      </c>
      <c r="AG53" s="37">
        <f t="shared" si="28"/>
        <v>-0.28492689827472351</v>
      </c>
      <c r="AH53" s="37">
        <f t="shared" si="28"/>
        <v>-1.1432234302340305</v>
      </c>
      <c r="AI53" s="37">
        <f t="shared" si="28"/>
        <v>0.33618634282770454</v>
      </c>
      <c r="AJ53" s="100">
        <f t="shared" si="29"/>
        <v>-0.15070464504684253</v>
      </c>
      <c r="AK53" s="100">
        <f t="shared" si="30"/>
        <v>-0.32518739656727902</v>
      </c>
      <c r="AL53" s="100">
        <f t="shared" si="31"/>
        <v>0.10741897410460362</v>
      </c>
    </row>
    <row r="54" spans="1:38" x14ac:dyDescent="0.25">
      <c r="A54" s="138" t="s">
        <v>1940</v>
      </c>
      <c r="B54" s="37">
        <f t="shared" si="28"/>
        <v>-4.3304605767964439</v>
      </c>
      <c r="C54" s="37">
        <f t="shared" si="28"/>
        <v>-4.2748969374314498</v>
      </c>
      <c r="D54" s="37">
        <f t="shared" si="28"/>
        <v>0.84401463554037903</v>
      </c>
      <c r="E54" s="37">
        <f t="shared" si="28"/>
        <v>-4.3380613906382592E-2</v>
      </c>
      <c r="F54" s="37">
        <f t="shared" si="28"/>
        <v>-0.59885599948194823</v>
      </c>
      <c r="G54" s="37">
        <f t="shared" si="28"/>
        <v>-1.4940837827949593</v>
      </c>
      <c r="H54" s="37">
        <f t="shared" si="28"/>
        <v>-0.62980191022773724</v>
      </c>
      <c r="I54" s="37">
        <f t="shared" si="28"/>
        <v>-3.0638859218173238</v>
      </c>
      <c r="J54" s="37">
        <f t="shared" si="28"/>
        <v>-9.7757922554676426</v>
      </c>
      <c r="K54" s="37">
        <f t="shared" si="28"/>
        <v>-5.7048975636415413</v>
      </c>
      <c r="L54" s="37">
        <f t="shared" si="28"/>
        <v>-3.4461657644682653</v>
      </c>
      <c r="M54" s="37">
        <f t="shared" si="28"/>
        <v>-7.0537894222691424</v>
      </c>
      <c r="N54" s="37">
        <f t="shared" si="28"/>
        <v>-6.9895691589690951</v>
      </c>
      <c r="O54" s="37">
        <f t="shared" si="28"/>
        <v>-3.2013850944656177</v>
      </c>
      <c r="P54" s="37">
        <f t="shared" si="28"/>
        <v>-5.194041875270095</v>
      </c>
      <c r="Q54" s="37">
        <f t="shared" si="28"/>
        <v>-4.5925320645297667</v>
      </c>
      <c r="R54" s="37">
        <f t="shared" si="28"/>
        <v>-7.3256340526641246</v>
      </c>
      <c r="S54" s="37">
        <f t="shared" si="28"/>
        <v>-4.8619413115875076</v>
      </c>
      <c r="T54" s="37">
        <f t="shared" si="28"/>
        <v>-3.6175142382551719</v>
      </c>
      <c r="U54" s="37">
        <f t="shared" si="28"/>
        <v>-5.6107211401667332</v>
      </c>
      <c r="V54" s="37">
        <f t="shared" si="28"/>
        <v>-4.488472315556713</v>
      </c>
      <c r="W54" s="37">
        <f t="shared" si="28"/>
        <v>-3.6420571007776026</v>
      </c>
      <c r="X54" s="37">
        <f t="shared" si="28"/>
        <v>-4.3637367322992446</v>
      </c>
      <c r="Y54" s="37">
        <f t="shared" si="28"/>
        <v>3.7814414120996744</v>
      </c>
      <c r="Z54" s="37">
        <f t="shared" si="28"/>
        <v>10.030650600486329</v>
      </c>
      <c r="AA54" s="37">
        <f t="shared" si="28"/>
        <v>5.4540821383435301</v>
      </c>
      <c r="AB54" s="37">
        <f t="shared" si="28"/>
        <v>3.3646341668423823</v>
      </c>
      <c r="AC54" s="37">
        <f t="shared" si="28"/>
        <v>3.7761639302708119</v>
      </c>
      <c r="AD54" s="37">
        <f t="shared" si="28"/>
        <v>9.092378349088591</v>
      </c>
      <c r="AE54" s="37">
        <f t="shared" si="28"/>
        <v>10.313941694922136</v>
      </c>
      <c r="AF54" s="37">
        <f t="shared" si="28"/>
        <v>5.924337627954408</v>
      </c>
      <c r="AG54" s="37">
        <f t="shared" si="28"/>
        <v>9.3458722245102344</v>
      </c>
      <c r="AH54" s="37">
        <f t="shared" si="28"/>
        <v>16.741550957675493</v>
      </c>
      <c r="AI54" s="37">
        <f t="shared" si="28"/>
        <v>15.634548095110464</v>
      </c>
      <c r="AJ54" s="100">
        <f t="shared" si="29"/>
        <v>0.47241055418996192</v>
      </c>
      <c r="AK54" s="100">
        <f t="shared" si="30"/>
        <v>-0.22394202740847008</v>
      </c>
      <c r="AL54" s="100">
        <f t="shared" si="31"/>
        <v>1.3998869933445459</v>
      </c>
    </row>
    <row r="55" spans="1:38" x14ac:dyDescent="0.25">
      <c r="A55" s="138" t="s">
        <v>1926</v>
      </c>
      <c r="B55" s="37">
        <f t="shared" si="28"/>
        <v>-0.19398243722037911</v>
      </c>
      <c r="C55" s="37">
        <f t="shared" si="28"/>
        <v>0.9361067297263812</v>
      </c>
      <c r="D55" s="37">
        <f t="shared" si="28"/>
        <v>1.7040374702536516</v>
      </c>
      <c r="E55" s="37">
        <f t="shared" si="28"/>
        <v>-0.2717006939457991</v>
      </c>
      <c r="F55" s="37">
        <f t="shared" si="28"/>
        <v>1.4309415383984141</v>
      </c>
      <c r="G55" s="37">
        <f t="shared" si="28"/>
        <v>1.1158364099207825</v>
      </c>
      <c r="H55" s="37">
        <f t="shared" si="28"/>
        <v>0.48629533547935311</v>
      </c>
      <c r="I55" s="37">
        <f t="shared" si="28"/>
        <v>0.46253472606111301</v>
      </c>
      <c r="J55" s="37">
        <f t="shared" si="28"/>
        <v>1.8478864017804066</v>
      </c>
      <c r="K55" s="37">
        <f t="shared" si="28"/>
        <v>1.3147085964582002</v>
      </c>
      <c r="L55" s="37">
        <f t="shared" si="28"/>
        <v>-0.47809282257921759</v>
      </c>
      <c r="M55" s="37">
        <f t="shared" si="28"/>
        <v>-0.37509929571355938</v>
      </c>
      <c r="N55" s="37">
        <f t="shared" si="28"/>
        <v>-0.42619484807911767</v>
      </c>
      <c r="O55" s="37">
        <f t="shared" si="28"/>
        <v>-0.77661438600837018</v>
      </c>
      <c r="P55" s="37">
        <f t="shared" si="28"/>
        <v>-0.61344119489774496</v>
      </c>
      <c r="Q55" s="37">
        <f t="shared" si="28"/>
        <v>-0.57864319259572294</v>
      </c>
      <c r="R55" s="37">
        <f t="shared" si="28"/>
        <v>-0.16623226393933022</v>
      </c>
      <c r="S55" s="37">
        <f t="shared" si="28"/>
        <v>-0.47706331852695083</v>
      </c>
      <c r="T55" s="37">
        <f t="shared" si="28"/>
        <v>-0.48356988609468377</v>
      </c>
      <c r="U55" s="37">
        <f t="shared" si="28"/>
        <v>-0.45421371139517386</v>
      </c>
      <c r="V55" s="37">
        <f t="shared" si="28"/>
        <v>-0.24552953086792528</v>
      </c>
      <c r="W55" s="37">
        <f t="shared" si="28"/>
        <v>-0.30761032552702006</v>
      </c>
      <c r="X55" s="37">
        <f t="shared" si="28"/>
        <v>-7.1214975299001448E-2</v>
      </c>
      <c r="Y55" s="37">
        <f t="shared" si="28"/>
        <v>-0.49563546575290707</v>
      </c>
      <c r="Z55" s="37">
        <f t="shared" si="28"/>
        <v>-0.59159609508618871</v>
      </c>
      <c r="AA55" s="37">
        <f t="shared" si="28"/>
        <v>-0.48920927258547042</v>
      </c>
      <c r="AB55" s="37">
        <f t="shared" si="28"/>
        <v>-0.20037991418323886</v>
      </c>
      <c r="AC55" s="37">
        <f t="shared" si="28"/>
        <v>-0.21700928062782365</v>
      </c>
      <c r="AD55" s="37">
        <f t="shared" si="28"/>
        <v>-0.32744592224639302</v>
      </c>
      <c r="AE55" s="37">
        <f t="shared" si="28"/>
        <v>-0.45262371412314362</v>
      </c>
      <c r="AF55" s="37">
        <f t="shared" si="28"/>
        <v>-0.12631319539369623</v>
      </c>
      <c r="AG55" s="37">
        <f t="shared" si="28"/>
        <v>-0.15686303567763826</v>
      </c>
      <c r="AH55" s="37">
        <f t="shared" si="28"/>
        <v>-0.2562815222859034</v>
      </c>
      <c r="AI55" s="37">
        <f t="shared" si="28"/>
        <v>-6.578690742590465E-2</v>
      </c>
      <c r="AJ55" s="100">
        <f t="shared" si="29"/>
        <v>-3.8209133429907463E-2</v>
      </c>
      <c r="AK55" s="100">
        <f t="shared" si="30"/>
        <v>-9.0104529200632277E-2</v>
      </c>
      <c r="AL55" s="100">
        <f t="shared" si="31"/>
        <v>1.2921355777787186E-2</v>
      </c>
    </row>
    <row r="56" spans="1:38" x14ac:dyDescent="0.25">
      <c r="A56" s="138" t="s">
        <v>1927</v>
      </c>
      <c r="B56" s="37">
        <f t="shared" si="28"/>
        <v>-3.03647682752482E-2</v>
      </c>
      <c r="C56" s="37">
        <f t="shared" si="28"/>
        <v>-1.736239624378455E-2</v>
      </c>
      <c r="D56" s="37">
        <f t="shared" si="28"/>
        <v>2.7201379195845754E-2</v>
      </c>
      <c r="E56" s="37">
        <f t="shared" si="28"/>
        <v>7.0942498581533786E-2</v>
      </c>
      <c r="F56" s="37">
        <f t="shared" si="28"/>
        <v>-4.7891451842080546E-2</v>
      </c>
      <c r="G56" s="37">
        <f t="shared" si="28"/>
        <v>-7.7539589024397726E-2</v>
      </c>
      <c r="H56" s="37">
        <f t="shared" si="28"/>
        <v>-6.0238177301974949E-2</v>
      </c>
      <c r="I56" s="37">
        <f t="shared" si="28"/>
        <v>-6.167581459589766E-2</v>
      </c>
      <c r="J56" s="37">
        <f t="shared" si="28"/>
        <v>7.0763879277591646E-3</v>
      </c>
      <c r="K56" s="37">
        <f t="shared" si="28"/>
        <v>-1.9379033884693975E-2</v>
      </c>
      <c r="L56" s="37">
        <f t="shared" si="28"/>
        <v>0.10435259447339329</v>
      </c>
      <c r="M56" s="37">
        <f t="shared" si="28"/>
        <v>3.8915473575609816E-2</v>
      </c>
      <c r="N56" s="37">
        <f t="shared" si="28"/>
        <v>1.6634130528517199E-2</v>
      </c>
      <c r="O56" s="37">
        <f t="shared" si="28"/>
        <v>3.2354167376388299E-2</v>
      </c>
      <c r="P56" s="37">
        <f t="shared" si="28"/>
        <v>0.12360665608505034</v>
      </c>
      <c r="Q56" s="37">
        <f t="shared" si="28"/>
        <v>0.1362600631587117</v>
      </c>
      <c r="R56" s="37">
        <f t="shared" si="28"/>
        <v>0.15331770124270128</v>
      </c>
      <c r="S56" s="37">
        <f t="shared" ref="S56:AL56" si="32">S11-S44</f>
        <v>4.1590141661425772E-2</v>
      </c>
      <c r="T56" s="37">
        <f t="shared" si="32"/>
        <v>3.7695050327461566E-2</v>
      </c>
      <c r="U56" s="37">
        <f t="shared" si="32"/>
        <v>9.7449041736641373E-3</v>
      </c>
      <c r="V56" s="37">
        <f t="shared" si="32"/>
        <v>3.9411186727391578E-2</v>
      </c>
      <c r="W56" s="37">
        <f t="shared" si="32"/>
        <v>8.242960502811908E-2</v>
      </c>
      <c r="X56" s="37">
        <f t="shared" si="32"/>
        <v>3.3555969581915313E-2</v>
      </c>
      <c r="Y56" s="37">
        <f t="shared" si="32"/>
        <v>-8.6806352084650873E-2</v>
      </c>
      <c r="Z56" s="37">
        <f t="shared" si="32"/>
        <v>-6.1890695027217335E-2</v>
      </c>
      <c r="AA56" s="37">
        <f t="shared" si="32"/>
        <v>-8.9844701897208334E-2</v>
      </c>
      <c r="AB56" s="37">
        <f t="shared" si="32"/>
        <v>-7.0113096490873661E-2</v>
      </c>
      <c r="AC56" s="37">
        <f t="shared" si="32"/>
        <v>-3.7313860169051249E-2</v>
      </c>
      <c r="AD56" s="37">
        <f t="shared" si="32"/>
        <v>-4.4807028453042019E-2</v>
      </c>
      <c r="AE56" s="37">
        <f t="shared" si="32"/>
        <v>-5.0039944797720948E-2</v>
      </c>
      <c r="AF56" s="37">
        <f t="shared" si="32"/>
        <v>-4.0548074862711836E-3</v>
      </c>
      <c r="AG56" s="37">
        <f t="shared" si="32"/>
        <v>-6.8560733135079488E-2</v>
      </c>
      <c r="AH56" s="37">
        <f t="shared" si="32"/>
        <v>-6.1509571033886545E-2</v>
      </c>
      <c r="AI56" s="37">
        <f t="shared" si="32"/>
        <v>-6.5695887902406269E-2</v>
      </c>
      <c r="AJ56" s="100">
        <f t="shared" si="29"/>
        <v>-1.7541338822927347E-3</v>
      </c>
      <c r="AK56" s="100">
        <f t="shared" si="30"/>
        <v>6.0749604018687205E-3</v>
      </c>
      <c r="AL56" s="100">
        <f t="shared" si="31"/>
        <v>-6.7304316732569808E-3</v>
      </c>
    </row>
    <row r="57" spans="1:38" ht="30" x14ac:dyDescent="0.25">
      <c r="A57" s="122" t="s">
        <v>2015</v>
      </c>
      <c r="B57">
        <v>1</v>
      </c>
      <c r="C57" s="37">
        <f>+B57+1</f>
        <v>2</v>
      </c>
      <c r="D57" s="37">
        <f t="shared" ref="D57:AI57" si="33">+C57+1</f>
        <v>3</v>
      </c>
      <c r="E57" s="37">
        <f t="shared" si="33"/>
        <v>4</v>
      </c>
      <c r="F57" s="37">
        <f t="shared" si="33"/>
        <v>5</v>
      </c>
      <c r="G57" s="37">
        <f t="shared" si="33"/>
        <v>6</v>
      </c>
      <c r="H57" s="37">
        <f t="shared" si="33"/>
        <v>7</v>
      </c>
      <c r="I57" s="37">
        <f t="shared" si="33"/>
        <v>8</v>
      </c>
      <c r="J57" s="37">
        <f t="shared" si="33"/>
        <v>9</v>
      </c>
      <c r="K57" s="37">
        <f t="shared" si="33"/>
        <v>10</v>
      </c>
      <c r="L57" s="37">
        <f t="shared" si="33"/>
        <v>11</v>
      </c>
      <c r="M57" s="37">
        <f t="shared" si="33"/>
        <v>12</v>
      </c>
      <c r="N57" s="37">
        <f t="shared" si="33"/>
        <v>13</v>
      </c>
      <c r="O57" s="37">
        <f t="shared" si="33"/>
        <v>14</v>
      </c>
      <c r="P57" s="37">
        <f t="shared" si="33"/>
        <v>15</v>
      </c>
      <c r="Q57" s="37">
        <f t="shared" si="33"/>
        <v>16</v>
      </c>
      <c r="R57" s="37">
        <f t="shared" si="33"/>
        <v>17</v>
      </c>
      <c r="S57" s="37">
        <f t="shared" si="33"/>
        <v>18</v>
      </c>
      <c r="T57" s="37">
        <f t="shared" si="33"/>
        <v>19</v>
      </c>
      <c r="U57" s="37">
        <f t="shared" si="33"/>
        <v>20</v>
      </c>
      <c r="V57" s="37">
        <f t="shared" si="33"/>
        <v>21</v>
      </c>
      <c r="W57" s="37">
        <f t="shared" si="33"/>
        <v>22</v>
      </c>
      <c r="X57" s="37">
        <f t="shared" si="33"/>
        <v>23</v>
      </c>
      <c r="Y57" s="37">
        <f t="shared" si="33"/>
        <v>24</v>
      </c>
      <c r="Z57" s="37">
        <f t="shared" si="33"/>
        <v>25</v>
      </c>
      <c r="AA57" s="37">
        <f t="shared" si="33"/>
        <v>26</v>
      </c>
      <c r="AB57" s="37">
        <f t="shared" si="33"/>
        <v>27</v>
      </c>
      <c r="AC57" s="37">
        <f t="shared" si="33"/>
        <v>28</v>
      </c>
      <c r="AD57" s="37">
        <f t="shared" si="33"/>
        <v>29</v>
      </c>
      <c r="AE57" s="37">
        <f t="shared" si="33"/>
        <v>30</v>
      </c>
      <c r="AF57" s="37">
        <f t="shared" si="33"/>
        <v>31</v>
      </c>
      <c r="AG57" s="37">
        <f t="shared" si="33"/>
        <v>32</v>
      </c>
      <c r="AH57" s="37">
        <f t="shared" si="33"/>
        <v>33</v>
      </c>
      <c r="AI57" s="37">
        <f t="shared" si="33"/>
        <v>34</v>
      </c>
      <c r="AK57" s="37"/>
    </row>
    <row r="60" spans="1:38" ht="15.75" thickBot="1" x14ac:dyDescent="0.3">
      <c r="A60" s="263" t="s">
        <v>2229</v>
      </c>
    </row>
    <row r="61" spans="1:38" x14ac:dyDescent="0.25">
      <c r="B61" s="101">
        <v>5.4029918486572228</v>
      </c>
      <c r="C61" s="103">
        <v>4.5228229539407057</v>
      </c>
      <c r="D61" s="103">
        <v>6.1983455467103985</v>
      </c>
      <c r="E61" s="103">
        <v>6.3617694551449189</v>
      </c>
      <c r="F61" s="103">
        <v>5.4902460675242688</v>
      </c>
      <c r="G61" s="103">
        <v>4.8083305710321991</v>
      </c>
      <c r="H61" s="103">
        <v>4.7613870758922374</v>
      </c>
      <c r="I61" s="103">
        <v>4.8463383639798963</v>
      </c>
      <c r="J61" s="103">
        <v>4.6464592213513232</v>
      </c>
      <c r="K61" s="103">
        <v>5.3356945217852427</v>
      </c>
      <c r="L61" s="103">
        <v>5.2142643450296333</v>
      </c>
      <c r="M61" s="103">
        <v>6.3077104169447518</v>
      </c>
      <c r="N61" s="103">
        <v>6.1681683456848448</v>
      </c>
      <c r="O61" s="103">
        <v>4.1408561850813221</v>
      </c>
      <c r="P61" s="103">
        <v>4.0150771427307745</v>
      </c>
      <c r="Q61" s="103">
        <v>4.2678692488388226</v>
      </c>
      <c r="R61" s="103">
        <v>4.0644835806137136</v>
      </c>
      <c r="S61" s="103">
        <v>3.9613641488613593</v>
      </c>
      <c r="T61" s="103">
        <v>3.6787495408304318</v>
      </c>
      <c r="U61" s="103">
        <v>2.9634075377400251</v>
      </c>
      <c r="V61" s="103">
        <v>3.4573603275871352</v>
      </c>
      <c r="W61" s="103">
        <v>3.6499889938515082</v>
      </c>
      <c r="X61" s="103">
        <v>3.161272181995046</v>
      </c>
      <c r="Y61" s="103">
        <v>3.3348772974235161</v>
      </c>
      <c r="Z61" s="103">
        <v>3.2325052712513571</v>
      </c>
      <c r="AA61" s="103">
        <v>3.2415437997505472</v>
      </c>
      <c r="AB61" s="103">
        <v>3.1253277558171089</v>
      </c>
      <c r="AC61" s="103">
        <v>3.2402989292975919</v>
      </c>
      <c r="AD61" s="103">
        <v>3.2104718469933418</v>
      </c>
      <c r="AE61" s="103">
        <v>3.2576214499376914</v>
      </c>
      <c r="AF61" s="103">
        <v>3.0524355227076456</v>
      </c>
      <c r="AG61" s="103">
        <v>3.2261720807727956</v>
      </c>
      <c r="AH61" s="104">
        <v>3.3479002685233925</v>
      </c>
    </row>
    <row r="62" spans="1:38" x14ac:dyDescent="0.25">
      <c r="A62" t="s">
        <v>2167</v>
      </c>
      <c r="B62" s="102">
        <f>ABS(B61-B4)</f>
        <v>0.24776001073028286</v>
      </c>
      <c r="C62" s="102">
        <f t="shared" ref="C62:AH62" si="34">ABS(C61-C4)</f>
        <v>4.6435458361072435E-2</v>
      </c>
      <c r="D62" s="102">
        <f t="shared" si="34"/>
        <v>0.12592456502949823</v>
      </c>
      <c r="E62" s="102">
        <f t="shared" si="34"/>
        <v>2.9208440681145476E-3</v>
      </c>
      <c r="F62" s="102">
        <f t="shared" si="34"/>
        <v>0.1122559829730978</v>
      </c>
      <c r="G62" s="102">
        <f t="shared" si="34"/>
        <v>0.15002054076056126</v>
      </c>
      <c r="H62" s="102">
        <f t="shared" si="34"/>
        <v>0.20485788126740268</v>
      </c>
      <c r="I62" s="102">
        <f t="shared" si="34"/>
        <v>0.19165100506563082</v>
      </c>
      <c r="J62" s="102">
        <f t="shared" si="34"/>
        <v>0.24855255423264389</v>
      </c>
      <c r="K62" s="102">
        <f t="shared" si="34"/>
        <v>8.86255546904966E-2</v>
      </c>
      <c r="L62" s="102">
        <f t="shared" si="34"/>
        <v>8.3133843476600688E-2</v>
      </c>
      <c r="M62" s="102">
        <f t="shared" si="34"/>
        <v>0.25423932296403517</v>
      </c>
      <c r="N62" s="102">
        <f t="shared" si="34"/>
        <v>0.26663529331280866</v>
      </c>
      <c r="O62" s="102">
        <f t="shared" si="34"/>
        <v>4.1384894230195535E-2</v>
      </c>
      <c r="P62" s="102">
        <f t="shared" si="34"/>
        <v>8.8762646235320819E-2</v>
      </c>
      <c r="Q62" s="102">
        <f t="shared" si="34"/>
        <v>3.124950529244952E-2</v>
      </c>
      <c r="R62" s="102">
        <f t="shared" si="34"/>
        <v>0.1369730481563467</v>
      </c>
      <c r="S62" s="102">
        <f t="shared" si="34"/>
        <v>0.11583085664827397</v>
      </c>
      <c r="T62" s="102">
        <f t="shared" si="34"/>
        <v>7.6042695484911604E-2</v>
      </c>
      <c r="U62" s="102">
        <f t="shared" si="34"/>
        <v>1.2314514264358145E-2</v>
      </c>
      <c r="V62" s="102">
        <f t="shared" si="34"/>
        <v>9.4676413312321017E-2</v>
      </c>
      <c r="W62" s="102">
        <f t="shared" si="34"/>
        <v>6.7669460298143136E-3</v>
      </c>
      <c r="X62" s="102">
        <f t="shared" si="34"/>
        <v>2.6756624380799288E-2</v>
      </c>
      <c r="Y62" s="102">
        <f t="shared" si="34"/>
        <v>9.5670378807495737E-2</v>
      </c>
      <c r="Z62" s="102">
        <f t="shared" si="34"/>
        <v>7.2924075940230093E-2</v>
      </c>
      <c r="AA62" s="102">
        <f t="shared" si="34"/>
        <v>5.556193173544699E-2</v>
      </c>
      <c r="AB62" s="102">
        <f t="shared" si="34"/>
        <v>5.415307142267789E-2</v>
      </c>
      <c r="AC62" s="102">
        <f t="shared" si="34"/>
        <v>6.2051495672195145E-2</v>
      </c>
      <c r="AD62" s="102">
        <f t="shared" si="34"/>
        <v>7.6756872659778708E-2</v>
      </c>
      <c r="AE62" s="102">
        <f t="shared" si="34"/>
        <v>8.0080742351315237E-2</v>
      </c>
      <c r="AF62" s="102">
        <f t="shared" si="34"/>
        <v>8.716766335235393E-2</v>
      </c>
      <c r="AG62" s="102">
        <f t="shared" si="34"/>
        <v>8.2152375733870464E-2</v>
      </c>
      <c r="AH62" s="102">
        <f t="shared" si="34"/>
        <v>1.9984797130059295E-2</v>
      </c>
    </row>
    <row r="63" spans="1:38" x14ac:dyDescent="0.25">
      <c r="B63" s="102">
        <f>AVERAGE(B62:AH62)</f>
        <v>0.10122043653855939</v>
      </c>
    </row>
    <row r="64" spans="1:38" x14ac:dyDescent="0.25">
      <c r="B64" s="102">
        <f>MAX(B62:AH62)</f>
        <v>0.26663529331280866</v>
      </c>
    </row>
  </sheetData>
  <mergeCells count="2">
    <mergeCell ref="AJ1:AL1"/>
    <mergeCell ref="AJ46:AL4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FE314-C1DC-41D2-AF79-5F67C68CCE99}">
  <dimension ref="A1:BA120"/>
  <sheetViews>
    <sheetView topLeftCell="S1" workbookViewId="0">
      <selection activeCell="AI5" activeCellId="1" sqref="V5 AI5"/>
    </sheetView>
    <sheetView workbookViewId="1"/>
  </sheetViews>
  <sheetFormatPr defaultRowHeight="15" x14ac:dyDescent="0.25"/>
  <cols>
    <col min="1" max="1" width="28.140625" customWidth="1"/>
    <col min="9" max="9" width="10.28515625" customWidth="1"/>
    <col min="10" max="10" width="10" customWidth="1"/>
  </cols>
  <sheetData>
    <row r="1" spans="1:53" x14ac:dyDescent="0.25">
      <c r="A1" t="s">
        <v>2199</v>
      </c>
      <c r="AJ1" s="252" t="s">
        <v>2020</v>
      </c>
      <c r="AK1" s="252"/>
      <c r="AL1" s="252"/>
      <c r="AS1" t="s">
        <v>2180</v>
      </c>
      <c r="AY1" t="s">
        <v>2186</v>
      </c>
    </row>
    <row r="2" spans="1:53" x14ac:dyDescent="0.25">
      <c r="A2" s="187" t="s">
        <v>1786</v>
      </c>
      <c r="B2" s="187" t="s">
        <v>1821</v>
      </c>
      <c r="C2" s="187" t="s">
        <v>1822</v>
      </c>
      <c r="D2" s="187" t="s">
        <v>1823</v>
      </c>
      <c r="E2" s="187" t="s">
        <v>1824</v>
      </c>
      <c r="F2" s="187" t="s">
        <v>1825</v>
      </c>
      <c r="G2" s="187" t="s">
        <v>1826</v>
      </c>
      <c r="H2" s="187" t="s">
        <v>1827</v>
      </c>
      <c r="I2" s="187" t="s">
        <v>1828</v>
      </c>
      <c r="J2" s="187" t="s">
        <v>1829</v>
      </c>
      <c r="K2" s="187" t="s">
        <v>1830</v>
      </c>
      <c r="L2" s="187" t="s">
        <v>1831</v>
      </c>
      <c r="M2" s="187" t="s">
        <v>1832</v>
      </c>
      <c r="N2" s="187" t="s">
        <v>1833</v>
      </c>
      <c r="O2" s="187" t="s">
        <v>1834</v>
      </c>
      <c r="P2" s="187" t="s">
        <v>1835</v>
      </c>
      <c r="Q2" s="187" t="s">
        <v>1836</v>
      </c>
      <c r="R2" s="187" t="s">
        <v>1837</v>
      </c>
      <c r="S2" s="187" t="s">
        <v>1838</v>
      </c>
      <c r="T2" s="187" t="s">
        <v>1839</v>
      </c>
      <c r="U2" s="187" t="s">
        <v>1840</v>
      </c>
      <c r="V2" s="187" t="s">
        <v>1841</v>
      </c>
      <c r="W2" s="187" t="s">
        <v>1842</v>
      </c>
      <c r="X2" s="187" t="s">
        <v>1843</v>
      </c>
      <c r="Y2" s="187" t="s">
        <v>1844</v>
      </c>
      <c r="Z2" s="187" t="s">
        <v>1845</v>
      </c>
      <c r="AA2" s="187" t="s">
        <v>1846</v>
      </c>
      <c r="AB2" s="187" t="s">
        <v>1847</v>
      </c>
      <c r="AC2" s="187" t="s">
        <v>1848</v>
      </c>
      <c r="AD2" s="187" t="s">
        <v>1849</v>
      </c>
      <c r="AE2" s="187" t="s">
        <v>1850</v>
      </c>
      <c r="AF2" s="187" t="s">
        <v>1851</v>
      </c>
      <c r="AG2" s="187" t="s">
        <v>1852</v>
      </c>
      <c r="AH2" s="187" t="s">
        <v>1853</v>
      </c>
      <c r="AI2" s="187" t="s">
        <v>1854</v>
      </c>
      <c r="AJ2" s="116" t="s">
        <v>2017</v>
      </c>
      <c r="AK2" s="116" t="s">
        <v>2018</v>
      </c>
      <c r="AL2" s="154" t="s">
        <v>2019</v>
      </c>
      <c r="AM2" s="116" t="s">
        <v>1954</v>
      </c>
      <c r="AN2" s="116" t="s">
        <v>1955</v>
      </c>
      <c r="AO2" s="116" t="s">
        <v>1956</v>
      </c>
      <c r="AP2" s="110" t="s">
        <v>1957</v>
      </c>
      <c r="AQ2" s="116" t="s">
        <v>2010</v>
      </c>
      <c r="AS2" s="239" t="s">
        <v>2184</v>
      </c>
      <c r="AT2" s="239" t="s">
        <v>2185</v>
      </c>
      <c r="AU2" s="239" t="s">
        <v>1984</v>
      </c>
      <c r="AV2" s="239" t="s">
        <v>2181</v>
      </c>
      <c r="AW2" s="239" t="s">
        <v>2182</v>
      </c>
      <c r="AX2" s="239" t="s">
        <v>2183</v>
      </c>
      <c r="AY2" s="239" t="s">
        <v>2184</v>
      </c>
      <c r="AZ2" s="239" t="s">
        <v>2182</v>
      </c>
      <c r="BA2" s="239" t="s">
        <v>2183</v>
      </c>
    </row>
    <row r="3" spans="1:53" x14ac:dyDescent="0.25">
      <c r="A3" s="188" t="s">
        <v>1922</v>
      </c>
      <c r="B3" s="189">
        <f>'NE RES Emit'!B3+'NE C Emit'!B3+'NE I emit'!B3</f>
        <v>14.702961371040139</v>
      </c>
      <c r="C3" s="189">
        <f>'NE RES Emit'!C3+'NE C Emit'!C3+'NE I emit'!C3</f>
        <v>14.416885523652478</v>
      </c>
      <c r="D3" s="189">
        <f>'NE RES Emit'!D3+'NE C Emit'!D3+'NE I emit'!D3</f>
        <v>16.753263653038292</v>
      </c>
      <c r="E3" s="189">
        <f>'NE RES Emit'!E3+'NE C Emit'!E3+'NE I emit'!E3</f>
        <v>15.918023730570205</v>
      </c>
      <c r="F3" s="189">
        <f>'NE RES Emit'!F3+'NE C Emit'!F3+'NE I emit'!F3</f>
        <v>15.429458344558645</v>
      </c>
      <c r="G3" s="189">
        <f>'NE RES Emit'!G3+'NE C Emit'!G3+'NE I emit'!G3</f>
        <v>14.253723525922833</v>
      </c>
      <c r="H3" s="189">
        <f>'NE RES Emit'!H3+'NE C Emit'!H3+'NE I emit'!H3</f>
        <v>15.114449239368014</v>
      </c>
      <c r="I3" s="189">
        <f>'NE RES Emit'!I3+'NE C Emit'!I3+'NE I emit'!I3</f>
        <v>14.912077172789569</v>
      </c>
      <c r="J3" s="189">
        <f>'NE RES Emit'!J3+'NE C Emit'!J3+'NE I emit'!J3</f>
        <v>13.43383198120546</v>
      </c>
      <c r="K3" s="189">
        <f>'NE RES Emit'!K3+'NE C Emit'!K3+'NE I emit'!K3</f>
        <v>14.641167070143899</v>
      </c>
      <c r="L3" s="189">
        <f>'NE RES Emit'!L3+'NE C Emit'!L3+'NE I emit'!L3</f>
        <v>15.759694226583118</v>
      </c>
      <c r="M3" s="189">
        <f>'NE RES Emit'!M3+'NE C Emit'!M3+'NE I emit'!M3</f>
        <v>15.208664066279788</v>
      </c>
      <c r="N3" s="189">
        <f>'NE RES Emit'!N3+'NE C Emit'!N3+'NE I emit'!N3</f>
        <v>14.594987338769785</v>
      </c>
      <c r="O3" s="189">
        <f>'NE RES Emit'!O3+'NE C Emit'!O3+'NE I emit'!O3</f>
        <v>17.467205331736452</v>
      </c>
      <c r="P3" s="189">
        <f>'NE RES Emit'!P3+'NE C Emit'!P3+'NE I emit'!P3</f>
        <v>16.764748138679785</v>
      </c>
      <c r="Q3" s="189">
        <f>'NE RES Emit'!Q3+'NE C Emit'!Q3+'NE I emit'!Q3</f>
        <v>15.853815090438012</v>
      </c>
      <c r="R3" s="189">
        <f>'NE RES Emit'!R3+'NE C Emit'!R3+'NE I emit'!R3</f>
        <v>14.086550274495671</v>
      </c>
      <c r="S3" s="189">
        <f>'NE RES Emit'!S3+'NE C Emit'!S3+'NE I emit'!S3</f>
        <v>14.057381723435673</v>
      </c>
      <c r="T3" s="189">
        <f>'NE RES Emit'!T3+'NE C Emit'!T3+'NE I emit'!T3</f>
        <v>13.333202023386665</v>
      </c>
      <c r="U3" s="189">
        <f>'NE RES Emit'!U3+'NE C Emit'!U3+'NE I emit'!U3</f>
        <v>13.427268570576665</v>
      </c>
      <c r="V3" s="189">
        <f>'NE RES Emit'!V3+'NE C Emit'!V3+'NE I emit'!V3</f>
        <v>12.856381598059997</v>
      </c>
      <c r="W3" s="189">
        <f>'NE RES Emit'!W3+'NE C Emit'!W3+'NE I emit'!W3</f>
        <v>12.84073521192</v>
      </c>
      <c r="X3" s="189">
        <f>'NE RES Emit'!X3+'NE C Emit'!X3+'NE I emit'!X3</f>
        <v>11.809739457376665</v>
      </c>
      <c r="Y3" s="189">
        <f>'NE RES Emit'!Y3+'NE C Emit'!Y3+'NE I emit'!Y3</f>
        <v>13.01305232931</v>
      </c>
      <c r="Z3" s="189">
        <f>'NE RES Emit'!Z3+'NE C Emit'!Z3+'NE I emit'!Z3</f>
        <v>13.379571003956665</v>
      </c>
      <c r="AA3" s="189">
        <f>'NE RES Emit'!AA3+'NE C Emit'!AA3+'NE I emit'!AA3</f>
        <v>13.945489885396665</v>
      </c>
      <c r="AB3" s="189">
        <f>'NE RES Emit'!AB3+'NE C Emit'!AB3+'NE I emit'!AB3</f>
        <v>11.997108215583332</v>
      </c>
      <c r="AC3" s="189">
        <f>'NE RES Emit'!AC3+'NE C Emit'!AC3+'NE I emit'!AC3</f>
        <v>12.255551228176666</v>
      </c>
      <c r="AD3" s="189">
        <f>'NE RES Emit'!AD3+'NE C Emit'!AD3+'NE I emit'!AD3</f>
        <v>13.647668680543333</v>
      </c>
      <c r="AE3" s="189">
        <f>'NE RES Emit'!AE3+'NE C Emit'!AE3+'NE I emit'!AE3</f>
        <v>13.316544123373331</v>
      </c>
      <c r="AF3" s="189">
        <f>'NE RES Emit'!AF3+'NE C Emit'!AF3+'NE I emit'!AF3</f>
        <v>12.148556582249999</v>
      </c>
      <c r="AG3" s="189">
        <f>'NE RES Emit'!AG3+'NE C Emit'!AG3+'NE I emit'!AG3</f>
        <v>13.046780318733335</v>
      </c>
      <c r="AH3" s="189">
        <f>'NE RES Emit'!AH3+'NE C Emit'!AH3+'NE I emit'!AH3</f>
        <v>13.006554666379998</v>
      </c>
      <c r="AI3" s="189">
        <f>'NE RES Emit'!AI3+'NE C Emit'!AI3+'NE I emit'!AI3</f>
        <v>12.688904611643332</v>
      </c>
      <c r="AJ3" s="100">
        <f>SLOPE(B3:AI3,B$57:AI$57)</f>
        <v>-0.10042686899686554</v>
      </c>
      <c r="AK3" s="100">
        <f>SLOPE(B3:U3,B$57:U$57)</f>
        <v>-4.3845228555417386E-2</v>
      </c>
      <c r="AL3" s="100">
        <f>SLOPE(V3:AI3,V$57:AI$57)</f>
        <v>8.3045180078022609E-3</v>
      </c>
      <c r="AM3">
        <f t="shared" ref="AM3:AM11" si="0">MIN(B3:AI3)</f>
        <v>11.809739457376665</v>
      </c>
      <c r="AN3" s="113">
        <f t="shared" ref="AN3:AN11" si="1">AI3/AM3-1</f>
        <v>7.4444077063657632E-2</v>
      </c>
      <c r="AO3">
        <f t="shared" ref="AO3:AO11" si="2">MAX(B3:AI3)</f>
        <v>17.467205331736452</v>
      </c>
      <c r="AP3" s="149">
        <f t="shared" ref="AP3:AP11" si="3">AM3/AO3-1</f>
        <v>-0.32389072933611451</v>
      </c>
      <c r="AQ3">
        <f>CORREL(B3:AI3,'NE HDD'!B3:AI3)</f>
        <v>0.71905663134287701</v>
      </c>
      <c r="AR3" s="113">
        <f>+AL3/AVERAGE(V3:AI3)</f>
        <v>6.4607695367951219E-4</v>
      </c>
      <c r="AS3">
        <f>INDEX(LINEST(V3:AI3,V$57:AI$57,TRUE,TRUE),1,1)</f>
        <v>8.3045180078022626E-3</v>
      </c>
      <c r="AT3">
        <f>INDEX(LINEST(V3:AI3,V$57:AI$57,TRUE,TRUE),2,1)</f>
        <v>4.3177161390360035E-2</v>
      </c>
      <c r="AU3">
        <f>INDEX(LINEST(V3:AI3,V$57:AI$57,TRUE,TRUE),4,2)</f>
        <v>12</v>
      </c>
      <c r="AV3">
        <f>_xlfn.T.INV.2T(0.05,AU3)</f>
        <v>2.1788128296672284</v>
      </c>
      <c r="AW3">
        <f>+AS3-AV3*AT3</f>
        <v>-8.5770435178126686E-2</v>
      </c>
      <c r="AX3">
        <f>AS3+AT3*AV3</f>
        <v>0.10237947119373123</v>
      </c>
      <c r="AY3">
        <f>AS3/AVERAGE(V3:AI3)</f>
        <v>6.460769536795123E-4</v>
      </c>
      <c r="AZ3">
        <f t="shared" ref="AZ3:AZ11" si="4">AW3/AVERAGE(V3:AI3)</f>
        <v>-6.6727896096543246E-3</v>
      </c>
      <c r="BA3">
        <f t="shared" ref="BA3:BA11" si="5">AX3/AVERAGE(V3:AI3)</f>
        <v>7.9649435170133509E-3</v>
      </c>
    </row>
    <row r="4" spans="1:53" x14ac:dyDescent="0.25">
      <c r="A4" s="188" t="s">
        <v>1788</v>
      </c>
      <c r="B4" s="189">
        <f>'NE RES Emit'!B4+'NE C Emit'!B4+'NE I emit'!B4</f>
        <v>28.383590682552743</v>
      </c>
      <c r="C4" s="189">
        <f>'NE RES Emit'!C4+'NE C Emit'!C4+'NE I emit'!C4</f>
        <v>27.744719076980694</v>
      </c>
      <c r="D4" s="189">
        <f>'NE RES Emit'!D4+'NE C Emit'!D4+'NE I emit'!D4</f>
        <v>31.11755538435947</v>
      </c>
      <c r="E4" s="189">
        <f>'NE RES Emit'!E4+'NE C Emit'!E4+'NE I emit'!E4</f>
        <v>30.611087658094018</v>
      </c>
      <c r="F4" s="189">
        <f>'NE RES Emit'!F4+'NE C Emit'!F4+'NE I emit'!F4</f>
        <v>30.781156099964527</v>
      </c>
      <c r="G4" s="189">
        <f>'NE RES Emit'!G4+'NE C Emit'!G4+'NE I emit'!G4</f>
        <v>28.605230065070486</v>
      </c>
      <c r="H4" s="189">
        <f>'NE RES Emit'!H4+'NE C Emit'!H4+'NE I emit'!H4</f>
        <v>28.514344541462044</v>
      </c>
      <c r="I4" s="189">
        <f>'NE RES Emit'!I4+'NE C Emit'!I4+'NE I emit'!I4</f>
        <v>28.896679381658146</v>
      </c>
      <c r="J4" s="189">
        <f>'NE RES Emit'!J4+'NE C Emit'!J4+'NE I emit'!J4</f>
        <v>26.226459958340911</v>
      </c>
      <c r="K4" s="189">
        <f>'NE RES Emit'!K4+'NE C Emit'!K4+'NE I emit'!K4</f>
        <v>25.234648316224593</v>
      </c>
      <c r="L4" s="189">
        <f>'NE RES Emit'!L4+'NE C Emit'!L4+'NE I emit'!L4</f>
        <v>27.433809435115379</v>
      </c>
      <c r="M4" s="189">
        <f>'NE RES Emit'!M4+'NE C Emit'!M4+'NE I emit'!M4</f>
        <v>28.037946627114597</v>
      </c>
      <c r="N4" s="189">
        <f>'NE RES Emit'!N4+'NE C Emit'!N4+'NE I emit'!N4</f>
        <v>27.870155030586293</v>
      </c>
      <c r="O4" s="189">
        <f>'NE RES Emit'!O4+'NE C Emit'!O4+'NE I emit'!O4</f>
        <v>27.387757543254242</v>
      </c>
      <c r="P4" s="189">
        <f>'NE RES Emit'!P4+'NE C Emit'!P4+'NE I emit'!P4</f>
        <v>25.279418243363533</v>
      </c>
      <c r="Q4" s="189">
        <f>'NE RES Emit'!Q4+'NE C Emit'!Q4+'NE I emit'!Q4</f>
        <v>25.771971442713248</v>
      </c>
      <c r="R4" s="189">
        <f>'NE RES Emit'!R4+'NE C Emit'!R4+'NE I emit'!R4</f>
        <v>22.138875503042541</v>
      </c>
      <c r="S4" s="189">
        <f>'NE RES Emit'!S4+'NE C Emit'!S4+'NE I emit'!S4</f>
        <v>23.038410774564237</v>
      </c>
      <c r="T4" s="189">
        <f>'NE RES Emit'!T4+'NE C Emit'!T4+'NE I emit'!T4</f>
        <v>23.801044590828852</v>
      </c>
      <c r="U4" s="189">
        <f>'NE RES Emit'!U4+'NE C Emit'!U4+'NE I emit'!U4</f>
        <v>22.617949794539001</v>
      </c>
      <c r="V4" s="189">
        <f>'NE RES Emit'!V4+'NE C Emit'!V4+'NE I emit'!V4</f>
        <v>23.652402149911477</v>
      </c>
      <c r="W4" s="189">
        <f>'NE RES Emit'!W4+'NE C Emit'!W4+'NE I emit'!W4</f>
        <v>23.662873643648361</v>
      </c>
      <c r="X4" s="189">
        <f>'NE RES Emit'!X4+'NE C Emit'!X4+'NE I emit'!X4</f>
        <v>20.178316471644244</v>
      </c>
      <c r="Y4" s="189">
        <f>'NE RES Emit'!Y4+'NE C Emit'!Y4+'NE I emit'!Y4</f>
        <v>22.374822097589352</v>
      </c>
      <c r="Z4" s="189">
        <f>'NE RES Emit'!Z4+'NE C Emit'!Z4+'NE I emit'!Z4</f>
        <v>24.094616114314459</v>
      </c>
      <c r="AA4" s="189">
        <f>'NE RES Emit'!AA4+'NE C Emit'!AA4+'NE I emit'!AA4</f>
        <v>24.4320682837451</v>
      </c>
      <c r="AB4" s="189">
        <f>'NE RES Emit'!AB4+'NE C Emit'!AB4+'NE I emit'!AB4</f>
        <v>21.656570510929782</v>
      </c>
      <c r="AC4" s="189">
        <f>'NE RES Emit'!AC4+'NE C Emit'!AC4+'NE I emit'!AC4</f>
        <v>23.103039942186456</v>
      </c>
      <c r="AD4" s="189">
        <f>'NE RES Emit'!AD4+'NE C Emit'!AD4+'NE I emit'!AD4</f>
        <v>24.604626339083122</v>
      </c>
      <c r="AE4" s="189">
        <f>'NE RES Emit'!AE4+'NE C Emit'!AE4+'NE I emit'!AE4</f>
        <v>25.146047788322342</v>
      </c>
      <c r="AF4" s="189">
        <f>'NE RES Emit'!AF4+'NE C Emit'!AF4+'NE I emit'!AF4</f>
        <v>22.669326745340001</v>
      </c>
      <c r="AG4" s="189">
        <f>'NE RES Emit'!AG4+'NE C Emit'!AG4+'NE I emit'!AG4</f>
        <v>23.32972546245</v>
      </c>
      <c r="AH4" s="189">
        <f>'NE RES Emit'!AH4+'NE C Emit'!AH4+'NE I emit'!AH4</f>
        <v>24.502159227186667</v>
      </c>
      <c r="AI4" s="189">
        <f>'NE RES Emit'!AI4+'NE C Emit'!AI4+'NE I emit'!AI4</f>
        <v>22.460570627073334</v>
      </c>
      <c r="AJ4" s="100">
        <f t="shared" ref="AJ4:AJ11" si="6">SLOPE(B4:AI4,B$57:AI$57)</f>
        <v>-0.22956550107417054</v>
      </c>
      <c r="AK4" s="100">
        <f t="shared" ref="AK4:AK11" si="7">SLOPE(B4:U4,B$57:U$57)</f>
        <v>-0.37468723123471337</v>
      </c>
      <c r="AL4" s="238">
        <f t="shared" ref="AL4:AL11" si="8">SLOPE(V4:AI4,V$57:AI$57)</f>
        <v>6.8975488001850563E-2</v>
      </c>
      <c r="AM4">
        <f t="shared" si="0"/>
        <v>20.178316471644244</v>
      </c>
      <c r="AN4" s="113">
        <f t="shared" si="1"/>
        <v>0.11310428987652399</v>
      </c>
      <c r="AO4">
        <f t="shared" si="2"/>
        <v>31.11755538435947</v>
      </c>
      <c r="AP4" s="149">
        <f t="shared" si="3"/>
        <v>-0.35154557540254538</v>
      </c>
      <c r="AQ4">
        <f>CORREL(B4:AI4,'NE HDD'!B4:AI4)</f>
        <v>0.6133423403746775</v>
      </c>
      <c r="AR4" s="113">
        <f t="shared" ref="AR4:AR10" si="9">+AL4/AVERAGE(V4:AI4)</f>
        <v>2.9633449900680281E-3</v>
      </c>
      <c r="AS4">
        <f t="shared" ref="AS4:AS11" si="10">INDEX(LINEST(V4:AI4,V$57:AI$57,TRUE,TRUE),1,1)</f>
        <v>6.8975488001850591E-2</v>
      </c>
      <c r="AT4">
        <f t="shared" ref="AT4:AT11" si="11">INDEX(LINEST(V4:AI4,V$57:AI$57,TRUE,TRUE),2,1)</f>
        <v>8.9927740989167823E-2</v>
      </c>
      <c r="AU4">
        <f t="shared" ref="AU4:AU11" si="12">INDEX(LINEST(V4:AI4,V$57:AI$57,TRUE,TRUE),4,2)</f>
        <v>12</v>
      </c>
      <c r="AV4">
        <f t="shared" ref="AV4:AV11" si="13">_xlfn.T.INV.2T(0.05,AU4)</f>
        <v>2.1788128296672284</v>
      </c>
      <c r="AW4">
        <f t="shared" ref="AW4:AW11" si="14">+AS4-AV4*AT4</f>
        <v>-0.12696022780833977</v>
      </c>
      <c r="AX4">
        <f t="shared" ref="AX4:AX11" si="15">AS4+AT4*AV4</f>
        <v>0.26491120381204092</v>
      </c>
      <c r="AY4">
        <f t="shared" ref="AY4:AY11" si="16">AS4/AVERAGE(V4:AI4)</f>
        <v>2.9633449900680294E-3</v>
      </c>
      <c r="AZ4">
        <f t="shared" si="4"/>
        <v>-5.454502257434486E-3</v>
      </c>
      <c r="BA4">
        <f t="shared" si="5"/>
        <v>1.1381192237570543E-2</v>
      </c>
    </row>
    <row r="5" spans="1:53" x14ac:dyDescent="0.25">
      <c r="A5" s="188" t="s">
        <v>1923</v>
      </c>
      <c r="B5" s="189">
        <f>'NE RES Emit'!B5+'NE C Emit'!B5+'NE I emit'!B5</f>
        <v>7.9623113765767002</v>
      </c>
      <c r="C5" s="189">
        <f>'NE RES Emit'!C5+'NE C Emit'!C5+'NE I emit'!C5</f>
        <v>8.2912620142350519</v>
      </c>
      <c r="D5" s="189">
        <f>'NE RES Emit'!D5+'NE C Emit'!D5+'NE I emit'!D5</f>
        <v>8.1126797267143456</v>
      </c>
      <c r="E5" s="189">
        <f>'NE RES Emit'!E5+'NE C Emit'!E5+'NE I emit'!E5</f>
        <v>8.8588317081735539</v>
      </c>
      <c r="F5" s="189">
        <f>'NE RES Emit'!F5+'NE C Emit'!F5+'NE I emit'!F5</f>
        <v>10.16397833324192</v>
      </c>
      <c r="G5" s="189">
        <f>'NE RES Emit'!G5+'NE C Emit'!G5+'NE I emit'!G5</f>
        <v>9.6708776107499581</v>
      </c>
      <c r="H5" s="189">
        <f>'NE RES Emit'!H5+'NE C Emit'!H5+'NE I emit'!H5</f>
        <v>10.182289106212519</v>
      </c>
      <c r="I5" s="189">
        <f>'NE RES Emit'!I5+'NE C Emit'!I5+'NE I emit'!I5</f>
        <v>9.4750853125146541</v>
      </c>
      <c r="J5" s="189">
        <f>'NE RES Emit'!J5+'NE C Emit'!J5+'NE I emit'!J5</f>
        <v>9.278159559806646</v>
      </c>
      <c r="K5" s="189">
        <f>'NE RES Emit'!K5+'NE C Emit'!K5+'NE I emit'!K5</f>
        <v>8.7092545043635994</v>
      </c>
      <c r="L5" s="189">
        <f>'NE RES Emit'!L5+'NE C Emit'!L5+'NE I emit'!L5</f>
        <v>9.4361753427431587</v>
      </c>
      <c r="M5" s="189">
        <f>'NE RES Emit'!M5+'NE C Emit'!M5+'NE I emit'!M5</f>
        <v>8.5847758125923939</v>
      </c>
      <c r="N5" s="189">
        <f>'NE RES Emit'!N5+'NE C Emit'!N5+'NE I emit'!N5</f>
        <v>9.0426359478935314</v>
      </c>
      <c r="O5" s="189">
        <f>'NE RES Emit'!O5+'NE C Emit'!O5+'NE I emit'!O5</f>
        <v>9.187566590054379</v>
      </c>
      <c r="P5" s="189">
        <f>'NE RES Emit'!P5+'NE C Emit'!P5+'NE I emit'!P5</f>
        <v>10.470712533588705</v>
      </c>
      <c r="Q5" s="189">
        <f>'NE RES Emit'!Q5+'NE C Emit'!Q5+'NE I emit'!Q5</f>
        <v>9.5688595746047334</v>
      </c>
      <c r="R5" s="189">
        <f>'NE RES Emit'!R5+'NE C Emit'!R5+'NE I emit'!R5</f>
        <v>8.87919600336736</v>
      </c>
      <c r="S5" s="189">
        <f>'NE RES Emit'!S5+'NE C Emit'!S5+'NE I emit'!S5</f>
        <v>9.0754445505722519</v>
      </c>
      <c r="T5" s="189">
        <f>'NE RES Emit'!T5+'NE C Emit'!T5+'NE I emit'!T5</f>
        <v>8.1831517156913325</v>
      </c>
      <c r="U5" s="189">
        <f>'NE RES Emit'!U5+'NE C Emit'!U5+'NE I emit'!U5</f>
        <v>7.5251872352108453</v>
      </c>
      <c r="V5" s="189">
        <f>'NE RES Emit'!V5+'NE C Emit'!V5+'NE I emit'!V5</f>
        <v>7.0500709274231852</v>
      </c>
      <c r="W5" s="189">
        <f>'NE RES Emit'!W5+'NE C Emit'!W5+'NE I emit'!W5</f>
        <v>7.1678599933512723</v>
      </c>
      <c r="X5" s="189">
        <f>'NE RES Emit'!X5+'NE C Emit'!X5+'NE I emit'!X5</f>
        <v>6.2253635883848197</v>
      </c>
      <c r="Y5" s="189">
        <f>'NE RES Emit'!Y5+'NE C Emit'!Y5+'NE I emit'!Y5</f>
        <v>6.3759104523010599</v>
      </c>
      <c r="Z5" s="189">
        <f>'NE RES Emit'!Z5+'NE C Emit'!Z5+'NE I emit'!Z5</f>
        <v>6.1422507189157391</v>
      </c>
      <c r="AA5" s="189">
        <f>'NE RES Emit'!AA5+'NE C Emit'!AA5+'NE I emit'!AA5</f>
        <v>6.4493012761767323</v>
      </c>
      <c r="AB5" s="189">
        <f>'NE RES Emit'!AB5+'NE C Emit'!AB5+'NE I emit'!AB5</f>
        <v>6.0576988012199262</v>
      </c>
      <c r="AC5" s="189">
        <f>'NE RES Emit'!AC5+'NE C Emit'!AC5+'NE I emit'!AC5</f>
        <v>6.106237935427373</v>
      </c>
      <c r="AD5" s="189">
        <f>'NE RES Emit'!AD5+'NE C Emit'!AD5+'NE I emit'!AD5</f>
        <v>6.4313663917130457</v>
      </c>
      <c r="AE5" s="189">
        <f>'NE RES Emit'!AE5+'NE C Emit'!AE5+'NE I emit'!AE5</f>
        <v>6.4949019107607064</v>
      </c>
      <c r="AF5" s="189">
        <f>'NE RES Emit'!AF5+'NE C Emit'!AF5+'NE I emit'!AF5</f>
        <v>6.1904414945934718</v>
      </c>
      <c r="AG5" s="189">
        <f>'NE RES Emit'!AG5+'NE C Emit'!AG5+'NE I emit'!AG5</f>
        <v>6.0866705852699994</v>
      </c>
      <c r="AH5" s="189">
        <f>'NE RES Emit'!AH5+'NE C Emit'!AH5+'NE I emit'!AH5</f>
        <v>6.0298453392099995</v>
      </c>
      <c r="AI5" s="189">
        <f>'NE RES Emit'!AI5+'NE C Emit'!AI5+'NE I emit'!AI5</f>
        <v>6.1129508107066659</v>
      </c>
      <c r="AJ5" s="100">
        <f t="shared" si="6"/>
        <v>-0.1194122664270716</v>
      </c>
      <c r="AK5" s="100">
        <f t="shared" si="7"/>
        <v>-3.9574078531898612E-3</v>
      </c>
      <c r="AL5" s="100">
        <f t="shared" si="8"/>
        <v>-5.6020334076514348E-2</v>
      </c>
      <c r="AM5">
        <f t="shared" si="0"/>
        <v>6.0298453392099995</v>
      </c>
      <c r="AN5" s="113">
        <f t="shared" si="1"/>
        <v>1.3782355404086344E-2</v>
      </c>
      <c r="AO5">
        <f t="shared" si="2"/>
        <v>10.470712533588705</v>
      </c>
      <c r="AP5" s="149">
        <f t="shared" si="3"/>
        <v>-0.42412273091568242</v>
      </c>
      <c r="AQ5">
        <f>CORREL(B5:AI5,'NE HDD'!B5:AI5)</f>
        <v>0.48930141080064743</v>
      </c>
      <c r="AR5" s="113">
        <f t="shared" si="9"/>
        <v>-8.8200292584034549E-3</v>
      </c>
      <c r="AS5">
        <f t="shared" si="10"/>
        <v>-5.6020334076514348E-2</v>
      </c>
      <c r="AT5">
        <f t="shared" si="11"/>
        <v>1.855790520486968E-2</v>
      </c>
      <c r="AU5">
        <f t="shared" si="12"/>
        <v>12</v>
      </c>
      <c r="AV5">
        <f t="shared" si="13"/>
        <v>2.1788128296672284</v>
      </c>
      <c r="AW5">
        <f t="shared" si="14"/>
        <v>-9.6454536028632645E-2</v>
      </c>
      <c r="AX5">
        <f t="shared" si="15"/>
        <v>-1.5586132124396052E-2</v>
      </c>
      <c r="AY5">
        <f t="shared" si="16"/>
        <v>-8.8200292584034549E-3</v>
      </c>
      <c r="AZ5" s="86">
        <f t="shared" si="4"/>
        <v>-1.5186125607825073E-2</v>
      </c>
      <c r="BA5" s="86">
        <f t="shared" si="5"/>
        <v>-2.4539329089818367E-3</v>
      </c>
    </row>
    <row r="6" spans="1:53" x14ac:dyDescent="0.25">
      <c r="A6" s="188" t="s">
        <v>1924</v>
      </c>
      <c r="B6" s="189">
        <f>'NE RES Emit'!B6+'NE C Emit'!B6+'NE I emit'!B6</f>
        <v>4.5511579629911996</v>
      </c>
      <c r="C6" s="189">
        <f>'NE RES Emit'!C6+'NE C Emit'!C6+'NE I emit'!C6</f>
        <v>4.4250036507036059</v>
      </c>
      <c r="D6" s="189">
        <f>'NE RES Emit'!D6+'NE C Emit'!D6+'NE I emit'!D6</f>
        <v>4.7401949798001333</v>
      </c>
      <c r="E6" s="189">
        <f>'NE RES Emit'!E6+'NE C Emit'!E6+'NE I emit'!E6</f>
        <v>4.9097422916360856</v>
      </c>
      <c r="F6" s="189">
        <f>'NE RES Emit'!F6+'NE C Emit'!F6+'NE I emit'!F6</f>
        <v>5.0897950546429067</v>
      </c>
      <c r="G6" s="189">
        <f>'NE RES Emit'!G6+'NE C Emit'!G6+'NE I emit'!G6</f>
        <v>5.0127898261336874</v>
      </c>
      <c r="H6" s="189">
        <f>'NE RES Emit'!H6+'NE C Emit'!H6+'NE I emit'!H6</f>
        <v>5.2471004970029069</v>
      </c>
      <c r="I6" s="189">
        <f>'NE RES Emit'!I6+'NE C Emit'!I6+'NE I emit'!I6</f>
        <v>5.21081106024468</v>
      </c>
      <c r="J6" s="189">
        <f>'NE RES Emit'!J6+'NE C Emit'!J6+'NE I emit'!J6</f>
        <v>4.9532811933431198</v>
      </c>
      <c r="K6" s="189">
        <f>'NE RES Emit'!K6+'NE C Emit'!K6+'NE I emit'!K6</f>
        <v>4.9940385843290072</v>
      </c>
      <c r="L6" s="189">
        <f>'NE RES Emit'!L6+'NE C Emit'!L6+'NE I emit'!L6</f>
        <v>5.5804775874164525</v>
      </c>
      <c r="M6" s="189">
        <f>'NE RES Emit'!M6+'NE C Emit'!M6+'NE I emit'!M6</f>
        <v>5.4180278554664527</v>
      </c>
      <c r="N6" s="189">
        <f>'NE RES Emit'!N6+'NE C Emit'!N6+'NE I emit'!N6</f>
        <v>5.10334048932312</v>
      </c>
      <c r="O6" s="189">
        <f>'NE RES Emit'!O6+'NE C Emit'!O6+'NE I emit'!O6</f>
        <v>6.0980157485348929</v>
      </c>
      <c r="P6" s="189">
        <f>'NE RES Emit'!P6+'NE C Emit'!P6+'NE I emit'!P6</f>
        <v>6.3404972926015599</v>
      </c>
      <c r="Q6" s="189">
        <f>'NE RES Emit'!Q6+'NE C Emit'!Q6+'NE I emit'!Q6</f>
        <v>6.1461927686931199</v>
      </c>
      <c r="R6" s="189">
        <f>'NE RES Emit'!R6+'NE C Emit'!R6+'NE I emit'!R6</f>
        <v>5.324800321983119</v>
      </c>
      <c r="S6" s="189">
        <f>'NE RES Emit'!S6+'NE C Emit'!S6+'NE I emit'!S6</f>
        <v>5.1162341148190071</v>
      </c>
      <c r="T6" s="189">
        <f>'NE RES Emit'!T6+'NE C Emit'!T6+'NE I emit'!T6</f>
        <v>5.0030383964733325</v>
      </c>
      <c r="U6" s="189">
        <f>'NE RES Emit'!U6+'NE C Emit'!U6+'NE I emit'!U6</f>
        <v>4.6897335082766656</v>
      </c>
      <c r="V6" s="189">
        <f>'NE RES Emit'!V6+'NE C Emit'!V6+'NE I emit'!V6</f>
        <v>4.2329185590999998</v>
      </c>
      <c r="W6" s="189">
        <f>'NE RES Emit'!W6+'NE C Emit'!W6+'NE I emit'!W6</f>
        <v>4.4714873033599991</v>
      </c>
      <c r="X6" s="189">
        <f>'NE RES Emit'!X6+'NE C Emit'!X6+'NE I emit'!X6</f>
        <v>3.8693487326633327</v>
      </c>
      <c r="Y6" s="189">
        <f>'NE RES Emit'!Y6+'NE C Emit'!Y6+'NE I emit'!Y6</f>
        <v>4.3657478415833335</v>
      </c>
      <c r="Z6" s="189">
        <f>'NE RES Emit'!Z6+'NE C Emit'!Z6+'NE I emit'!Z6</f>
        <v>4.9776985538499989</v>
      </c>
      <c r="AA6" s="189">
        <f>'NE RES Emit'!AA6+'NE C Emit'!AA6+'NE I emit'!AA6</f>
        <v>4.9759946189799997</v>
      </c>
      <c r="AB6" s="189">
        <f>'NE RES Emit'!AB6+'NE C Emit'!AB6+'NE I emit'!AB6</f>
        <v>4.6539483237133323</v>
      </c>
      <c r="AC6" s="189">
        <f>'NE RES Emit'!AC6+'NE C Emit'!AC6+'NE I emit'!AC6</f>
        <v>4.9286196661166661</v>
      </c>
      <c r="AD6" s="189">
        <f>'NE RES Emit'!AD6+'NE C Emit'!AD6+'NE I emit'!AD6</f>
        <v>5.3256739086466665</v>
      </c>
      <c r="AE6" s="189">
        <f>'NE RES Emit'!AE6+'NE C Emit'!AE6+'NE I emit'!AE6</f>
        <v>5.2736685127499996</v>
      </c>
      <c r="AF6" s="189">
        <f>'NE RES Emit'!AF6+'NE C Emit'!AF6+'NE I emit'!AF6</f>
        <v>4.9004676953099988</v>
      </c>
      <c r="AG6" s="189">
        <f>'NE RES Emit'!AG6+'NE C Emit'!AG6+'NE I emit'!AG6</f>
        <v>4.6170101479333319</v>
      </c>
      <c r="AH6" s="189">
        <f>'NE RES Emit'!AH6+'NE C Emit'!AH6+'NE I emit'!AH6</f>
        <v>4.7413641325966669</v>
      </c>
      <c r="AI6" s="189">
        <f>'NE RES Emit'!AI6+'NE C Emit'!AI6+'NE I emit'!AI6</f>
        <v>4.7836018877899988</v>
      </c>
      <c r="AJ6" s="100">
        <f t="shared" si="6"/>
        <v>-8.4248136552040435E-3</v>
      </c>
      <c r="AK6" s="100">
        <f t="shared" si="7"/>
        <v>4.0951385268150731E-2</v>
      </c>
      <c r="AL6" s="100">
        <f t="shared" si="8"/>
        <v>5.1435338712073231E-2</v>
      </c>
      <c r="AM6">
        <f t="shared" si="0"/>
        <v>3.8693487326633327</v>
      </c>
      <c r="AN6" s="113">
        <f t="shared" si="1"/>
        <v>0.23628088815281623</v>
      </c>
      <c r="AO6">
        <f t="shared" si="2"/>
        <v>6.3404972926015599</v>
      </c>
      <c r="AP6" s="149">
        <f t="shared" si="3"/>
        <v>-0.38974049603675387</v>
      </c>
      <c r="AQ6">
        <f>CORREL(B6:AI6,'NE HDD'!B6:AI6)</f>
        <v>0.49105819972018949</v>
      </c>
      <c r="AR6" s="113">
        <f t="shared" si="9"/>
        <v>1.0891128652348921E-2</v>
      </c>
      <c r="AS6">
        <f t="shared" si="10"/>
        <v>5.1435338712073245E-2</v>
      </c>
      <c r="AT6">
        <f t="shared" si="11"/>
        <v>2.3022757539122626E-2</v>
      </c>
      <c r="AU6">
        <f t="shared" si="12"/>
        <v>12</v>
      </c>
      <c r="AV6">
        <f t="shared" si="13"/>
        <v>2.1788128296672284</v>
      </c>
      <c r="AW6">
        <f t="shared" si="14"/>
        <v>1.2730592115149583E-3</v>
      </c>
      <c r="AX6">
        <f t="shared" si="15"/>
        <v>0.10159761821263152</v>
      </c>
      <c r="AY6">
        <f t="shared" si="16"/>
        <v>1.0891128652348923E-2</v>
      </c>
      <c r="AZ6" s="343">
        <f t="shared" si="4"/>
        <v>2.6956275591537602E-4</v>
      </c>
      <c r="BA6" s="343">
        <f t="shared" si="5"/>
        <v>2.151269454878247E-2</v>
      </c>
    </row>
    <row r="7" spans="1:53" x14ac:dyDescent="0.25">
      <c r="A7" s="188" t="s">
        <v>1939</v>
      </c>
      <c r="B7" s="189">
        <f>'NE RES Emit'!B7+'NE C Emit'!B7+'NE I emit'!B7</f>
        <v>35.690719651362087</v>
      </c>
      <c r="C7" s="189">
        <f>'NE RES Emit'!C7+'NE C Emit'!C7+'NE I emit'!C7</f>
        <v>36.164613246704434</v>
      </c>
      <c r="D7" s="189">
        <f>'NE RES Emit'!D7+'NE C Emit'!D7+'NE I emit'!D7</f>
        <v>41.732982087412729</v>
      </c>
      <c r="E7" s="189">
        <f>'NE RES Emit'!E7+'NE C Emit'!E7+'NE I emit'!E7</f>
        <v>40.373869382609399</v>
      </c>
      <c r="F7" s="189">
        <f>'NE RES Emit'!F7+'NE C Emit'!F7+'NE I emit'!F7</f>
        <v>42.772546885068074</v>
      </c>
      <c r="G7" s="189">
        <f>'NE RES Emit'!G7+'NE C Emit'!G7+'NE I emit'!G7</f>
        <v>40.403591681965601</v>
      </c>
      <c r="H7" s="189">
        <f>'NE RES Emit'!H7+'NE C Emit'!H7+'NE I emit'!H7</f>
        <v>42.197712250115032</v>
      </c>
      <c r="I7" s="189">
        <f>'NE RES Emit'!I7+'NE C Emit'!I7+'NE I emit'!I7</f>
        <v>41.778469198095813</v>
      </c>
      <c r="J7" s="189">
        <f>'NE RES Emit'!J7+'NE C Emit'!J7+'NE I emit'!J7</f>
        <v>38.281291005555033</v>
      </c>
      <c r="K7" s="189">
        <f>'NE RES Emit'!K7+'NE C Emit'!K7+'NE I emit'!K7</f>
        <v>41.327784940963468</v>
      </c>
      <c r="L7" s="189">
        <f>'NE RES Emit'!L7+'NE C Emit'!L7+'NE I emit'!L7</f>
        <v>35.215570128266805</v>
      </c>
      <c r="M7" s="189">
        <f>'NE RES Emit'!M7+'NE C Emit'!M7+'NE I emit'!M7</f>
        <v>33.804133319987798</v>
      </c>
      <c r="N7" s="189">
        <f>'NE RES Emit'!N7+'NE C Emit'!N7+'NE I emit'!N7</f>
        <v>32.53806414751368</v>
      </c>
      <c r="O7" s="189">
        <f>'NE RES Emit'!O7+'NE C Emit'!O7+'NE I emit'!O7</f>
        <v>35.183662071991911</v>
      </c>
      <c r="P7" s="189">
        <f>'NE RES Emit'!P7+'NE C Emit'!P7+'NE I emit'!P7</f>
        <v>34.998124794032691</v>
      </c>
      <c r="Q7" s="189">
        <f>'NE RES Emit'!Q7+'NE C Emit'!Q7+'NE I emit'!Q7</f>
        <v>34.252121742837019</v>
      </c>
      <c r="R7" s="189">
        <f>'NE RES Emit'!R7+'NE C Emit'!R7+'NE I emit'!R7</f>
        <v>29.165166114408798</v>
      </c>
      <c r="S7" s="189">
        <f>'NE RES Emit'!S7+'NE C Emit'!S7+'NE I emit'!S7</f>
        <v>32.334108201361559</v>
      </c>
      <c r="T7" s="189">
        <f>'NE RES Emit'!T7+'NE C Emit'!T7+'NE I emit'!T7</f>
        <v>30.912210047803335</v>
      </c>
      <c r="U7" s="189">
        <f>'NE RES Emit'!U7+'NE C Emit'!U7+'NE I emit'!U7</f>
        <v>30.802677859250004</v>
      </c>
      <c r="V7" s="189">
        <f>'NE RES Emit'!V7+'NE C Emit'!V7+'NE I emit'!V7</f>
        <v>30.868250169349999</v>
      </c>
      <c r="W7" s="189">
        <f>'NE RES Emit'!W7+'NE C Emit'!W7+'NE I emit'!W7</f>
        <v>31.277712199873339</v>
      </c>
      <c r="X7" s="189">
        <f>'NE RES Emit'!X7+'NE C Emit'!X7+'NE I emit'!X7</f>
        <v>28.512590032923331</v>
      </c>
      <c r="Y7" s="189">
        <f>'NE RES Emit'!Y7+'NE C Emit'!Y7+'NE I emit'!Y7</f>
        <v>30.637365764976668</v>
      </c>
      <c r="Z7" s="189">
        <f>'NE RES Emit'!Z7+'NE C Emit'!Z7+'NE I emit'!Z7</f>
        <v>33.899858295746668</v>
      </c>
      <c r="AA7" s="189">
        <f>'NE RES Emit'!AA7+'NE C Emit'!AA7+'NE I emit'!AA7</f>
        <v>31.517276498400001</v>
      </c>
      <c r="AB7" s="189">
        <f>'NE RES Emit'!AB7+'NE C Emit'!AB7+'NE I emit'!AB7</f>
        <v>29.278017500416667</v>
      </c>
      <c r="AC7" s="189">
        <f>'NE RES Emit'!AC7+'NE C Emit'!AC7+'NE I emit'!AC7</f>
        <v>28.725316732126664</v>
      </c>
      <c r="AD7" s="189">
        <f>'NE RES Emit'!AD7+'NE C Emit'!AD7+'NE I emit'!AD7</f>
        <v>32.126674347716666</v>
      </c>
      <c r="AE7" s="189">
        <f>'NE RES Emit'!AE7+'NE C Emit'!AE7+'NE I emit'!AE7</f>
        <v>31.162715004006667</v>
      </c>
      <c r="AF7" s="189">
        <f>'NE RES Emit'!AF7+'NE C Emit'!AF7+'NE I emit'!AF7</f>
        <v>28.36680632258</v>
      </c>
      <c r="AG7" s="189">
        <f>'NE RES Emit'!AG7+'NE C Emit'!AG7+'NE I emit'!AG7</f>
        <v>30.351049289293336</v>
      </c>
      <c r="AH7" s="189">
        <f>'NE RES Emit'!AH7+'NE C Emit'!AH7+'NE I emit'!AH7</f>
        <v>31.917040446170006</v>
      </c>
      <c r="AI7" s="189">
        <f>'NE RES Emit'!AI7+'NE C Emit'!AI7+'NE I emit'!AI7</f>
        <v>30.070331158853335</v>
      </c>
      <c r="AJ7" s="100">
        <f t="shared" si="6"/>
        <v>-0.36454820051691644</v>
      </c>
      <c r="AK7" s="100">
        <f t="shared" si="7"/>
        <v>-0.54592318957438524</v>
      </c>
      <c r="AL7" s="100">
        <f t="shared" si="8"/>
        <v>-3.3183171199296535E-2</v>
      </c>
      <c r="AM7">
        <f t="shared" si="0"/>
        <v>28.36680632258</v>
      </c>
      <c r="AN7" s="113">
        <f t="shared" si="1"/>
        <v>6.0053458852621366E-2</v>
      </c>
      <c r="AO7">
        <f t="shared" si="2"/>
        <v>42.772546885068074</v>
      </c>
      <c r="AP7" s="149">
        <f t="shared" si="3"/>
        <v>-0.33679875554750116</v>
      </c>
      <c r="AQ7">
        <f>CORREL(B7:AI7,'NE HDD'!B7:AI7)</f>
        <v>0.61839530542244348</v>
      </c>
      <c r="AR7" s="113">
        <f t="shared" si="9"/>
        <v>-1.0836306806054972E-3</v>
      </c>
      <c r="AS7">
        <f t="shared" si="10"/>
        <v>-3.3183171199296556E-2</v>
      </c>
      <c r="AT7">
        <f t="shared" si="11"/>
        <v>0.10713845093777763</v>
      </c>
      <c r="AU7">
        <f t="shared" si="12"/>
        <v>12</v>
      </c>
      <c r="AV7">
        <f t="shared" si="13"/>
        <v>2.1788128296672284</v>
      </c>
      <c r="AW7">
        <f t="shared" si="14"/>
        <v>-0.26661780265319934</v>
      </c>
      <c r="AX7">
        <f t="shared" si="15"/>
        <v>0.20025146025460624</v>
      </c>
      <c r="AY7">
        <f t="shared" si="16"/>
        <v>-1.0836306806054979E-3</v>
      </c>
      <c r="AZ7">
        <f t="shared" si="4"/>
        <v>-8.7066793349983799E-3</v>
      </c>
      <c r="BA7">
        <f t="shared" si="5"/>
        <v>6.5394179737873846E-3</v>
      </c>
    </row>
    <row r="8" spans="1:53" x14ac:dyDescent="0.25">
      <c r="A8" s="188" t="s">
        <v>1925</v>
      </c>
      <c r="B8" s="189">
        <f>'NE RES Emit'!B8+'NE C Emit'!B8+'NE I emit'!B8</f>
        <v>70.16811586377149</v>
      </c>
      <c r="C8" s="189">
        <f>'NE RES Emit'!C8+'NE C Emit'!C8+'NE I emit'!C8</f>
        <v>68.908388072641912</v>
      </c>
      <c r="D8" s="189">
        <f>'NE RES Emit'!D8+'NE C Emit'!D8+'NE I emit'!D8</f>
        <v>75.175304029686515</v>
      </c>
      <c r="E8" s="189">
        <f>'NE RES Emit'!E8+'NE C Emit'!E8+'NE I emit'!E8</f>
        <v>75.684069958956286</v>
      </c>
      <c r="F8" s="189">
        <f>'NE RES Emit'!F8+'NE C Emit'!F8+'NE I emit'!F8</f>
        <v>75.30880690824084</v>
      </c>
      <c r="G8" s="189">
        <f>'NE RES Emit'!G8+'NE C Emit'!G8+'NE I emit'!G8</f>
        <v>75.573665939061911</v>
      </c>
      <c r="H8" s="189">
        <f>'NE RES Emit'!H8+'NE C Emit'!H8+'NE I emit'!H8</f>
        <v>79.228007036167298</v>
      </c>
      <c r="I8" s="189">
        <f>'NE RES Emit'!I8+'NE C Emit'!I8+'NE I emit'!I8</f>
        <v>78.436029846425242</v>
      </c>
      <c r="J8" s="189">
        <f>'NE RES Emit'!J8+'NE C Emit'!J8+'NE I emit'!J8</f>
        <v>71.792677852696173</v>
      </c>
      <c r="K8" s="189">
        <f>'NE RES Emit'!K8+'NE C Emit'!K8+'NE I emit'!K8</f>
        <v>72.951167735125836</v>
      </c>
      <c r="L8" s="189">
        <f>'NE RES Emit'!L8+'NE C Emit'!L8+'NE I emit'!L8</f>
        <v>79.822092164038096</v>
      </c>
      <c r="M8" s="189">
        <f>'NE RES Emit'!M8+'NE C Emit'!M8+'NE I emit'!M8</f>
        <v>76.390381356946946</v>
      </c>
      <c r="N8" s="189">
        <f>'NE RES Emit'!N8+'NE C Emit'!N8+'NE I emit'!N8</f>
        <v>75.522448421874003</v>
      </c>
      <c r="O8" s="189">
        <f>'NE RES Emit'!O8+'NE C Emit'!O8+'NE I emit'!O8</f>
        <v>80.211875481616929</v>
      </c>
      <c r="P8" s="189">
        <f>'NE RES Emit'!P8+'NE C Emit'!P8+'NE I emit'!P8</f>
        <v>80.528204122157078</v>
      </c>
      <c r="Q8" s="189">
        <f>'NE RES Emit'!Q8+'NE C Emit'!Q8+'NE I emit'!Q8</f>
        <v>75.763691775712601</v>
      </c>
      <c r="R8" s="189">
        <f>'NE RES Emit'!R8+'NE C Emit'!R8+'NE I emit'!R8</f>
        <v>65.81600764453836</v>
      </c>
      <c r="S8" s="189">
        <f>'NE RES Emit'!S8+'NE C Emit'!S8+'NE I emit'!S8</f>
        <v>70.686010496083767</v>
      </c>
      <c r="T8" s="189">
        <f>'NE RES Emit'!T8+'NE C Emit'!T8+'NE I emit'!T8</f>
        <v>68.422568398662946</v>
      </c>
      <c r="U8" s="189">
        <f>'NE RES Emit'!U8+'NE C Emit'!U8+'NE I emit'!U8</f>
        <v>64.319434706034059</v>
      </c>
      <c r="V8" s="189">
        <f>'NE RES Emit'!V8+'NE C Emit'!V8+'NE I emit'!V8</f>
        <v>62.566156460745958</v>
      </c>
      <c r="W8" s="189">
        <f>'NE RES Emit'!W8+'NE C Emit'!W8+'NE I emit'!W8</f>
        <v>62.04841925650603</v>
      </c>
      <c r="X8" s="189">
        <f>'NE RES Emit'!X8+'NE C Emit'!X8+'NE I emit'!X8</f>
        <v>57.678618501725687</v>
      </c>
      <c r="Y8" s="189">
        <f>'NE RES Emit'!Y8+'NE C Emit'!Y8+'NE I emit'!Y8</f>
        <v>61.151602964389809</v>
      </c>
      <c r="Z8" s="189">
        <f>'NE RES Emit'!Z8+'NE C Emit'!Z8+'NE I emit'!Z8</f>
        <v>64.253407044196919</v>
      </c>
      <c r="AA8" s="189">
        <f>'NE RES Emit'!AA8+'NE C Emit'!AA8+'NE I emit'!AA8</f>
        <v>65.195398693243945</v>
      </c>
      <c r="AB8" s="189">
        <f>'NE RES Emit'!AB8+'NE C Emit'!AB8+'NE I emit'!AB8</f>
        <v>59.362105506959722</v>
      </c>
      <c r="AC8" s="189">
        <f>'NE RES Emit'!AC8+'NE C Emit'!AC8+'NE I emit'!AC8</f>
        <v>60.382226372960211</v>
      </c>
      <c r="AD8" s="189">
        <f>'NE RES Emit'!AD8+'NE C Emit'!AD8+'NE I emit'!AD8</f>
        <v>67.021913583533916</v>
      </c>
      <c r="AE8" s="189">
        <f>'NE RES Emit'!AE8+'NE C Emit'!AE8+'NE I emit'!AE8</f>
        <v>66.253621137535561</v>
      </c>
      <c r="AF8" s="189">
        <f>'NE RES Emit'!AF8+'NE C Emit'!AF8+'NE I emit'!AF8</f>
        <v>59.128486568046569</v>
      </c>
      <c r="AG8" s="189">
        <f>'NE RES Emit'!AG8+'NE C Emit'!AG8+'NE I emit'!AG8</f>
        <v>62.938978811867912</v>
      </c>
      <c r="AH8" s="189">
        <f>'NE RES Emit'!AH8+'NE C Emit'!AH8+'NE I emit'!AH8</f>
        <v>63.763736228751313</v>
      </c>
      <c r="AI8" s="189">
        <f>'NE RES Emit'!AI8+'NE C Emit'!AI8+'NE I emit'!AI8</f>
        <v>60.636373181088977</v>
      </c>
      <c r="AJ8" s="100">
        <f t="shared" si="6"/>
        <v>-0.53342570213208773</v>
      </c>
      <c r="AK8" s="100">
        <f t="shared" si="7"/>
        <v>-0.18979722211956859</v>
      </c>
      <c r="AL8" s="100">
        <f t="shared" si="8"/>
        <v>9.5524105669446815E-2</v>
      </c>
      <c r="AM8">
        <f t="shared" si="0"/>
        <v>57.678618501725687</v>
      </c>
      <c r="AN8" s="113">
        <f t="shared" si="1"/>
        <v>5.1279915438245061E-2</v>
      </c>
      <c r="AO8">
        <f t="shared" si="2"/>
        <v>80.528204122157078</v>
      </c>
      <c r="AP8" s="149">
        <f t="shared" si="3"/>
        <v>-0.2837463702253904</v>
      </c>
      <c r="AQ8">
        <f>CORREL(B8:AI8,'NE HDD'!B8:AI8)</f>
        <v>0.65211808938536686</v>
      </c>
      <c r="AR8" s="113">
        <f t="shared" si="9"/>
        <v>1.5329740233267302E-3</v>
      </c>
      <c r="AS8">
        <f t="shared" si="10"/>
        <v>9.5524105669446829E-2</v>
      </c>
      <c r="AT8">
        <f t="shared" si="11"/>
        <v>0.18999194013218754</v>
      </c>
      <c r="AU8">
        <f t="shared" si="12"/>
        <v>12</v>
      </c>
      <c r="AV8">
        <f t="shared" si="13"/>
        <v>2.1788128296672284</v>
      </c>
      <c r="AW8">
        <f t="shared" si="14"/>
        <v>-0.3184327710239313</v>
      </c>
      <c r="AX8">
        <f t="shared" si="15"/>
        <v>0.50948098236282502</v>
      </c>
      <c r="AY8">
        <f t="shared" si="16"/>
        <v>1.5329740233267304E-3</v>
      </c>
      <c r="AZ8">
        <f t="shared" si="4"/>
        <v>-5.1102196951713407E-3</v>
      </c>
      <c r="BA8">
        <f t="shared" si="5"/>
        <v>8.1761677418248028E-3</v>
      </c>
    </row>
    <row r="9" spans="1:53" x14ac:dyDescent="0.25">
      <c r="A9" s="188" t="s">
        <v>1940</v>
      </c>
      <c r="B9" s="189">
        <f>'NE RES Emit'!B9+'NE C Emit'!B9+'NE I emit'!B9</f>
        <v>53.918504458209455</v>
      </c>
      <c r="C9" s="189">
        <f>'NE RES Emit'!C9+'NE C Emit'!C9+'NE I emit'!C9</f>
        <v>52.658039134535699</v>
      </c>
      <c r="D9" s="189">
        <f>'NE RES Emit'!D9+'NE C Emit'!D9+'NE I emit'!D9</f>
        <v>55.639133423063598</v>
      </c>
      <c r="E9" s="189">
        <f>'NE RES Emit'!E9+'NE C Emit'!E9+'NE I emit'!E9</f>
        <v>55.621759526479437</v>
      </c>
      <c r="F9" s="189">
        <f>'NE RES Emit'!F9+'NE C Emit'!F9+'NE I emit'!F9</f>
        <v>55.682986994495664</v>
      </c>
      <c r="G9" s="189">
        <f>'NE RES Emit'!G9+'NE C Emit'!G9+'NE I emit'!G9</f>
        <v>54.125679095820274</v>
      </c>
      <c r="H9" s="189">
        <f>'NE RES Emit'!H9+'NE C Emit'!H9+'NE I emit'!H9</f>
        <v>55.900294750769547</v>
      </c>
      <c r="I9" s="189">
        <f>'NE RES Emit'!I9+'NE C Emit'!I9+'NE I emit'!I9</f>
        <v>51.96058021060793</v>
      </c>
      <c r="J9" s="189">
        <f>'NE RES Emit'!J9+'NE C Emit'!J9+'NE I emit'!J9</f>
        <v>47.177100211622403</v>
      </c>
      <c r="K9" s="189">
        <f>'NE RES Emit'!K9+'NE C Emit'!K9+'NE I emit'!K9</f>
        <v>50.523177597013003</v>
      </c>
      <c r="L9" s="189">
        <f>'NE RES Emit'!L9+'NE C Emit'!L9+'NE I emit'!L9</f>
        <v>53.632260386815005</v>
      </c>
      <c r="M9" s="189">
        <f>'NE RES Emit'!M9+'NE C Emit'!M9+'NE I emit'!M9</f>
        <v>50.406760672169803</v>
      </c>
      <c r="N9" s="189">
        <f>'NE RES Emit'!N9+'NE C Emit'!N9+'NE I emit'!N9</f>
        <v>50.496235992750606</v>
      </c>
      <c r="O9" s="189">
        <f>'NE RES Emit'!O9+'NE C Emit'!O9+'NE I emit'!O9</f>
        <v>53.761066109864814</v>
      </c>
      <c r="P9" s="189">
        <f>'NE RES Emit'!P9+'NE C Emit'!P9+'NE I emit'!P9</f>
        <v>52.485002049363111</v>
      </c>
      <c r="Q9" s="189">
        <f>'NE RES Emit'!Q9+'NE C Emit'!Q9+'NE I emit'!Q9</f>
        <v>51.152215383079067</v>
      </c>
      <c r="R9" s="189">
        <f>'NE RES Emit'!R9+'NE C Emit'!R9+'NE I emit'!R9</f>
        <v>47.544764301737494</v>
      </c>
      <c r="S9" s="189">
        <f>'NE RES Emit'!S9+'NE C Emit'!S9+'NE I emit'!S9</f>
        <v>49.301657158321845</v>
      </c>
      <c r="T9" s="189">
        <f>'NE RES Emit'!T9+'NE C Emit'!T9+'NE I emit'!T9</f>
        <v>53.96383592601363</v>
      </c>
      <c r="U9" s="189">
        <f>'NE RES Emit'!U9+'NE C Emit'!U9+'NE I emit'!U9</f>
        <v>45.210797356194583</v>
      </c>
      <c r="V9" s="189">
        <f>'NE RES Emit'!V9+'NE C Emit'!V9+'NE I emit'!V9</f>
        <v>47.855892686745293</v>
      </c>
      <c r="W9" s="189">
        <f>'NE RES Emit'!W9+'NE C Emit'!W9+'NE I emit'!W9</f>
        <v>48.650207509485199</v>
      </c>
      <c r="X9" s="189">
        <f>'NE RES Emit'!X9+'NE C Emit'!X9+'NE I emit'!X9</f>
        <v>47.036965042792332</v>
      </c>
      <c r="Y9" s="189">
        <f>'NE RES Emit'!Y9+'NE C Emit'!Y9+'NE I emit'!Y9</f>
        <v>54.597648484131057</v>
      </c>
      <c r="Z9" s="189">
        <f>'NE RES Emit'!Z9+'NE C Emit'!Z9+'NE I emit'!Z9</f>
        <v>61.259745853014948</v>
      </c>
      <c r="AA9" s="189">
        <f>'NE RES Emit'!AA9+'NE C Emit'!AA9+'NE I emit'!AA9</f>
        <v>58.893864182294088</v>
      </c>
      <c r="AB9" s="189">
        <f>'NE RES Emit'!AB9+'NE C Emit'!AB9+'NE I emit'!AB9</f>
        <v>55.743038927068454</v>
      </c>
      <c r="AC9" s="189">
        <f>'NE RES Emit'!AC9+'NE C Emit'!AC9+'NE I emit'!AC9</f>
        <v>57.204830923748858</v>
      </c>
      <c r="AD9" s="189">
        <f>'NE RES Emit'!AD9+'NE C Emit'!AD9+'NE I emit'!AD9</f>
        <v>64.143181495531536</v>
      </c>
      <c r="AE9" s="189">
        <f>'NE RES Emit'!AE9+'NE C Emit'!AE9+'NE I emit'!AE9</f>
        <v>63.961317908147585</v>
      </c>
      <c r="AF9" s="189">
        <f>'NE RES Emit'!AF9+'NE C Emit'!AF9+'NE I emit'!AF9</f>
        <v>58.943468031866146</v>
      </c>
      <c r="AG9" s="189">
        <f>'NE RES Emit'!AG9+'NE C Emit'!AG9+'NE I emit'!AG9</f>
        <v>64.277934109821587</v>
      </c>
      <c r="AH9" s="189">
        <f>'NE RES Emit'!AH9+'NE C Emit'!AH9+'NE I emit'!AH9</f>
        <v>70.546285927294974</v>
      </c>
      <c r="AI9" s="189">
        <f>'NE RES Emit'!AI9+'NE C Emit'!AI9+'NE I emit'!AI9</f>
        <v>71.099390713609793</v>
      </c>
      <c r="AJ9" s="100">
        <f t="shared" si="6"/>
        <v>0.34376243166338705</v>
      </c>
      <c r="AK9" s="100">
        <f t="shared" si="7"/>
        <v>-0.31384496986752014</v>
      </c>
      <c r="AL9" s="100">
        <f t="shared" si="8"/>
        <v>1.6688558232848592</v>
      </c>
      <c r="AM9">
        <f t="shared" si="0"/>
        <v>45.210797356194583</v>
      </c>
      <c r="AN9" s="113">
        <f t="shared" si="1"/>
        <v>0.57261970306453946</v>
      </c>
      <c r="AO9">
        <f t="shared" si="2"/>
        <v>71.099390713609793</v>
      </c>
      <c r="AP9" s="149">
        <f t="shared" si="3"/>
        <v>-0.36411835738079867</v>
      </c>
      <c r="AQ9">
        <f>CORREL(B9:AI9,'NE HDD'!B9:AI9)</f>
        <v>1.1680766137627006E-2</v>
      </c>
      <c r="AR9" s="113">
        <f t="shared" si="9"/>
        <v>2.8346992401121297E-2</v>
      </c>
      <c r="AS9">
        <f t="shared" si="10"/>
        <v>1.6688558232848596</v>
      </c>
      <c r="AT9">
        <f t="shared" si="11"/>
        <v>0.22447136454221639</v>
      </c>
      <c r="AU9">
        <f t="shared" si="12"/>
        <v>12</v>
      </c>
      <c r="AV9">
        <f t="shared" si="13"/>
        <v>2.1788128296672284</v>
      </c>
      <c r="AW9">
        <f t="shared" si="14"/>
        <v>1.1797747343273692</v>
      </c>
      <c r="AX9">
        <f t="shared" si="15"/>
        <v>2.15793691224235</v>
      </c>
      <c r="AY9">
        <f t="shared" si="16"/>
        <v>2.8346992401121304E-2</v>
      </c>
      <c r="AZ9" s="343">
        <f t="shared" si="4"/>
        <v>2.0039517472028135E-2</v>
      </c>
      <c r="BA9" s="343">
        <f t="shared" si="5"/>
        <v>3.6654467330214477E-2</v>
      </c>
    </row>
    <row r="10" spans="1:53" x14ac:dyDescent="0.25">
      <c r="A10" s="188" t="s">
        <v>1926</v>
      </c>
      <c r="B10" s="189">
        <f>'NE RES Emit'!B10+'NE C Emit'!B10+'NE I emit'!B10</f>
        <v>4.0742932146205657</v>
      </c>
      <c r="C10" s="189">
        <f>'NE RES Emit'!C10+'NE C Emit'!C10+'NE I emit'!C10</f>
        <v>5.3121697994997863</v>
      </c>
      <c r="D10" s="189">
        <f>'NE RES Emit'!D10+'NE C Emit'!D10+'NE I emit'!D10</f>
        <v>6.8954429664805659</v>
      </c>
      <c r="E10" s="189">
        <f>'NE RES Emit'!E10+'NE C Emit'!E10+'NE I emit'!E10</f>
        <v>4.7659926195156732</v>
      </c>
      <c r="F10" s="189">
        <f>'NE RES Emit'!F10+'NE C Emit'!F10+'NE I emit'!F10</f>
        <v>6.7327847665423395</v>
      </c>
      <c r="G10" s="189">
        <f>'NE RES Emit'!G10+'NE C Emit'!G10+'NE I emit'!G10</f>
        <v>6.0220183570756731</v>
      </c>
      <c r="H10" s="189">
        <f>'NE RES Emit'!H10+'NE C Emit'!H10+'NE I emit'!H10</f>
        <v>5.7074813729223397</v>
      </c>
      <c r="I10" s="189">
        <f>'NE RES Emit'!I10+'NE C Emit'!I10+'NE I emit'!I10</f>
        <v>5.6044824120590064</v>
      </c>
      <c r="J10" s="189">
        <f>'NE RES Emit'!J10+'NE C Emit'!J10+'NE I emit'!J10</f>
        <v>6.1253421218948922</v>
      </c>
      <c r="K10" s="189">
        <f>'NE RES Emit'!K10+'NE C Emit'!K10+'NE I emit'!K10</f>
        <v>5.5992014064541138</v>
      </c>
      <c r="L10" s="189">
        <f>'NE RES Emit'!L10+'NE C Emit'!L10+'NE I emit'!L10</f>
        <v>4.3867456499748938</v>
      </c>
      <c r="M10" s="189">
        <f>'NE RES Emit'!M10+'NE C Emit'!M10+'NE I emit'!M10</f>
        <v>4.3823539683582267</v>
      </c>
      <c r="N10" s="189">
        <f>'NE RES Emit'!N10+'NE C Emit'!N10+'NE I emit'!N10</f>
        <v>4.1353543627323397</v>
      </c>
      <c r="O10" s="189">
        <f>'NE RES Emit'!O10+'NE C Emit'!O10+'NE I emit'!O10</f>
        <v>4.6574195307997863</v>
      </c>
      <c r="P10" s="189">
        <f>'NE RES Emit'!P10+'NE C Emit'!P10+'NE I emit'!P10</f>
        <v>4.5958155745290066</v>
      </c>
      <c r="Q10" s="189">
        <f>'NE RES Emit'!Q10+'NE C Emit'!Q10+'NE I emit'!Q10</f>
        <v>4.4698800949690067</v>
      </c>
      <c r="R10" s="189">
        <f>'NE RES Emit'!R10+'NE C Emit'!R10+'NE I emit'!R10</f>
        <v>3.789218152228226</v>
      </c>
      <c r="S10" s="189">
        <f>'NE RES Emit'!S10+'NE C Emit'!S10+'NE I emit'!S10</f>
        <v>3.9436246268574462</v>
      </c>
      <c r="T10" s="189">
        <f>'NE RES Emit'!T10+'NE C Emit'!T10+'NE I emit'!T10</f>
        <v>3.7171260401733335</v>
      </c>
      <c r="U10" s="189">
        <f>'NE RES Emit'!U10+'NE C Emit'!U10+'NE I emit'!U10</f>
        <v>4.0715314855233329</v>
      </c>
      <c r="V10" s="189">
        <f>'NE RES Emit'!V10+'NE C Emit'!V10+'NE I emit'!V10</f>
        <v>3.7633499653933331</v>
      </c>
      <c r="W10" s="189">
        <f>'NE RES Emit'!W10+'NE C Emit'!W10+'NE I emit'!W10</f>
        <v>3.5700461487166666</v>
      </c>
      <c r="X10" s="189">
        <f>'NE RES Emit'!X10+'NE C Emit'!X10+'NE I emit'!X10</f>
        <v>3.3982866891966665</v>
      </c>
      <c r="Y10" s="189">
        <f>'NE RES Emit'!Y10+'NE C Emit'!Y10+'NE I emit'!Y10</f>
        <v>3.7301355350600001</v>
      </c>
      <c r="Z10" s="189">
        <f>'NE RES Emit'!Z10+'NE C Emit'!Z10+'NE I emit'!Z10</f>
        <v>4.0308924411066664</v>
      </c>
      <c r="AA10" s="189">
        <f>'NE RES Emit'!AA10+'NE C Emit'!AA10+'NE I emit'!AA10</f>
        <v>4.048943589166667</v>
      </c>
      <c r="AB10" s="189">
        <f>'NE RES Emit'!AB10+'NE C Emit'!AB10+'NE I emit'!AB10</f>
        <v>3.2989846818133333</v>
      </c>
      <c r="AC10" s="189">
        <f>'NE RES Emit'!AC10+'NE C Emit'!AC10+'NE I emit'!AC10</f>
        <v>3.3584348335266663</v>
      </c>
      <c r="AD10" s="189">
        <f>'NE RES Emit'!AD10+'NE C Emit'!AD10+'NE I emit'!AD10</f>
        <v>3.9279149297300004</v>
      </c>
      <c r="AE10" s="189">
        <f>'NE RES Emit'!AE10+'NE C Emit'!AE10+'NE I emit'!AE10</f>
        <v>3.6255498906733332</v>
      </c>
      <c r="AF10" s="189">
        <f>'NE RES Emit'!AF10+'NE C Emit'!AF10+'NE I emit'!AF10</f>
        <v>3.2993180939766669</v>
      </c>
      <c r="AG10" s="189">
        <f>'NE RES Emit'!AG10+'NE C Emit'!AG10+'NE I emit'!AG10</f>
        <v>3.6619656971333332</v>
      </c>
      <c r="AH10" s="189">
        <f>'NE RES Emit'!AH10+'NE C Emit'!AH10+'NE I emit'!AH10</f>
        <v>3.6193552643966664</v>
      </c>
      <c r="AI10" s="189">
        <f>'NE RES Emit'!AI10+'NE C Emit'!AI10+'NE I emit'!AI10</f>
        <v>3.5074469686666663</v>
      </c>
      <c r="AJ10" s="100">
        <f t="shared" si="6"/>
        <v>-7.9112228075322463E-2</v>
      </c>
      <c r="AK10" s="100">
        <f t="shared" si="7"/>
        <v>-0.10752543587916376</v>
      </c>
      <c r="AL10" s="100">
        <f t="shared" si="8"/>
        <v>-1.2653402812930406E-2</v>
      </c>
      <c r="AM10">
        <f t="shared" si="0"/>
        <v>3.2989846818133333</v>
      </c>
      <c r="AN10" s="113">
        <f t="shared" si="1"/>
        <v>6.3189831708690747E-2</v>
      </c>
      <c r="AO10">
        <f t="shared" si="2"/>
        <v>6.8954429664805659</v>
      </c>
      <c r="AP10" s="149">
        <f t="shared" si="3"/>
        <v>-0.5215703040616787</v>
      </c>
      <c r="AQ10">
        <f>CORREL(B10:AI10,'NE HDD'!B10:AI10)</f>
        <v>0.52270706041046933</v>
      </c>
      <c r="AR10" s="113">
        <f t="shared" si="9"/>
        <v>-3.484371805555797E-3</v>
      </c>
      <c r="AS10">
        <f t="shared" si="10"/>
        <v>-1.265340281293041E-2</v>
      </c>
      <c r="AT10">
        <f t="shared" si="11"/>
        <v>1.6929773329354098E-2</v>
      </c>
      <c r="AU10">
        <f t="shared" si="12"/>
        <v>12</v>
      </c>
      <c r="AV10">
        <f t="shared" si="13"/>
        <v>2.1788128296672284</v>
      </c>
      <c r="AW10">
        <f t="shared" si="14"/>
        <v>-4.9540210146285187E-2</v>
      </c>
      <c r="AX10">
        <f t="shared" si="15"/>
        <v>2.4233404520424363E-2</v>
      </c>
      <c r="AY10">
        <f t="shared" si="16"/>
        <v>-3.4843718055557978E-3</v>
      </c>
      <c r="AZ10">
        <f t="shared" si="4"/>
        <v>-1.3641904397339659E-2</v>
      </c>
      <c r="BA10">
        <f t="shared" si="5"/>
        <v>6.6731607862280627E-3</v>
      </c>
    </row>
    <row r="11" spans="1:53" x14ac:dyDescent="0.25">
      <c r="A11" s="188" t="s">
        <v>1927</v>
      </c>
      <c r="B11" s="189">
        <f>'NE RES Emit'!B11+'NE C Emit'!B11+'NE I emit'!B11</f>
        <v>2.4190786710329064</v>
      </c>
      <c r="C11" s="189">
        <f>'NE RES Emit'!C11+'NE C Emit'!C11+'NE I emit'!C11</f>
        <v>2.5736330878693598</v>
      </c>
      <c r="D11" s="189">
        <f>'NE RES Emit'!D11+'NE C Emit'!D11+'NE I emit'!D11</f>
        <v>2.8481598870589333</v>
      </c>
      <c r="E11" s="189">
        <f>'NE RES Emit'!E11+'NE C Emit'!E11+'NE I emit'!E11</f>
        <v>2.7988302046013462</v>
      </c>
      <c r="F11" s="189">
        <f>'NE RES Emit'!F11+'NE C Emit'!F11+'NE I emit'!F11</f>
        <v>2.6052189554038998</v>
      </c>
      <c r="G11" s="189">
        <f>'NE RES Emit'!G11+'NE C Emit'!G11+'NE I emit'!G11</f>
        <v>2.4409434794023399</v>
      </c>
      <c r="H11" s="189">
        <f>'NE RES Emit'!H11+'NE C Emit'!H11+'NE I emit'!H11</f>
        <v>2.5983686682174469</v>
      </c>
      <c r="I11" s="189">
        <f>'NE RES Emit'!I11+'NE C Emit'!I11+'NE I emit'!I11</f>
        <v>2.6120701050783532</v>
      </c>
      <c r="J11" s="189">
        <f>'NE RES Emit'!J11+'NE C Emit'!J11+'NE I emit'!J11</f>
        <v>2.6352170546382263</v>
      </c>
      <c r="K11" s="189">
        <f>'NE RES Emit'!K11+'NE C Emit'!K11+'NE I emit'!K11</f>
        <v>2.5414073343306263</v>
      </c>
      <c r="L11" s="189">
        <f>'NE RES Emit'!L11+'NE C Emit'!L11+'NE I emit'!L11</f>
        <v>2.9581261841374467</v>
      </c>
      <c r="M11" s="189">
        <f>'NE RES Emit'!M11+'NE C Emit'!M11+'NE I emit'!M11</f>
        <v>2.8939000946748932</v>
      </c>
      <c r="N11" s="189">
        <f>'NE RES Emit'!N11+'NE C Emit'!N11+'NE I emit'!N11</f>
        <v>2.7187505478941132</v>
      </c>
      <c r="O11" s="189">
        <f>'NE RES Emit'!O11+'NE C Emit'!O11+'NE I emit'!O11</f>
        <v>2.8959149157141129</v>
      </c>
      <c r="P11" s="189">
        <f>'NE RES Emit'!P11+'NE C Emit'!P11+'NE I emit'!P11</f>
        <v>3.2307294642807793</v>
      </c>
      <c r="Q11" s="189">
        <f>'NE RES Emit'!Q11+'NE C Emit'!Q11+'NE I emit'!Q11</f>
        <v>2.9867346733141131</v>
      </c>
      <c r="R11" s="189">
        <f>'NE RES Emit'!R11+'NE C Emit'!R11+'NE I emit'!R11</f>
        <v>2.8441087432741132</v>
      </c>
      <c r="S11" s="189">
        <f>'NE RES Emit'!S11+'NE C Emit'!S11+'NE I emit'!S11</f>
        <v>2.7278079328241134</v>
      </c>
      <c r="T11" s="189">
        <f>'NE RES Emit'!T11+'NE C Emit'!T11+'NE I emit'!T11</f>
        <v>2.4717440055733335</v>
      </c>
      <c r="U11" s="189">
        <f>'NE RES Emit'!U11+'NE C Emit'!U11+'NE I emit'!U11</f>
        <v>2.6595034005833331</v>
      </c>
      <c r="V11" s="189">
        <f>'NE RES Emit'!V11+'NE C Emit'!V11+'NE I emit'!V11</f>
        <v>2.4645671261566666</v>
      </c>
      <c r="W11" s="189">
        <f>'NE RES Emit'!W11+'NE C Emit'!W11+'NE I emit'!W11</f>
        <v>2.4942880103899996</v>
      </c>
      <c r="X11" s="189">
        <f>'NE RES Emit'!X11+'NE C Emit'!X11+'NE I emit'!X11</f>
        <v>2.2246177691833329</v>
      </c>
      <c r="Y11" s="189">
        <f>'NE RES Emit'!Y11+'NE C Emit'!Y11+'NE I emit'!Y11</f>
        <v>2.4460129442099996</v>
      </c>
      <c r="Z11" s="189">
        <f>'NE RES Emit'!Z11+'NE C Emit'!Z11+'NE I emit'!Z11</f>
        <v>2.6300855646999999</v>
      </c>
      <c r="AA11" s="189">
        <f>'NE RES Emit'!AA11+'NE C Emit'!AA11+'NE I emit'!AA11</f>
        <v>2.8316050077333332</v>
      </c>
      <c r="AB11" s="189">
        <f>'NE RES Emit'!AB11+'NE C Emit'!AB11+'NE I emit'!AB11</f>
        <v>2.5943609403433334</v>
      </c>
      <c r="AC11" s="189">
        <f>'NE RES Emit'!AC11+'NE C Emit'!AC11+'NE I emit'!AC11</f>
        <v>2.601887162013333</v>
      </c>
      <c r="AD11" s="189">
        <f>'NE RES Emit'!AD11+'NE C Emit'!AD11+'NE I emit'!AD11</f>
        <v>2.8349436774999996</v>
      </c>
      <c r="AE11" s="189">
        <f>'NE RES Emit'!AE11+'NE C Emit'!AE11+'NE I emit'!AE11</f>
        <v>2.8872347337166664</v>
      </c>
      <c r="AF11" s="189">
        <f>'NE RES Emit'!AF11+'NE C Emit'!AF11+'NE I emit'!AF11</f>
        <v>2.7754988794866664</v>
      </c>
      <c r="AG11" s="189">
        <f>'NE RES Emit'!AG11+'NE C Emit'!AG11+'NE I emit'!AG11</f>
        <v>2.6898067945099999</v>
      </c>
      <c r="AH11" s="189">
        <f>'NE RES Emit'!AH11+'NE C Emit'!AH11+'NE I emit'!AH11</f>
        <v>2.6725918601066665</v>
      </c>
      <c r="AI11" s="189">
        <f>'NE RES Emit'!AI11+'NE C Emit'!AI11+'NE I emit'!AI11</f>
        <v>2.5771128955733329</v>
      </c>
      <c r="AJ11" s="100">
        <f t="shared" si="6"/>
        <v>4.0788435194127603E-7</v>
      </c>
      <c r="AK11" s="100">
        <f t="shared" si="7"/>
        <v>1.2581231450405952E-2</v>
      </c>
      <c r="AL11" s="100">
        <f t="shared" si="8"/>
        <v>2.466116087962637E-2</v>
      </c>
      <c r="AM11">
        <f t="shared" si="0"/>
        <v>2.2246177691833329</v>
      </c>
      <c r="AN11" s="113">
        <f t="shared" si="1"/>
        <v>0.15845199623637041</v>
      </c>
      <c r="AO11">
        <f t="shared" si="2"/>
        <v>3.2307294642807793</v>
      </c>
      <c r="AP11" s="149">
        <f t="shared" si="3"/>
        <v>-0.31141935783268249</v>
      </c>
      <c r="AQ11">
        <f>CORREL(B11:AI11,'NE HDD'!B11:AI11)</f>
        <v>0.41827996393172456</v>
      </c>
      <c r="AR11" s="113">
        <f>+AL11/AVERAGE(V11:AI11)</f>
        <v>9.4012222505234552E-3</v>
      </c>
      <c r="AS11">
        <f t="shared" si="10"/>
        <v>2.4661160879626377E-2</v>
      </c>
      <c r="AT11">
        <f t="shared" si="11"/>
        <v>1.0220949416317383E-2</v>
      </c>
      <c r="AU11">
        <f t="shared" si="12"/>
        <v>12</v>
      </c>
      <c r="AV11">
        <f t="shared" si="13"/>
        <v>2.1788128296672284</v>
      </c>
      <c r="AW11">
        <f t="shared" si="14"/>
        <v>2.3916251599742921E-3</v>
      </c>
      <c r="AX11">
        <f t="shared" si="15"/>
        <v>4.6930696599278461E-2</v>
      </c>
      <c r="AY11">
        <f t="shared" si="16"/>
        <v>9.4012222505234586E-3</v>
      </c>
      <c r="AZ11" s="343">
        <f t="shared" si="4"/>
        <v>9.1172511215549404E-4</v>
      </c>
      <c r="BA11" s="343">
        <f t="shared" si="5"/>
        <v>1.7890719388891422E-2</v>
      </c>
    </row>
    <row r="12" spans="1:53" x14ac:dyDescent="0.25">
      <c r="A12" s="348" t="s">
        <v>2228</v>
      </c>
      <c r="B12" s="37">
        <f>SUM(B3:B11)</f>
        <v>221.87073325215727</v>
      </c>
      <c r="C12" s="37">
        <f t="shared" ref="C12:AI12" si="17">SUM(C3:C11)</f>
        <v>220.49471360682301</v>
      </c>
      <c r="D12" s="37">
        <f t="shared" si="17"/>
        <v>243.01471613761461</v>
      </c>
      <c r="E12" s="37">
        <f t="shared" si="17"/>
        <v>239.54220708063602</v>
      </c>
      <c r="F12" s="37">
        <f t="shared" si="17"/>
        <v>244.56673234215882</v>
      </c>
      <c r="G12" s="37">
        <f t="shared" si="17"/>
        <v>236.10851958120273</v>
      </c>
      <c r="H12" s="37">
        <f t="shared" si="17"/>
        <v>244.69004746223715</v>
      </c>
      <c r="I12" s="37">
        <f t="shared" si="17"/>
        <v>238.88628469947338</v>
      </c>
      <c r="J12" s="37">
        <f t="shared" si="17"/>
        <v>219.9033609391029</v>
      </c>
      <c r="K12" s="37">
        <f t="shared" si="17"/>
        <v>226.52184748894814</v>
      </c>
      <c r="L12" s="37">
        <f t="shared" si="17"/>
        <v>234.22495110509035</v>
      </c>
      <c r="M12" s="37">
        <f t="shared" si="17"/>
        <v>225.12694377359091</v>
      </c>
      <c r="N12" s="37">
        <f t="shared" si="17"/>
        <v>222.02197227933746</v>
      </c>
      <c r="O12" s="37">
        <f t="shared" si="17"/>
        <v>236.85048332356754</v>
      </c>
      <c r="P12" s="37">
        <f t="shared" si="17"/>
        <v>234.69325221259626</v>
      </c>
      <c r="Q12" s="37">
        <f t="shared" si="17"/>
        <v>225.9654825463609</v>
      </c>
      <c r="R12" s="37">
        <f t="shared" si="17"/>
        <v>199.58868705907568</v>
      </c>
      <c r="S12" s="37">
        <f t="shared" si="17"/>
        <v>210.28067957883994</v>
      </c>
      <c r="T12" s="37">
        <f t="shared" si="17"/>
        <v>209.80792114460675</v>
      </c>
      <c r="U12" s="37">
        <f t="shared" si="17"/>
        <v>195.3240839161885</v>
      </c>
      <c r="V12" s="37">
        <f t="shared" si="17"/>
        <v>195.30998964288591</v>
      </c>
      <c r="W12" s="37">
        <f t="shared" si="17"/>
        <v>196.18362927725087</v>
      </c>
      <c r="X12" s="37">
        <f t="shared" si="17"/>
        <v>180.93384628589041</v>
      </c>
      <c r="Y12" s="37">
        <f t="shared" si="17"/>
        <v>198.6922984135513</v>
      </c>
      <c r="Z12" s="37">
        <f t="shared" si="17"/>
        <v>214.66812558980209</v>
      </c>
      <c r="AA12" s="37">
        <f t="shared" si="17"/>
        <v>212.28994203513656</v>
      </c>
      <c r="AB12" s="37">
        <f t="shared" si="17"/>
        <v>194.64183340804789</v>
      </c>
      <c r="AC12" s="37">
        <f t="shared" si="17"/>
        <v>198.66614479628291</v>
      </c>
      <c r="AD12" s="37">
        <f t="shared" si="17"/>
        <v>220.0639633539983</v>
      </c>
      <c r="AE12" s="37">
        <f t="shared" si="17"/>
        <v>218.12160100928619</v>
      </c>
      <c r="AF12" s="37">
        <f t="shared" si="17"/>
        <v>198.42237041344953</v>
      </c>
      <c r="AG12" s="37">
        <f t="shared" si="17"/>
        <v>210.99992121701283</v>
      </c>
      <c r="AH12" s="37">
        <f t="shared" si="17"/>
        <v>220.79893309209294</v>
      </c>
      <c r="AI12" s="37">
        <f t="shared" si="17"/>
        <v>213.93668285500544</v>
      </c>
      <c r="AJ12" s="100">
        <f t="shared" ref="AJ12" si="18">SLOPE(B12:AI12,B$57:AI$57)</f>
        <v>-1.0911527413298991</v>
      </c>
      <c r="AK12" s="100">
        <f t="shared" ref="AK12" si="19">SLOPE(B12:U12,B$57:U$57)</f>
        <v>-1.526048068365401</v>
      </c>
      <c r="AL12" s="100">
        <f t="shared" ref="AL12" si="20">SLOPE(V12:AI12,V$57:AI$57)</f>
        <v>1.8158995264669162</v>
      </c>
      <c r="AM12">
        <f t="shared" ref="AM12" si="21">MIN(B12:AI12)</f>
        <v>180.93384628589041</v>
      </c>
      <c r="AN12" s="113">
        <f t="shared" ref="AN12" si="22">AI12/AM12-1</f>
        <v>0.18240278005789934</v>
      </c>
      <c r="AO12">
        <f t="shared" ref="AO12" si="23">MAX(B12:AI12)</f>
        <v>244.69004746223715</v>
      </c>
      <c r="AP12" s="149">
        <f t="shared" ref="AP12" si="24">AM12/AO12-1</f>
        <v>-0.26055902901480366</v>
      </c>
      <c r="AQ12" t="e">
        <f>CORREL(B12:AI12,'NE HDD'!B12:AI12)</f>
        <v>#DIV/0!</v>
      </c>
      <c r="AR12" s="113">
        <f>+AL12/AVERAGE(V12:AI12)</f>
        <v>8.8465512514257563E-3</v>
      </c>
      <c r="AS12">
        <f t="shared" ref="AS12" si="25">INDEX(LINEST(V12:AI12,V$57:AI$57,TRUE,TRUE),1,1)</f>
        <v>1.8158995264669162</v>
      </c>
      <c r="AT12">
        <f t="shared" ref="AT12" si="26">INDEX(LINEST(V12:AI12,V$57:AI$57,TRUE,TRUE),2,1)</f>
        <v>0.64656840875860033</v>
      </c>
      <c r="AU12">
        <f t="shared" ref="AU12" si="27">INDEX(LINEST(V12:AI12,V$57:AI$57,TRUE,TRUE),4,2)</f>
        <v>12</v>
      </c>
      <c r="AV12">
        <f t="shared" ref="AV12" si="28">_xlfn.T.INV.2T(0.05,AU12)</f>
        <v>2.1788128296672284</v>
      </c>
      <c r="AW12">
        <f t="shared" ref="AW12" si="29">+AS12-AV12*AT12</f>
        <v>0.407147982206153</v>
      </c>
      <c r="AX12">
        <f t="shared" ref="AX12" si="30">AS12+AT12*AV12</f>
        <v>3.2246510707276794</v>
      </c>
      <c r="AY12">
        <f t="shared" ref="AY12" si="31">AS12/AVERAGE(V12:AI12)</f>
        <v>8.8465512514257563E-3</v>
      </c>
      <c r="AZ12" s="343">
        <f t="shared" ref="AZ12" si="32">AW12/AVERAGE(V12:AI12)</f>
        <v>1.9835103423972047E-3</v>
      </c>
      <c r="BA12" s="343">
        <f t="shared" ref="BA12" si="33">AX12/AVERAGE(V12:AI12)</f>
        <v>1.5709592160454307E-2</v>
      </c>
    </row>
    <row r="13" spans="1:53" x14ac:dyDescent="0.25">
      <c r="A13" t="s">
        <v>2201</v>
      </c>
      <c r="B13">
        <v>29.369032172200857</v>
      </c>
      <c r="C13">
        <v>28.484120299972609</v>
      </c>
      <c r="D13">
        <v>32.092126470351417</v>
      </c>
      <c r="E13">
        <v>31.437036521231601</v>
      </c>
      <c r="F13">
        <v>31.240221083692848</v>
      </c>
      <c r="G13">
        <v>29.055006014243872</v>
      </c>
      <c r="H13">
        <v>28.939078171359775</v>
      </c>
      <c r="I13">
        <v>29.211025882124979</v>
      </c>
      <c r="J13">
        <v>26.298952028503727</v>
      </c>
      <c r="K13">
        <v>25.947505253545565</v>
      </c>
      <c r="L13">
        <v>28.099908572354696</v>
      </c>
      <c r="M13">
        <v>28.540538994006372</v>
      </c>
      <c r="N13">
        <v>28.485554573593809</v>
      </c>
      <c r="O13">
        <v>28.145016129708985</v>
      </c>
      <c r="P13">
        <v>26.057100556393397</v>
      </c>
      <c r="Q13">
        <v>26.27851275730281</v>
      </c>
      <c r="R13">
        <v>22.376133989054942</v>
      </c>
      <c r="S13">
        <v>23.308641212354804</v>
      </c>
      <c r="T13">
        <v>24.102601915589155</v>
      </c>
      <c r="U13">
        <v>23.107360085174079</v>
      </c>
      <c r="V13">
        <v>24.209162883001547</v>
      </c>
      <c r="W13">
        <v>24.008476724062515</v>
      </c>
      <c r="X13">
        <v>20.509075301309991</v>
      </c>
      <c r="Y13">
        <v>22.733604682115413</v>
      </c>
      <c r="Z13">
        <v>24.352199120674609</v>
      </c>
      <c r="AA13">
        <v>24.669656922183343</v>
      </c>
      <c r="AB13">
        <v>21.625648028614421</v>
      </c>
      <c r="AC13">
        <v>23.016071965499631</v>
      </c>
      <c r="AD13">
        <v>24.635788310641409</v>
      </c>
      <c r="AE13">
        <v>25.246624195773123</v>
      </c>
      <c r="AF13">
        <v>22.654145402916306</v>
      </c>
      <c r="AG13">
        <v>23.337639042465355</v>
      </c>
      <c r="AH13">
        <v>24.597998011143048</v>
      </c>
      <c r="AS13">
        <f>MAX(AS3:AS11)</f>
        <v>1.6688558232848596</v>
      </c>
      <c r="AY13">
        <f>MAX(AY3:AY11)</f>
        <v>2.8346992401121304E-2</v>
      </c>
      <c r="AZ13">
        <f>MAX(AZ3:AZ11)</f>
        <v>2.0039517472028135E-2</v>
      </c>
      <c r="BA13">
        <f>MAX(BA3:BA11)</f>
        <v>3.6654467330214477E-2</v>
      </c>
    </row>
    <row r="14" spans="1:53" x14ac:dyDescent="0.25">
      <c r="B14" s="37">
        <f>B13-B4</f>
        <v>0.98544148964811384</v>
      </c>
      <c r="C14" s="37">
        <f t="shared" ref="C14:AH14" si="34">C13-C4</f>
        <v>0.73940122299191557</v>
      </c>
      <c r="D14" s="37">
        <f t="shared" si="34"/>
        <v>0.97457108599194697</v>
      </c>
      <c r="E14" s="37">
        <f t="shared" si="34"/>
        <v>0.82594886313758309</v>
      </c>
      <c r="F14" s="37">
        <f t="shared" si="34"/>
        <v>0.45906498372832161</v>
      </c>
      <c r="G14" s="37">
        <f t="shared" si="34"/>
        <v>0.44977594917338592</v>
      </c>
      <c r="H14" s="37">
        <f t="shared" si="34"/>
        <v>0.42473362989773022</v>
      </c>
      <c r="I14" s="37">
        <f t="shared" si="34"/>
        <v>0.31434650046683288</v>
      </c>
      <c r="J14" s="37">
        <f t="shared" si="34"/>
        <v>7.2492070162816447E-2</v>
      </c>
      <c r="K14" s="37">
        <f t="shared" si="34"/>
        <v>0.71285693732097144</v>
      </c>
      <c r="L14" s="37">
        <f t="shared" si="34"/>
        <v>0.66609913723931768</v>
      </c>
      <c r="M14" s="37">
        <f t="shared" si="34"/>
        <v>0.50259236689177555</v>
      </c>
      <c r="N14" s="37">
        <f t="shared" si="34"/>
        <v>0.61539954300751631</v>
      </c>
      <c r="O14" s="37">
        <f t="shared" si="34"/>
        <v>0.75725858645474275</v>
      </c>
      <c r="P14" s="37">
        <f t="shared" si="34"/>
        <v>0.77768231302986379</v>
      </c>
      <c r="Q14" s="37">
        <f t="shared" si="34"/>
        <v>0.50654131458956186</v>
      </c>
      <c r="R14" s="37">
        <f t="shared" si="34"/>
        <v>0.23725848601240074</v>
      </c>
      <c r="S14" s="37">
        <f t="shared" si="34"/>
        <v>0.27023043779056621</v>
      </c>
      <c r="T14" s="37">
        <f t="shared" si="34"/>
        <v>0.30155732476030295</v>
      </c>
      <c r="U14" s="37">
        <f t="shared" si="34"/>
        <v>0.48941029063507813</v>
      </c>
      <c r="V14" s="37">
        <f t="shared" si="34"/>
        <v>0.55676073309006924</v>
      </c>
      <c r="W14" s="37">
        <f t="shared" si="34"/>
        <v>0.34560308041415411</v>
      </c>
      <c r="X14" s="37">
        <f t="shared" si="34"/>
        <v>0.3307588296657471</v>
      </c>
      <c r="Y14" s="37">
        <f t="shared" si="34"/>
        <v>0.35878258452606104</v>
      </c>
      <c r="Z14" s="37">
        <f t="shared" si="34"/>
        <v>0.25758300636015008</v>
      </c>
      <c r="AA14" s="37">
        <f t="shared" si="34"/>
        <v>0.23758863843824329</v>
      </c>
      <c r="AB14" s="37">
        <f t="shared" si="34"/>
        <v>-3.0922482315361322E-2</v>
      </c>
      <c r="AC14" s="37">
        <f t="shared" si="34"/>
        <v>-8.696797668682521E-2</v>
      </c>
      <c r="AD14" s="37">
        <f t="shared" si="34"/>
        <v>3.1161971558287149E-2</v>
      </c>
      <c r="AE14" s="37">
        <f t="shared" si="34"/>
        <v>0.10057640745078089</v>
      </c>
      <c r="AF14" s="37">
        <f t="shared" si="34"/>
        <v>-1.5181342423694844E-2</v>
      </c>
      <c r="AG14" s="37">
        <f t="shared" si="34"/>
        <v>7.9135800153551372E-3</v>
      </c>
      <c r="AH14" s="37">
        <f t="shared" si="34"/>
        <v>9.5838783956381235E-2</v>
      </c>
    </row>
    <row r="21" spans="1:35" x14ac:dyDescent="0.25">
      <c r="A21" t="s">
        <v>2177</v>
      </c>
    </row>
    <row r="22" spans="1:35" x14ac:dyDescent="0.25">
      <c r="A22" s="136" t="s">
        <v>1786</v>
      </c>
      <c r="B22" s="136" t="s">
        <v>1821</v>
      </c>
      <c r="C22" s="136" t="s">
        <v>1822</v>
      </c>
      <c r="D22" s="136" t="s">
        <v>1823</v>
      </c>
      <c r="E22" s="136" t="s">
        <v>1824</v>
      </c>
      <c r="F22" s="136" t="s">
        <v>1825</v>
      </c>
      <c r="G22" s="136" t="s">
        <v>1826</v>
      </c>
      <c r="H22" s="136" t="s">
        <v>1827</v>
      </c>
      <c r="I22" s="136" t="s">
        <v>1828</v>
      </c>
      <c r="J22" s="136" t="s">
        <v>1829</v>
      </c>
      <c r="K22" s="136" t="s">
        <v>1830</v>
      </c>
      <c r="L22" s="136" t="s">
        <v>1831</v>
      </c>
      <c r="M22" s="136" t="s">
        <v>1832</v>
      </c>
      <c r="N22" s="136" t="s">
        <v>1833</v>
      </c>
      <c r="O22" s="136" t="s">
        <v>1834</v>
      </c>
      <c r="P22" s="136" t="s">
        <v>1835</v>
      </c>
      <c r="Q22" s="136" t="s">
        <v>1836</v>
      </c>
      <c r="R22" s="136" t="s">
        <v>1837</v>
      </c>
      <c r="S22" s="136" t="s">
        <v>1838</v>
      </c>
      <c r="T22" s="136" t="s">
        <v>1839</v>
      </c>
      <c r="U22" s="136" t="s">
        <v>1840</v>
      </c>
      <c r="V22" s="136" t="s">
        <v>1841</v>
      </c>
      <c r="W22" s="136" t="s">
        <v>1842</v>
      </c>
      <c r="X22" s="136" t="s">
        <v>1843</v>
      </c>
      <c r="Y22" s="136" t="s">
        <v>1844</v>
      </c>
      <c r="Z22" s="136" t="s">
        <v>1845</v>
      </c>
      <c r="AA22" s="136" t="s">
        <v>1846</v>
      </c>
      <c r="AB22" s="136" t="s">
        <v>1847</v>
      </c>
      <c r="AC22" s="136" t="s">
        <v>1848</v>
      </c>
      <c r="AD22" s="136" t="s">
        <v>1849</v>
      </c>
      <c r="AE22" s="136" t="s">
        <v>1850</v>
      </c>
      <c r="AF22" s="136" t="s">
        <v>1851</v>
      </c>
      <c r="AG22" s="136" t="s">
        <v>1852</v>
      </c>
      <c r="AH22" s="136" t="s">
        <v>1853</v>
      </c>
      <c r="AI22" s="136" t="s">
        <v>1854</v>
      </c>
    </row>
    <row r="23" spans="1:35" x14ac:dyDescent="0.25">
      <c r="A23" s="138" t="s">
        <v>1922</v>
      </c>
      <c r="B23" s="37">
        <f>B3/$V3</f>
        <v>1.1436313755076146</v>
      </c>
      <c r="C23" s="37">
        <f t="shared" ref="C23:AI31" si="35">C3/$V3</f>
        <v>1.1213797143224156</v>
      </c>
      <c r="D23" s="37">
        <f t="shared" si="35"/>
        <v>1.303108773277726</v>
      </c>
      <c r="E23" s="37">
        <f t="shared" si="35"/>
        <v>1.2381418215660465</v>
      </c>
      <c r="F23" s="37">
        <f t="shared" si="35"/>
        <v>1.2001400414940173</v>
      </c>
      <c r="G23" s="37">
        <f t="shared" si="35"/>
        <v>1.1086885852916573</v>
      </c>
      <c r="H23" s="37">
        <f t="shared" si="35"/>
        <v>1.175637882563221</v>
      </c>
      <c r="I23" s="37">
        <f t="shared" si="35"/>
        <v>1.1598969009320454</v>
      </c>
      <c r="J23" s="37">
        <f t="shared" si="35"/>
        <v>1.0449154669796514</v>
      </c>
      <c r="K23" s="37">
        <f t="shared" si="35"/>
        <v>1.1388248675158508</v>
      </c>
      <c r="L23" s="37">
        <f t="shared" si="35"/>
        <v>1.2258265754153739</v>
      </c>
      <c r="M23" s="37">
        <f t="shared" si="35"/>
        <v>1.1829661363330057</v>
      </c>
      <c r="N23" s="37">
        <f t="shared" si="35"/>
        <v>1.1352328979541289</v>
      </c>
      <c r="O23" s="37">
        <f t="shared" si="35"/>
        <v>1.3586408585112486</v>
      </c>
      <c r="P23" s="37">
        <f t="shared" si="35"/>
        <v>1.3040020639407244</v>
      </c>
      <c r="Q23" s="37">
        <f t="shared" si="35"/>
        <v>1.2331475205146618</v>
      </c>
      <c r="R23" s="37">
        <f t="shared" si="35"/>
        <v>1.0956854513886944</v>
      </c>
      <c r="S23" s="37">
        <f t="shared" si="35"/>
        <v>1.0934166519728152</v>
      </c>
      <c r="T23" s="37">
        <f t="shared" si="35"/>
        <v>1.0370882290393915</v>
      </c>
      <c r="U23" s="37">
        <f t="shared" si="35"/>
        <v>1.0444049492590368</v>
      </c>
      <c r="V23" s="37">
        <f t="shared" si="35"/>
        <v>1</v>
      </c>
      <c r="W23" s="37">
        <f t="shared" si="35"/>
        <v>0.99878298679759492</v>
      </c>
      <c r="X23" s="37">
        <f t="shared" si="35"/>
        <v>0.91858967994219554</v>
      </c>
      <c r="Y23" s="37">
        <f t="shared" si="35"/>
        <v>1.0121862228539984</v>
      </c>
      <c r="Z23" s="37">
        <f t="shared" si="35"/>
        <v>1.0406949188545878</v>
      </c>
      <c r="AA23" s="37">
        <f t="shared" si="35"/>
        <v>1.0847134381497365</v>
      </c>
      <c r="AB23" s="37">
        <f t="shared" si="35"/>
        <v>0.93316366849235965</v>
      </c>
      <c r="AC23" s="37">
        <f t="shared" si="35"/>
        <v>0.95326598193273948</v>
      </c>
      <c r="AD23" s="37">
        <f t="shared" si="35"/>
        <v>1.0615481950693451</v>
      </c>
      <c r="AE23" s="37">
        <f t="shared" si="35"/>
        <v>1.0357925378772805</v>
      </c>
      <c r="AF23" s="37">
        <f t="shared" si="35"/>
        <v>0.94494368338313728</v>
      </c>
      <c r="AG23" s="37">
        <f t="shared" si="35"/>
        <v>1.0148096662518222</v>
      </c>
      <c r="AH23" s="37">
        <f t="shared" si="35"/>
        <v>1.0116808191460855</v>
      </c>
      <c r="AI23" s="37">
        <f t="shared" si="35"/>
        <v>0.98697324086569305</v>
      </c>
    </row>
    <row r="24" spans="1:35" x14ac:dyDescent="0.25">
      <c r="A24" s="138" t="s">
        <v>1788</v>
      </c>
      <c r="B24" s="37">
        <f t="shared" ref="B24:Q31" si="36">B4/$V4</f>
        <v>1.2000299378749981</v>
      </c>
      <c r="C24" s="37">
        <f t="shared" si="36"/>
        <v>1.1730190828454408</v>
      </c>
      <c r="D24" s="37">
        <f t="shared" si="36"/>
        <v>1.3156192418483774</v>
      </c>
      <c r="E24" s="37">
        <f t="shared" si="36"/>
        <v>1.2942062909330578</v>
      </c>
      <c r="F24" s="37">
        <f t="shared" si="36"/>
        <v>1.3013966152304632</v>
      </c>
      <c r="G24" s="37">
        <f t="shared" si="36"/>
        <v>1.2094006301671794</v>
      </c>
      <c r="H24" s="37">
        <f t="shared" si="36"/>
        <v>1.2055580807706148</v>
      </c>
      <c r="I24" s="37">
        <f t="shared" si="36"/>
        <v>1.2217228169260725</v>
      </c>
      <c r="J24" s="37">
        <f t="shared" si="36"/>
        <v>1.1088285998231713</v>
      </c>
      <c r="K24" s="37">
        <f t="shared" si="36"/>
        <v>1.066895791652986</v>
      </c>
      <c r="L24" s="37">
        <f t="shared" si="36"/>
        <v>1.1598741329204929</v>
      </c>
      <c r="M24" s="37">
        <f t="shared" si="36"/>
        <v>1.1854164515471648</v>
      </c>
      <c r="N24" s="37">
        <f t="shared" si="36"/>
        <v>1.1783223900025985</v>
      </c>
      <c r="O24" s="37">
        <f t="shared" si="36"/>
        <v>1.1579271048102293</v>
      </c>
      <c r="P24" s="37">
        <f t="shared" si="36"/>
        <v>1.0687886195719087</v>
      </c>
      <c r="Q24" s="37">
        <f t="shared" si="36"/>
        <v>1.0896132781511032</v>
      </c>
      <c r="R24" s="37">
        <f t="shared" si="35"/>
        <v>0.93600960116963849</v>
      </c>
      <c r="S24" s="37">
        <f t="shared" si="35"/>
        <v>0.97404105631826754</v>
      </c>
      <c r="T24" s="37">
        <f t="shared" si="35"/>
        <v>1.0062844543220288</v>
      </c>
      <c r="U24" s="37">
        <f t="shared" si="35"/>
        <v>0.95626438495269928</v>
      </c>
      <c r="V24" s="37">
        <f t="shared" si="35"/>
        <v>1</v>
      </c>
      <c r="W24" s="37">
        <f t="shared" si="35"/>
        <v>1.0004427243233271</v>
      </c>
      <c r="X24" s="37">
        <f t="shared" si="35"/>
        <v>0.85311911846212896</v>
      </c>
      <c r="Y24" s="37">
        <f t="shared" si="35"/>
        <v>0.94598518813333687</v>
      </c>
      <c r="Z24" s="37">
        <f t="shared" si="35"/>
        <v>1.0186963658743913</v>
      </c>
      <c r="AA24" s="37">
        <f t="shared" si="35"/>
        <v>1.0329635074227139</v>
      </c>
      <c r="AB24" s="37">
        <f t="shared" si="35"/>
        <v>0.91561822658299574</v>
      </c>
      <c r="AC24" s="37">
        <f t="shared" si="35"/>
        <v>0.9767735131407328</v>
      </c>
      <c r="AD24" s="37">
        <f t="shared" si="35"/>
        <v>1.0402590900973332</v>
      </c>
      <c r="AE24" s="37">
        <f t="shared" si="35"/>
        <v>1.0631498495985303</v>
      </c>
      <c r="AF24" s="37">
        <f t="shared" si="35"/>
        <v>0.95843655125003213</v>
      </c>
      <c r="AG24" s="37">
        <f t="shared" si="35"/>
        <v>0.98635755110976386</v>
      </c>
      <c r="AH24" s="37">
        <f t="shared" si="35"/>
        <v>1.0359268826857135</v>
      </c>
      <c r="AI24" s="37">
        <f t="shared" si="35"/>
        <v>0.94961055053587429</v>
      </c>
    </row>
    <row r="25" spans="1:35" x14ac:dyDescent="0.25">
      <c r="A25" s="138" t="s">
        <v>1923</v>
      </c>
      <c r="B25" s="37">
        <f t="shared" si="36"/>
        <v>1.1293945066006508</v>
      </c>
      <c r="C25" s="37">
        <f t="shared" si="35"/>
        <v>1.1760537020959483</v>
      </c>
      <c r="D25" s="37">
        <f t="shared" si="35"/>
        <v>1.1507231360124126</v>
      </c>
      <c r="E25" s="37">
        <f t="shared" si="35"/>
        <v>1.2565592317255558</v>
      </c>
      <c r="F25" s="37">
        <f t="shared" si="35"/>
        <v>1.4416845501094659</v>
      </c>
      <c r="G25" s="37">
        <f t="shared" si="35"/>
        <v>1.3717418888840431</v>
      </c>
      <c r="H25" s="37">
        <f t="shared" si="35"/>
        <v>1.4442817967413224</v>
      </c>
      <c r="I25" s="37">
        <f t="shared" si="35"/>
        <v>1.3439702110880487</v>
      </c>
      <c r="J25" s="37">
        <f t="shared" si="35"/>
        <v>1.3160377612254508</v>
      </c>
      <c r="K25" s="37">
        <f t="shared" si="35"/>
        <v>1.2353428205220693</v>
      </c>
      <c r="L25" s="37">
        <f t="shared" si="35"/>
        <v>1.338451121965109</v>
      </c>
      <c r="M25" s="37">
        <f t="shared" si="35"/>
        <v>1.217686446131989</v>
      </c>
      <c r="N25" s="37">
        <f t="shared" si="35"/>
        <v>1.2826304927968479</v>
      </c>
      <c r="O25" s="37">
        <f t="shared" si="35"/>
        <v>1.3031878238723553</v>
      </c>
      <c r="P25" s="37">
        <f t="shared" si="35"/>
        <v>1.4851925096044063</v>
      </c>
      <c r="Q25" s="37">
        <f t="shared" si="35"/>
        <v>1.3572713910414758</v>
      </c>
      <c r="R25" s="37">
        <f t="shared" si="35"/>
        <v>1.2594477551749572</v>
      </c>
      <c r="S25" s="37">
        <f t="shared" si="35"/>
        <v>1.287284148485772</v>
      </c>
      <c r="T25" s="37">
        <f t="shared" si="35"/>
        <v>1.1607190622523695</v>
      </c>
      <c r="U25" s="37">
        <f t="shared" si="35"/>
        <v>1.0673917060805111</v>
      </c>
      <c r="V25" s="37">
        <f t="shared" si="35"/>
        <v>1</v>
      </c>
      <c r="W25" s="37">
        <f t="shared" si="35"/>
        <v>1.0167075008380291</v>
      </c>
      <c r="X25" s="37">
        <f t="shared" si="35"/>
        <v>0.88302141247537813</v>
      </c>
      <c r="Y25" s="37">
        <f t="shared" si="35"/>
        <v>0.90437536273574315</v>
      </c>
      <c r="Z25" s="37">
        <f t="shared" si="35"/>
        <v>0.87123247158035955</v>
      </c>
      <c r="AA25" s="37">
        <f t="shared" si="35"/>
        <v>0.914785303945015</v>
      </c>
      <c r="AB25" s="37">
        <f t="shared" si="35"/>
        <v>0.85923941242305024</v>
      </c>
      <c r="AC25" s="37">
        <f t="shared" si="35"/>
        <v>0.866124326732017</v>
      </c>
      <c r="AD25" s="37">
        <f t="shared" si="35"/>
        <v>0.91224137429546726</v>
      </c>
      <c r="AE25" s="37">
        <f t="shared" si="35"/>
        <v>0.921253413990064</v>
      </c>
      <c r="AF25" s="37">
        <f t="shared" si="35"/>
        <v>0.87806797382903645</v>
      </c>
      <c r="AG25" s="37">
        <f t="shared" si="35"/>
        <v>0.8633488439944943</v>
      </c>
      <c r="AH25" s="37">
        <f t="shared" si="35"/>
        <v>0.85528860649546967</v>
      </c>
      <c r="AI25" s="37">
        <f t="shared" si="35"/>
        <v>0.86707649804325604</v>
      </c>
    </row>
    <row r="26" spans="1:35" x14ac:dyDescent="0.25">
      <c r="A26" s="138" t="s">
        <v>1924</v>
      </c>
      <c r="B26" s="37">
        <f t="shared" si="36"/>
        <v>1.0751820285337272</v>
      </c>
      <c r="C26" s="37">
        <f t="shared" si="35"/>
        <v>1.0453788772266026</v>
      </c>
      <c r="D26" s="37">
        <f t="shared" si="35"/>
        <v>1.1198408175393741</v>
      </c>
      <c r="E26" s="37">
        <f t="shared" si="35"/>
        <v>1.1598952881058953</v>
      </c>
      <c r="F26" s="37">
        <f t="shared" si="35"/>
        <v>1.2024316044779031</v>
      </c>
      <c r="G26" s="37">
        <f t="shared" si="35"/>
        <v>1.1842396106008481</v>
      </c>
      <c r="H26" s="37">
        <f t="shared" si="35"/>
        <v>1.2395940114941739</v>
      </c>
      <c r="I26" s="37">
        <f t="shared" si="35"/>
        <v>1.2310208636172293</v>
      </c>
      <c r="J26" s="37">
        <f t="shared" si="35"/>
        <v>1.1701810758193001</v>
      </c>
      <c r="K26" s="37">
        <f t="shared" si="35"/>
        <v>1.1798097493732165</v>
      </c>
      <c r="L26" s="37">
        <f t="shared" si="35"/>
        <v>1.3183522218776091</v>
      </c>
      <c r="M26" s="37">
        <f t="shared" si="35"/>
        <v>1.2799745092706036</v>
      </c>
      <c r="N26" s="37">
        <f t="shared" si="35"/>
        <v>1.205631626989816</v>
      </c>
      <c r="O26" s="37">
        <f t="shared" si="35"/>
        <v>1.440617310112257</v>
      </c>
      <c r="P26" s="37">
        <f t="shared" si="35"/>
        <v>1.4979020276614232</v>
      </c>
      <c r="Q26" s="37">
        <f t="shared" si="35"/>
        <v>1.4519988237146522</v>
      </c>
      <c r="R26" s="37">
        <f t="shared" si="35"/>
        <v>1.25795009935539</v>
      </c>
      <c r="S26" s="37">
        <f t="shared" si="35"/>
        <v>1.2086776637410235</v>
      </c>
      <c r="T26" s="37">
        <f t="shared" si="35"/>
        <v>1.181935897565928</v>
      </c>
      <c r="U26" s="37">
        <f t="shared" si="35"/>
        <v>1.1079196168786658</v>
      </c>
      <c r="V26" s="37">
        <f t="shared" si="35"/>
        <v>1</v>
      </c>
      <c r="W26" s="37">
        <f t="shared" si="35"/>
        <v>1.056360343561801</v>
      </c>
      <c r="X26" s="37">
        <f t="shared" si="35"/>
        <v>0.91410894838620071</v>
      </c>
      <c r="Y26" s="37">
        <f t="shared" si="35"/>
        <v>1.0313800704239335</v>
      </c>
      <c r="Z26" s="37">
        <f t="shared" si="35"/>
        <v>1.1759495214357145</v>
      </c>
      <c r="AA26" s="37">
        <f t="shared" si="35"/>
        <v>1.1755469776952174</v>
      </c>
      <c r="AB26" s="37">
        <f t="shared" si="35"/>
        <v>1.099465595365211</v>
      </c>
      <c r="AC26" s="37">
        <f t="shared" si="35"/>
        <v>1.1643549473733759</v>
      </c>
      <c r="AD26" s="37">
        <f t="shared" si="35"/>
        <v>1.258156478630434</v>
      </c>
      <c r="AE26" s="37">
        <f t="shared" si="35"/>
        <v>1.2458705356880959</v>
      </c>
      <c r="AF26" s="37">
        <f t="shared" si="35"/>
        <v>1.1577042239035973</v>
      </c>
      <c r="AG26" s="37">
        <f t="shared" si="35"/>
        <v>1.0907391870338741</v>
      </c>
      <c r="AH26" s="37">
        <f t="shared" si="35"/>
        <v>1.1201170224273751</v>
      </c>
      <c r="AI26" s="37">
        <f t="shared" si="35"/>
        <v>1.1300954225793289</v>
      </c>
    </row>
    <row r="27" spans="1:35" x14ac:dyDescent="0.25">
      <c r="A27" s="138" t="s">
        <v>1939</v>
      </c>
      <c r="B27" s="37">
        <f t="shared" si="36"/>
        <v>1.1562274976895341</v>
      </c>
      <c r="C27" s="37">
        <f t="shared" si="35"/>
        <v>1.1715796343588452</v>
      </c>
      <c r="D27" s="37">
        <f t="shared" si="35"/>
        <v>1.3519710984087672</v>
      </c>
      <c r="E27" s="37">
        <f t="shared" si="35"/>
        <v>1.3079416280841798</v>
      </c>
      <c r="F27" s="37">
        <f t="shared" si="35"/>
        <v>1.3856485758152306</v>
      </c>
      <c r="G27" s="37">
        <f t="shared" si="35"/>
        <v>1.3089045041524099</v>
      </c>
      <c r="H27" s="37">
        <f t="shared" si="35"/>
        <v>1.3670263788393937</v>
      </c>
      <c r="I27" s="37">
        <f t="shared" si="35"/>
        <v>1.3534446873045916</v>
      </c>
      <c r="J27" s="37">
        <f t="shared" si="35"/>
        <v>1.2401509899503687</v>
      </c>
      <c r="K27" s="37">
        <f t="shared" si="35"/>
        <v>1.3388444344668118</v>
      </c>
      <c r="L27" s="37">
        <f t="shared" si="35"/>
        <v>1.140834674303417</v>
      </c>
      <c r="M27" s="37">
        <f t="shared" si="35"/>
        <v>1.0951101255993099</v>
      </c>
      <c r="N27" s="37">
        <f t="shared" si="35"/>
        <v>1.0540948699392649</v>
      </c>
      <c r="O27" s="37">
        <f t="shared" si="35"/>
        <v>1.1398009890086616</v>
      </c>
      <c r="P27" s="37">
        <f t="shared" si="35"/>
        <v>1.1337903704299821</v>
      </c>
      <c r="Q27" s="37">
        <f t="shared" si="35"/>
        <v>1.1096230448736926</v>
      </c>
      <c r="R27" s="37">
        <f t="shared" si="35"/>
        <v>0.94482732109537448</v>
      </c>
      <c r="S27" s="37">
        <f t="shared" si="35"/>
        <v>1.0474875648593471</v>
      </c>
      <c r="T27" s="37">
        <f t="shared" si="35"/>
        <v>1.0014241130680281</v>
      </c>
      <c r="U27" s="37">
        <f t="shared" si="35"/>
        <v>0.99787573608026858</v>
      </c>
      <c r="V27" s="37">
        <f t="shared" si="35"/>
        <v>1</v>
      </c>
      <c r="W27" s="37">
        <f t="shared" si="35"/>
        <v>1.0132648280442507</v>
      </c>
      <c r="X27" s="37">
        <f t="shared" si="35"/>
        <v>0.92368663194372858</v>
      </c>
      <c r="Y27" s="37">
        <f t="shared" si="35"/>
        <v>0.99252032742035434</v>
      </c>
      <c r="Z27" s="37">
        <f t="shared" si="35"/>
        <v>1.0982112076248121</v>
      </c>
      <c r="AA27" s="37">
        <f t="shared" si="35"/>
        <v>1.0210256922724581</v>
      </c>
      <c r="AB27" s="37">
        <f t="shared" si="35"/>
        <v>0.94848322596166068</v>
      </c>
      <c r="AC27" s="37">
        <f t="shared" si="35"/>
        <v>0.93057807211400934</v>
      </c>
      <c r="AD27" s="37">
        <f t="shared" si="35"/>
        <v>1.0407675903707749</v>
      </c>
      <c r="AE27" s="37">
        <f t="shared" si="35"/>
        <v>1.0095394080662548</v>
      </c>
      <c r="AF27" s="37">
        <f t="shared" si="35"/>
        <v>0.91896385985449358</v>
      </c>
      <c r="AG27" s="37">
        <f t="shared" si="35"/>
        <v>0.98324489152384131</v>
      </c>
      <c r="AH27" s="37">
        <f t="shared" si="35"/>
        <v>1.0339763436886158</v>
      </c>
      <c r="AI27" s="37">
        <f t="shared" si="35"/>
        <v>0.97415081819931149</v>
      </c>
    </row>
    <row r="28" spans="1:35" x14ac:dyDescent="0.25">
      <c r="A28" s="138" t="s">
        <v>1925</v>
      </c>
      <c r="B28" s="37">
        <f t="shared" si="36"/>
        <v>1.1215027393890658</v>
      </c>
      <c r="C28" s="37">
        <f t="shared" si="35"/>
        <v>1.1013684069897289</v>
      </c>
      <c r="D28" s="37">
        <f t="shared" si="35"/>
        <v>1.2015330377030837</v>
      </c>
      <c r="E28" s="37">
        <f t="shared" si="35"/>
        <v>1.2096646851951105</v>
      </c>
      <c r="F28" s="37">
        <f t="shared" si="35"/>
        <v>1.2036668251387574</v>
      </c>
      <c r="G28" s="37">
        <f t="shared" si="35"/>
        <v>1.2079000887081319</v>
      </c>
      <c r="H28" s="37">
        <f t="shared" si="35"/>
        <v>1.2663077215854708</v>
      </c>
      <c r="I28" s="37">
        <f t="shared" si="35"/>
        <v>1.2536494853353515</v>
      </c>
      <c r="J28" s="37">
        <f t="shared" si="35"/>
        <v>1.1474682466348871</v>
      </c>
      <c r="K28" s="37">
        <f t="shared" si="35"/>
        <v>1.165984485252749</v>
      </c>
      <c r="L28" s="37">
        <f t="shared" si="35"/>
        <v>1.2758030328124523</v>
      </c>
      <c r="M28" s="37">
        <f t="shared" si="35"/>
        <v>1.2209537180835828</v>
      </c>
      <c r="N28" s="37">
        <f t="shared" si="35"/>
        <v>1.207081474938561</v>
      </c>
      <c r="O28" s="37">
        <f t="shared" si="35"/>
        <v>1.2820329714826242</v>
      </c>
      <c r="P28" s="37">
        <f t="shared" si="35"/>
        <v>1.2870888780371306</v>
      </c>
      <c r="Q28" s="37">
        <f t="shared" si="35"/>
        <v>1.210937287209688</v>
      </c>
      <c r="R28" s="37">
        <f t="shared" si="35"/>
        <v>1.0519426374837546</v>
      </c>
      <c r="S28" s="37">
        <f t="shared" si="35"/>
        <v>1.1297802916890414</v>
      </c>
      <c r="T28" s="37">
        <f t="shared" si="35"/>
        <v>1.0936035113742573</v>
      </c>
      <c r="U28" s="37">
        <f t="shared" si="35"/>
        <v>1.0280227897072134</v>
      </c>
      <c r="V28" s="37">
        <f t="shared" si="35"/>
        <v>1</v>
      </c>
      <c r="W28" s="37">
        <f t="shared" si="35"/>
        <v>0.9917249638857909</v>
      </c>
      <c r="X28" s="37">
        <f t="shared" si="35"/>
        <v>0.92188208073662448</v>
      </c>
      <c r="Y28" s="37">
        <f t="shared" si="35"/>
        <v>0.9773910756809292</v>
      </c>
      <c r="Z28" s="37">
        <f t="shared" si="35"/>
        <v>1.0269674641834448</v>
      </c>
      <c r="AA28" s="37">
        <f t="shared" si="35"/>
        <v>1.0420233938159136</v>
      </c>
      <c r="AB28" s="37">
        <f t="shared" si="35"/>
        <v>0.9487893913413642</v>
      </c>
      <c r="AC28" s="37">
        <f t="shared" si="35"/>
        <v>0.96509406664358632</v>
      </c>
      <c r="AD28" s="37">
        <f t="shared" si="35"/>
        <v>1.0712167308149014</v>
      </c>
      <c r="AE28" s="37">
        <f t="shared" si="35"/>
        <v>1.058937049762728</v>
      </c>
      <c r="AF28" s="37">
        <f t="shared" si="35"/>
        <v>0.94505544071807923</v>
      </c>
      <c r="AG28" s="37">
        <f t="shared" si="35"/>
        <v>1.0059588501549694</v>
      </c>
      <c r="AH28" s="37">
        <f t="shared" si="35"/>
        <v>1.0191410154586804</v>
      </c>
      <c r="AI28" s="37">
        <f t="shared" si="35"/>
        <v>0.96915611588083206</v>
      </c>
    </row>
    <row r="29" spans="1:35" x14ac:dyDescent="0.25">
      <c r="A29" s="138" t="s">
        <v>1940</v>
      </c>
      <c r="B29" s="37">
        <f t="shared" si="36"/>
        <v>1.1266847493818317</v>
      </c>
      <c r="C29" s="37">
        <f t="shared" si="35"/>
        <v>1.1003459799449204</v>
      </c>
      <c r="D29" s="37">
        <f t="shared" si="35"/>
        <v>1.1626391296734506</v>
      </c>
      <c r="E29" s="37">
        <f t="shared" si="35"/>
        <v>1.1622760835445676</v>
      </c>
      <c r="F29" s="37">
        <f t="shared" si="35"/>
        <v>1.1635554968953332</v>
      </c>
      <c r="G29" s="37">
        <f t="shared" si="35"/>
        <v>1.1310138847501121</v>
      </c>
      <c r="H29" s="37">
        <f t="shared" si="35"/>
        <v>1.1680963746028359</v>
      </c>
      <c r="I29" s="37">
        <f t="shared" si="35"/>
        <v>1.0857718306652655</v>
      </c>
      <c r="J29" s="37">
        <f t="shared" si="35"/>
        <v>0.98581590610865577</v>
      </c>
      <c r="K29" s="37">
        <f t="shared" si="35"/>
        <v>1.0557357675412555</v>
      </c>
      <c r="L29" s="37">
        <f t="shared" si="35"/>
        <v>1.1207033737283016</v>
      </c>
      <c r="M29" s="37">
        <f t="shared" si="35"/>
        <v>1.0533031115336613</v>
      </c>
      <c r="N29" s="37">
        <f t="shared" si="35"/>
        <v>1.0551727939396816</v>
      </c>
      <c r="O29" s="37">
        <f t="shared" si="35"/>
        <v>1.1233949069088223</v>
      </c>
      <c r="P29" s="37">
        <f t="shared" si="35"/>
        <v>1.0967301852024578</v>
      </c>
      <c r="Q29" s="37">
        <f t="shared" si="35"/>
        <v>1.0688801840540478</v>
      </c>
      <c r="R29" s="37">
        <f t="shared" si="35"/>
        <v>0.9934986400307193</v>
      </c>
      <c r="S29" s="37">
        <f t="shared" si="35"/>
        <v>1.0302107930791351</v>
      </c>
      <c r="T29" s="37">
        <f t="shared" si="35"/>
        <v>1.1276319988271801</v>
      </c>
      <c r="U29" s="37">
        <f t="shared" si="35"/>
        <v>0.94472790743106705</v>
      </c>
      <c r="V29" s="37">
        <f t="shared" si="35"/>
        <v>1</v>
      </c>
      <c r="W29" s="37">
        <f t="shared" si="35"/>
        <v>1.0165980567521606</v>
      </c>
      <c r="X29" s="37">
        <f t="shared" si="35"/>
        <v>0.9828876320558162</v>
      </c>
      <c r="Y29" s="37">
        <f t="shared" si="35"/>
        <v>1.1408761893026611</v>
      </c>
      <c r="Z29" s="37">
        <f t="shared" si="35"/>
        <v>1.280087830646238</v>
      </c>
      <c r="AA29" s="37">
        <f t="shared" si="35"/>
        <v>1.2306502057709185</v>
      </c>
      <c r="AB29" s="37">
        <f t="shared" si="35"/>
        <v>1.1648103461772363</v>
      </c>
      <c r="AC29" s="37">
        <f t="shared" si="35"/>
        <v>1.1953560515149046</v>
      </c>
      <c r="AD29" s="37">
        <f t="shared" si="35"/>
        <v>1.3403402986419968</v>
      </c>
      <c r="AE29" s="37">
        <f t="shared" si="35"/>
        <v>1.3365400647068701</v>
      </c>
      <c r="AF29" s="37">
        <f t="shared" si="35"/>
        <v>1.2316867311973012</v>
      </c>
      <c r="AG29" s="37">
        <f t="shared" si="35"/>
        <v>1.3431560984677804</v>
      </c>
      <c r="AH29" s="37">
        <f t="shared" si="35"/>
        <v>1.474140005893867</v>
      </c>
      <c r="AI29" s="37">
        <f t="shared" si="35"/>
        <v>1.4856977212610283</v>
      </c>
    </row>
    <row r="30" spans="1:35" x14ac:dyDescent="0.25">
      <c r="A30" s="138" t="s">
        <v>1926</v>
      </c>
      <c r="B30" s="37">
        <f t="shared" si="36"/>
        <v>1.0826240589067124</v>
      </c>
      <c r="C30" s="37">
        <f t="shared" si="35"/>
        <v>1.4115534957814042</v>
      </c>
      <c r="D30" s="37">
        <f t="shared" si="35"/>
        <v>1.8322619554091555</v>
      </c>
      <c r="E30" s="37">
        <f t="shared" si="35"/>
        <v>1.2664229113269692</v>
      </c>
      <c r="F30" s="37">
        <f t="shared" si="35"/>
        <v>1.789040304105401</v>
      </c>
      <c r="G30" s="37">
        <f t="shared" si="35"/>
        <v>1.6001749538183785</v>
      </c>
      <c r="H30" s="37">
        <f t="shared" si="35"/>
        <v>1.5165959651392167</v>
      </c>
      <c r="I30" s="37">
        <f t="shared" si="35"/>
        <v>1.4892270088076287</v>
      </c>
      <c r="J30" s="37">
        <f t="shared" si="35"/>
        <v>1.6276302172855963</v>
      </c>
      <c r="K30" s="37">
        <f t="shared" si="35"/>
        <v>1.4878237362835596</v>
      </c>
      <c r="L30" s="37">
        <f t="shared" si="35"/>
        <v>1.1656491398127002</v>
      </c>
      <c r="M30" s="37">
        <f t="shared" si="35"/>
        <v>1.164482179084346</v>
      </c>
      <c r="N30" s="37">
        <f t="shared" si="35"/>
        <v>1.098849270134282</v>
      </c>
      <c r="O30" s="37">
        <f t="shared" si="35"/>
        <v>1.2375727938214771</v>
      </c>
      <c r="P30" s="37">
        <f t="shared" si="35"/>
        <v>1.2212033472280772</v>
      </c>
      <c r="Q30" s="37">
        <f t="shared" si="35"/>
        <v>1.1877396830145266</v>
      </c>
      <c r="R30" s="37">
        <f t="shared" si="35"/>
        <v>1.0068737128018306</v>
      </c>
      <c r="S30" s="37">
        <f t="shared" si="35"/>
        <v>1.0479027098520908</v>
      </c>
      <c r="T30" s="37">
        <f t="shared" si="35"/>
        <v>0.9877173460759533</v>
      </c>
      <c r="U30" s="37">
        <f t="shared" si="35"/>
        <v>1.0818902103083547</v>
      </c>
      <c r="V30" s="37">
        <f t="shared" si="35"/>
        <v>1</v>
      </c>
      <c r="W30" s="37">
        <f t="shared" si="35"/>
        <v>0.94863517385993013</v>
      </c>
      <c r="X30" s="37">
        <f t="shared" si="35"/>
        <v>0.90299512945814719</v>
      </c>
      <c r="Y30" s="37">
        <f t="shared" si="35"/>
        <v>0.99117423820830819</v>
      </c>
      <c r="Z30" s="37">
        <f t="shared" si="35"/>
        <v>1.0710915748398571</v>
      </c>
      <c r="AA30" s="37">
        <f t="shared" si="35"/>
        <v>1.0758881385998031</v>
      </c>
      <c r="AB30" s="37">
        <f t="shared" si="35"/>
        <v>0.87660853020575624</v>
      </c>
      <c r="AC30" s="37">
        <f t="shared" si="35"/>
        <v>0.8924056663371337</v>
      </c>
      <c r="AD30" s="37">
        <f t="shared" si="35"/>
        <v>1.043728318080954</v>
      </c>
      <c r="AE30" s="37">
        <f t="shared" si="35"/>
        <v>0.96338366721480351</v>
      </c>
      <c r="AF30" s="37">
        <f t="shared" si="35"/>
        <v>0.87669712472032424</v>
      </c>
      <c r="AG30" s="37">
        <f t="shared" si="35"/>
        <v>0.97306010092276829</v>
      </c>
      <c r="AH30" s="37">
        <f t="shared" si="35"/>
        <v>0.96173762676317642</v>
      </c>
      <c r="AI30" s="37">
        <f t="shared" si="35"/>
        <v>0.9320012757038606</v>
      </c>
    </row>
    <row r="31" spans="1:35" x14ac:dyDescent="0.25">
      <c r="A31" s="138" t="s">
        <v>1927</v>
      </c>
      <c r="B31" s="37">
        <f t="shared" si="36"/>
        <v>0.98154302447639297</v>
      </c>
      <c r="C31" s="37">
        <f t="shared" si="35"/>
        <v>1.0442535975405849</v>
      </c>
      <c r="D31" s="37">
        <f t="shared" si="35"/>
        <v>1.1556430566776466</v>
      </c>
      <c r="E31" s="37">
        <f t="shared" si="35"/>
        <v>1.1356275002198626</v>
      </c>
      <c r="F31" s="37">
        <f t="shared" si="35"/>
        <v>1.0570695874965153</v>
      </c>
      <c r="G31" s="37">
        <f t="shared" si="35"/>
        <v>0.99041468722697512</v>
      </c>
      <c r="H31" s="37">
        <f t="shared" si="35"/>
        <v>1.0542900782213367</v>
      </c>
      <c r="I31" s="37">
        <f t="shared" ref="I31:AI31" si="37">I11/$V11</f>
        <v>1.0598494467268611</v>
      </c>
      <c r="J31" s="37">
        <f t="shared" si="37"/>
        <v>1.0692413392479503</v>
      </c>
      <c r="K31" s="37">
        <f t="shared" si="37"/>
        <v>1.0311779733481177</v>
      </c>
      <c r="L31" s="37">
        <f t="shared" si="37"/>
        <v>1.2002619659828271</v>
      </c>
      <c r="M31" s="37">
        <f t="shared" si="37"/>
        <v>1.174202180967878</v>
      </c>
      <c r="N31" s="37">
        <f t="shared" si="37"/>
        <v>1.103135118147027</v>
      </c>
      <c r="O31" s="37">
        <f t="shared" si="37"/>
        <v>1.1750196961484694</v>
      </c>
      <c r="P31" s="37">
        <f t="shared" si="37"/>
        <v>1.3108709557929117</v>
      </c>
      <c r="Q31" s="37">
        <f t="shared" si="37"/>
        <v>1.2118698823885286</v>
      </c>
      <c r="R31" s="37">
        <f t="shared" si="37"/>
        <v>1.1539993019826233</v>
      </c>
      <c r="S31" s="37">
        <f t="shared" si="37"/>
        <v>1.1068101590229169</v>
      </c>
      <c r="T31" s="37">
        <f t="shared" si="37"/>
        <v>1.0029120243228509</v>
      </c>
      <c r="U31" s="37">
        <f t="shared" si="37"/>
        <v>1.0790955427254509</v>
      </c>
      <c r="V31" s="37">
        <f t="shared" si="37"/>
        <v>1</v>
      </c>
      <c r="W31" s="37">
        <f t="shared" si="37"/>
        <v>1.012059271552356</v>
      </c>
      <c r="X31" s="37">
        <f t="shared" si="37"/>
        <v>0.90264036453836849</v>
      </c>
      <c r="Y31" s="37">
        <f t="shared" si="37"/>
        <v>0.99247162645734022</v>
      </c>
      <c r="Z31" s="37">
        <f t="shared" si="37"/>
        <v>1.0671592332733288</v>
      </c>
      <c r="AA31" s="37">
        <f t="shared" si="37"/>
        <v>1.1489259017055211</v>
      </c>
      <c r="AB31" s="37">
        <f t="shared" si="37"/>
        <v>1.0526639395653514</v>
      </c>
      <c r="AC31" s="37">
        <f t="shared" si="37"/>
        <v>1.055717709775188</v>
      </c>
      <c r="AD31" s="37">
        <f t="shared" si="37"/>
        <v>1.1502805695217202</v>
      </c>
      <c r="AE31" s="37">
        <f t="shared" si="37"/>
        <v>1.1714977056515083</v>
      </c>
      <c r="AF31" s="37">
        <f t="shared" si="37"/>
        <v>1.1261607971761263</v>
      </c>
      <c r="AG31" s="37">
        <f t="shared" si="37"/>
        <v>1.0913911680322459</v>
      </c>
      <c r="AH31" s="37">
        <f t="shared" si="37"/>
        <v>1.0844061952065396</v>
      </c>
      <c r="AI31" s="37">
        <f t="shared" si="37"/>
        <v>1.045665532182998</v>
      </c>
    </row>
    <row r="34" spans="1:40" x14ac:dyDescent="0.25">
      <c r="A34" t="s">
        <v>2012</v>
      </c>
    </row>
    <row r="35" spans="1:40" x14ac:dyDescent="0.25">
      <c r="A35" s="136" t="s">
        <v>1786</v>
      </c>
      <c r="B35" s="136" t="s">
        <v>1821</v>
      </c>
      <c r="C35" s="136" t="s">
        <v>1822</v>
      </c>
      <c r="D35" s="136" t="s">
        <v>1823</v>
      </c>
      <c r="E35" s="136" t="s">
        <v>1824</v>
      </c>
      <c r="F35" s="136" t="s">
        <v>1825</v>
      </c>
      <c r="G35" s="136" t="s">
        <v>1826</v>
      </c>
      <c r="H35" s="136" t="s">
        <v>1827</v>
      </c>
      <c r="I35" s="136" t="s">
        <v>1828</v>
      </c>
      <c r="J35" s="136" t="s">
        <v>1829</v>
      </c>
      <c r="K35" s="136" t="s">
        <v>1830</v>
      </c>
      <c r="L35" s="136" t="s">
        <v>1831</v>
      </c>
      <c r="M35" s="136" t="s">
        <v>1832</v>
      </c>
      <c r="N35" s="136" t="s">
        <v>1833</v>
      </c>
      <c r="O35" s="136" t="s">
        <v>1834</v>
      </c>
      <c r="P35" s="136" t="s">
        <v>1835</v>
      </c>
      <c r="Q35" s="136" t="s">
        <v>1836</v>
      </c>
      <c r="R35" s="136" t="s">
        <v>1837</v>
      </c>
      <c r="S35" s="136" t="s">
        <v>1838</v>
      </c>
      <c r="T35" s="136" t="s">
        <v>1839</v>
      </c>
      <c r="U35" s="136" t="s">
        <v>1840</v>
      </c>
      <c r="V35" s="136" t="s">
        <v>1841</v>
      </c>
      <c r="W35" s="136" t="s">
        <v>1842</v>
      </c>
      <c r="X35" s="136" t="s">
        <v>1843</v>
      </c>
      <c r="Y35" s="136" t="s">
        <v>1844</v>
      </c>
      <c r="Z35" s="136" t="s">
        <v>1845</v>
      </c>
      <c r="AA35" s="136" t="s">
        <v>1846</v>
      </c>
      <c r="AB35" s="136" t="s">
        <v>1847</v>
      </c>
      <c r="AC35" s="136" t="s">
        <v>1848</v>
      </c>
      <c r="AD35" s="136" t="s">
        <v>1849</v>
      </c>
      <c r="AE35" s="136" t="s">
        <v>1850</v>
      </c>
      <c r="AF35" s="136" t="s">
        <v>1851</v>
      </c>
      <c r="AG35" s="136" t="s">
        <v>1852</v>
      </c>
      <c r="AH35" s="136" t="s">
        <v>1853</v>
      </c>
      <c r="AI35" s="136" t="s">
        <v>1854</v>
      </c>
      <c r="AJ35" s="116" t="s">
        <v>2013</v>
      </c>
      <c r="AK35" s="116" t="s">
        <v>1983</v>
      </c>
      <c r="AL35" s="116" t="s">
        <v>2023</v>
      </c>
      <c r="AM35" s="116" t="s">
        <v>1986</v>
      </c>
      <c r="AN35" s="116" t="s">
        <v>2047</v>
      </c>
    </row>
    <row r="36" spans="1:40" x14ac:dyDescent="0.25">
      <c r="A36" s="138" t="s">
        <v>1922</v>
      </c>
      <c r="B36" s="37">
        <f>$AJ36*'NE HDD'!B3+$AK36</f>
        <v>13.002525003407413</v>
      </c>
      <c r="C36" s="37">
        <f>$AJ36*'NE HDD'!C3+$AK36</f>
        <v>13.285328818286859</v>
      </c>
      <c r="D36" s="37">
        <f>$AJ36*'NE HDD'!D3+$AK36</f>
        <v>15.666695521150228</v>
      </c>
      <c r="E36" s="37">
        <f>$AJ36*'NE HDD'!E3+$AK36</f>
        <v>15.381248679963498</v>
      </c>
      <c r="F36" s="37">
        <f>$AJ36*'NE HDD'!F3+$AK36</f>
        <v>15.304600917052245</v>
      </c>
      <c r="G36" s="37">
        <f>$AJ36*'NE HDD'!G3+$AK36</f>
        <v>15.05087039155293</v>
      </c>
      <c r="H36" s="37">
        <f>$AJ36*'NE HDD'!H3+$AK36</f>
        <v>15.381248679963498</v>
      </c>
      <c r="I36" s="37">
        <f>$AJ36*'NE HDD'!I3+$AK36</f>
        <v>15.037655260016507</v>
      </c>
      <c r="J36" s="37">
        <f>$AJ36*'NE HDD'!J3+$AK36</f>
        <v>12.648359478231285</v>
      </c>
      <c r="K36" s="37">
        <f>$AJ36*'NE HDD'!K3+$AK36</f>
        <v>13.64742342238484</v>
      </c>
      <c r="L36" s="37">
        <f>$AJ36*'NE HDD'!L3+$AK36</f>
        <v>14.953078418183402</v>
      </c>
      <c r="M36" s="37">
        <f>$AJ36*'NE HDD'!M3+$AK36</f>
        <v>13.800718948207344</v>
      </c>
      <c r="N36" s="37">
        <f>$AJ36*'NE HDD'!N3+$AK36</f>
        <v>13.866794605889456</v>
      </c>
      <c r="O36" s="37">
        <f>$AJ36*'NE HDD'!O3+$AK36</f>
        <v>15.87813762573299</v>
      </c>
      <c r="P36" s="37">
        <f>$AJ36*'NE HDD'!P3+$AK36</f>
        <v>15.058799470474785</v>
      </c>
      <c r="Q36" s="37">
        <f>$AJ36*'NE HDD'!Q3+$AK36</f>
        <v>15.138090259693321</v>
      </c>
      <c r="R36" s="37">
        <f>$AJ36*'NE HDD'!R3+$AK36</f>
        <v>13.124104213542502</v>
      </c>
      <c r="S36" s="37">
        <f>$AJ36*'NE HDD'!S3+$AK36</f>
        <v>14.522265130096022</v>
      </c>
      <c r="T36" s="37">
        <f>$AJ36*'NE HDD'!T3+$AK36</f>
        <v>14.424473156726494</v>
      </c>
      <c r="U36" s="37">
        <f>$AJ36*'NE HDD'!U3+$AK36</f>
        <v>14.939863286646979</v>
      </c>
      <c r="V36" s="37">
        <f>$AJ36*'NE HDD'!V3+$AK36</f>
        <v>13.409551054729231</v>
      </c>
      <c r="W36" s="37">
        <f>$AJ36*'NE HDD'!W3+$AK36</f>
        <v>13.623636185619279</v>
      </c>
      <c r="X36" s="37">
        <f>$AJ36*'NE HDD'!X3+$AK36</f>
        <v>12.098610006316102</v>
      </c>
      <c r="Y36" s="37">
        <f>$AJ36*'NE HDD'!Y3+$AK36</f>
        <v>14.482619735486754</v>
      </c>
      <c r="Z36" s="37">
        <f>$AJ36*'NE HDD'!Z3+$AK36</f>
        <v>15.209451969990003</v>
      </c>
      <c r="AA36" s="37">
        <f>$AJ36*'NE HDD'!AA3+$AK36</f>
        <v>14.50376394594503</v>
      </c>
      <c r="AB36" s="37">
        <f>$AJ36*'NE HDD'!AB3+$AK36</f>
        <v>12.986666845563706</v>
      </c>
      <c r="AC36" s="37">
        <f>$AJ36*'NE HDD'!AC3+$AK36</f>
        <v>13.18753684491733</v>
      </c>
      <c r="AD36" s="37">
        <f>$AJ36*'NE HDD'!AD3+$AK36</f>
        <v>13.977801710795408</v>
      </c>
      <c r="AE36" s="37">
        <f>$AJ36*'NE HDD'!AE3+$AK36</f>
        <v>14.501120919637746</v>
      </c>
      <c r="AF36" s="37">
        <f>$AJ36*'NE HDD'!AF3+$AK36</f>
        <v>12.933806319418014</v>
      </c>
      <c r="AG36" s="37">
        <f>$AJ36*'NE HDD'!AG3+$AK36</f>
        <v>13.108246055698794</v>
      </c>
      <c r="AH36" s="37">
        <f>$AJ36*'NE HDD'!AH3+$AK36</f>
        <v>13.681782764379539</v>
      </c>
      <c r="AI36" s="37">
        <f>$AJ36*'NE HDD'!AI3+$AK36</f>
        <v>12.265120663675027</v>
      </c>
      <c r="AJ36">
        <f>INDEX(LINEST(B3:AI3,'NE HDD'!B3:AI3,TRUE,TRUE),1,1)</f>
        <v>2.6430263072845374E-3</v>
      </c>
      <c r="AK36">
        <f>INDEX(LINEST(B3:AI3,'NE HDD'!B3:AI3,TRUE,TRUE),1,2)</f>
        <v>-1.1905262667105525</v>
      </c>
      <c r="AL36">
        <f>INDEX(LINEST(B3:AI3,'NE HDD'!B3:AI3,TRUE,TRUE),3,1)</f>
        <v>0.51704243907816594</v>
      </c>
      <c r="AM36">
        <f>INDEX(LINEST(B3:AI3,'NE HDD'!B3:AI3,TRUE,TRUE),4,1)</f>
        <v>34.258409825742753</v>
      </c>
      <c r="AN36">
        <f>_xlfn.F.DIST.RT(AM36,1,32)</f>
        <v>1.6615279897755949E-6</v>
      </c>
    </row>
    <row r="37" spans="1:40" x14ac:dyDescent="0.25">
      <c r="A37" s="138" t="s">
        <v>1788</v>
      </c>
      <c r="B37" s="37">
        <f>$AJ37*'NE HDD'!B4+$AK37</f>
        <v>24.146509027651909</v>
      </c>
      <c r="C37" s="37">
        <f>$AJ37*'NE HDD'!C4+$AK37</f>
        <v>24.435870372525827</v>
      </c>
      <c r="D37" s="37">
        <f>$AJ37*'NE HDD'!D4+$AK37</f>
        <v>28.36778041169493</v>
      </c>
      <c r="E37" s="37">
        <f>$AJ37*'NE HDD'!E4+$AK37</f>
        <v>27.674164246776574</v>
      </c>
      <c r="F37" s="37">
        <f>$AJ37*'NE HDD'!F4+$AK37</f>
        <v>27.367781646321838</v>
      </c>
      <c r="G37" s="37">
        <f>$AJ37*'NE HDD'!G4+$AK37</f>
        <v>27.099696870923943</v>
      </c>
      <c r="H37" s="37">
        <f>$AJ37*'NE HDD'!H4+$AK37</f>
        <v>27.440121982540315</v>
      </c>
      <c r="I37" s="37">
        <f>$AJ37*'NE HDD'!I4+$AK37</f>
        <v>27.274164740627334</v>
      </c>
      <c r="J37" s="37">
        <f>$AJ37*'NE HDD'!J4+$AK37</f>
        <v>23.286935620820568</v>
      </c>
      <c r="K37" s="37">
        <f>$AJ37*'NE HDD'!K4+$AK37</f>
        <v>24.478423511477875</v>
      </c>
      <c r="L37" s="37">
        <f>$AJ37*'NE HDD'!L4+$AK37</f>
        <v>26.712463306460318</v>
      </c>
      <c r="M37" s="37">
        <f>$AJ37*'NE HDD'!M4+$AK37</f>
        <v>25.010337748378458</v>
      </c>
      <c r="N37" s="37">
        <f>$AJ37*'NE HDD'!N4+$AK37</f>
        <v>25.001827120588047</v>
      </c>
      <c r="O37" s="37">
        <f>$AJ37*'NE HDD'!O4+$AK37</f>
        <v>28.291184761581249</v>
      </c>
      <c r="P37" s="37">
        <f>$AJ37*'NE HDD'!P4+$AK37</f>
        <v>27.07842030144792</v>
      </c>
      <c r="Q37" s="37">
        <f>$AJ37*'NE HDD'!Q4+$AK37</f>
        <v>26.942250256801369</v>
      </c>
      <c r="R37" s="37">
        <f>$AJ37*'NE HDD'!R4+$AK37</f>
        <v>23.71672232423624</v>
      </c>
      <c r="S37" s="37">
        <f>$AJ37*'NE HDD'!S4+$AK37</f>
        <v>26.299697858625468</v>
      </c>
      <c r="T37" s="37">
        <f>$AJ37*'NE HDD'!T4+$AK37</f>
        <v>25.950762119218684</v>
      </c>
      <c r="U37" s="37">
        <f>$AJ37*'NE HDD'!U4+$AK37</f>
        <v>26.793314270469207</v>
      </c>
      <c r="V37" s="37">
        <f>$AJ37*'NE HDD'!V4+$AK37</f>
        <v>23.993317727424543</v>
      </c>
      <c r="W37" s="37">
        <f>$AJ37*'NE HDD'!W4+$AK37</f>
        <v>24.584806358857989</v>
      </c>
      <c r="X37" s="37">
        <f>$AJ37*'NE HDD'!X4+$AK37</f>
        <v>22.180554008067357</v>
      </c>
      <c r="Y37" s="37">
        <f>$AJ37*'NE HDD'!Y4+$AK37</f>
        <v>25.891187724685821</v>
      </c>
      <c r="Z37" s="37">
        <f>$AJ37*'NE HDD'!Z4+$AK37</f>
        <v>26.869909920582892</v>
      </c>
      <c r="AA37" s="37">
        <f>$AJ37*'NE HDD'!AA4+$AK37</f>
        <v>26.316719114206286</v>
      </c>
      <c r="AB37" s="37">
        <f>$AJ37*'NE HDD'!AB4+$AK37</f>
        <v>23.946509274577291</v>
      </c>
      <c r="AC37" s="37">
        <f>$AJ37*'NE HDD'!AC4+$AK37</f>
        <v>24.308210955669686</v>
      </c>
      <c r="AD37" s="37">
        <f>$AJ37*'NE HDD'!AD4+$AK37</f>
        <v>25.435869137898923</v>
      </c>
      <c r="AE37" s="37">
        <f>$AJ37*'NE HDD'!AE4+$AK37</f>
        <v>26.218846894616579</v>
      </c>
      <c r="AF37" s="37">
        <f>$AJ37*'NE HDD'!AF4+$AK37</f>
        <v>23.197574029021272</v>
      </c>
      <c r="AG37" s="37">
        <f>$AJ37*'NE HDD'!AG4+$AK37</f>
        <v>23.11246775111718</v>
      </c>
      <c r="AH37" s="37">
        <f>$AJ37*'NE HDD'!AH4+$AK37</f>
        <v>23.933743332891677</v>
      </c>
      <c r="AI37" s="37">
        <f>$AJ37*'NE HDD'!AI4+$AK37</f>
        <v>22.001830824468762</v>
      </c>
      <c r="AJ37">
        <f>INDEX(LINEST(B4:AI4,'NE HDD'!B4:AI4,TRUE,TRUE),1,1)</f>
        <v>4.2553138952046579E-3</v>
      </c>
      <c r="AK37">
        <f>INDEX(LINEST(B4:AI4,'NE HDD'!B4:AI4,TRUE,TRUE),1,2)</f>
        <v>-0.35558838093650991</v>
      </c>
      <c r="AL37">
        <f>INDEX(LINEST(B4:AI4,'NE HDD'!B4:AI4,TRUE,TRUE),3,1)</f>
        <v>0.37618882649628677</v>
      </c>
      <c r="AM37">
        <f>INDEX(LINEST(B4:AI4,'NE HDD'!B4:AI4,TRUE,TRUE),4,1)</f>
        <v>19.297574264769914</v>
      </c>
      <c r="AN37">
        <f t="shared" ref="AN37:AN44" si="38">_xlfn.F.DIST.RT(AM37,1,32)</f>
        <v>1.148017308075986E-4</v>
      </c>
    </row>
    <row r="38" spans="1:40" x14ac:dyDescent="0.25">
      <c r="A38" s="138" t="s">
        <v>1923</v>
      </c>
      <c r="B38" s="37">
        <f>$AJ38*'NE HDD'!B5+$AK38</f>
        <v>7.6119366991500996</v>
      </c>
      <c r="C38" s="37">
        <f>$AJ38*'NE HDD'!C5+$AK38</f>
        <v>7.8920937989835505</v>
      </c>
      <c r="D38" s="37">
        <f>$AJ38*'NE HDD'!D5+$AK38</f>
        <v>8.9922612865317593</v>
      </c>
      <c r="E38" s="37">
        <f>$AJ38*'NE HDD'!E5+$AK38</f>
        <v>8.9434698815045852</v>
      </c>
      <c r="F38" s="37">
        <f>$AJ38*'NE HDD'!F5+$AK38</f>
        <v>8.7514520939782887</v>
      </c>
      <c r="G38" s="37">
        <f>$AJ38*'NE HDD'!G5+$AK38</f>
        <v>8.5405473109576011</v>
      </c>
      <c r="H38" s="37">
        <f>$AJ38*'NE HDD'!H5+$AK38</f>
        <v>8.5027733199688225</v>
      </c>
      <c r="I38" s="37">
        <f>$AJ38*'NE HDD'!I5+$AK38</f>
        <v>8.9308785511749917</v>
      </c>
      <c r="J38" s="37">
        <f>$AJ38*'NE HDD'!J5+$AK38</f>
        <v>7.1051356533839716</v>
      </c>
      <c r="K38" s="37">
        <f>$AJ38*'NE HDD'!K5+$AK38</f>
        <v>7.068935578686391</v>
      </c>
      <c r="L38" s="37">
        <f>$AJ38*'NE HDD'!L5+$AK38</f>
        <v>8.337512109392911</v>
      </c>
      <c r="M38" s="37">
        <f>$AJ38*'NE HDD'!M5+$AK38</f>
        <v>7.7095195092044477</v>
      </c>
      <c r="N38" s="37">
        <f>$AJ38*'NE HDD'!N5+$AK38</f>
        <v>8.0258766837354774</v>
      </c>
      <c r="O38" s="37">
        <f>$AJ38*'NE HDD'!O5+$AK38</f>
        <v>8.8144087456262543</v>
      </c>
      <c r="P38" s="37">
        <f>$AJ38*'NE HDD'!P5+$AK38</f>
        <v>8.6884954423303231</v>
      </c>
      <c r="Q38" s="37">
        <f>$AJ38*'NE HDD'!Q5+$AK38</f>
        <v>8.1738248151081994</v>
      </c>
      <c r="R38" s="37">
        <f>$AJ38*'NE HDD'!R5+$AK38</f>
        <v>6.891083037780886</v>
      </c>
      <c r="S38" s="37">
        <f>$AJ38*'NE HDD'!S5+$AK38</f>
        <v>8.46814716156244</v>
      </c>
      <c r="T38" s="37">
        <f>$AJ38*'NE HDD'!T5+$AK38</f>
        <v>8.0746680887626514</v>
      </c>
      <c r="U38" s="37">
        <f>$AJ38*'NE HDD'!U5+$AK38</f>
        <v>8.5122168177160162</v>
      </c>
      <c r="V38" s="37">
        <f>$AJ38*'NE HDD'!V5+$AK38</f>
        <v>6.6660130081394069</v>
      </c>
      <c r="W38" s="37">
        <f>$AJ38*'NE HDD'!W5+$AK38</f>
        <v>7.5615713778317275</v>
      </c>
      <c r="X38" s="37">
        <f>$AJ38*'NE HDD'!X5+$AK38</f>
        <v>6.9619092708848491</v>
      </c>
      <c r="Y38" s="37">
        <f>$AJ38*'NE HDD'!Y5+$AK38</f>
        <v>8.0148592696970837</v>
      </c>
      <c r="Z38" s="37">
        <f>$AJ38*'NE HDD'!Z5+$AK38</f>
        <v>8.3485295234313046</v>
      </c>
      <c r="AA38" s="37">
        <f>$AJ38*'NE HDD'!AA5+$AK38</f>
        <v>8.4571297475240463</v>
      </c>
      <c r="AB38" s="37">
        <f>$AJ38*'NE HDD'!AB5+$AK38</f>
        <v>7.268822947668685</v>
      </c>
      <c r="AC38" s="37">
        <f>$AJ38*'NE HDD'!AC5+$AK38</f>
        <v>7.6323976109356888</v>
      </c>
      <c r="AD38" s="37">
        <f>$AJ38*'NE HDD'!AD5+$AK38</f>
        <v>8.1612334847786059</v>
      </c>
      <c r="AE38" s="37">
        <f>$AJ38*'NE HDD'!AE5+$AK38</f>
        <v>8.5735995530727838</v>
      </c>
      <c r="AF38" s="37">
        <f>$AJ38*'NE HDD'!AF5+$AK38</f>
        <v>7.1366139792079544</v>
      </c>
      <c r="AG38" s="37">
        <f>$AJ38*'NE HDD'!AG5+$AK38</f>
        <v>6.7824828136881443</v>
      </c>
      <c r="AH38" s="37">
        <f>$AJ38*'NE HDD'!AH5+$AK38</f>
        <v>7.221605458932709</v>
      </c>
      <c r="AI38" s="37">
        <f>$AJ38*'NE HDD'!AI5+$AK38</f>
        <v>6.7573001530289591</v>
      </c>
      <c r="AJ38">
        <f>INDEX(LINEST(B5:AI5,'NE HDD'!B5:AI5,TRUE,TRUE),1,1)</f>
        <v>1.5739162911991556E-3</v>
      </c>
      <c r="AK38">
        <f>INDEX(LINEST(B5:AI5,'NE HDD'!B5:AI5,TRUE,TRUE),1,2)</f>
        <v>-4.1704006567667786</v>
      </c>
      <c r="AL38">
        <f>INDEX(LINEST(B5:AI5,'NE HDD'!B5:AI5,TRUE,TRUE),3,1)</f>
        <v>0.23941587061150338</v>
      </c>
      <c r="AM38">
        <f>INDEX(LINEST(B5:AI5,'NE HDD'!B5:AI5,TRUE,TRUE),4,1)</f>
        <v>10.072926272768454</v>
      </c>
      <c r="AN38">
        <f t="shared" si="38"/>
        <v>3.3162405663614298E-3</v>
      </c>
    </row>
    <row r="39" spans="1:40" x14ac:dyDescent="0.25">
      <c r="A39" s="138" t="s">
        <v>1924</v>
      </c>
      <c r="B39" s="37">
        <f>$AJ39*'NE HDD'!B6+$AK39</f>
        <v>4.8467786955953018</v>
      </c>
      <c r="C39" s="37">
        <f>$AJ39*'NE HDD'!C6+$AK39</f>
        <v>4.9054160550986454</v>
      </c>
      <c r="D39" s="37">
        <f>$AJ39*'NE HDD'!D6+$AK39</f>
        <v>5.4075340267680509</v>
      </c>
      <c r="E39" s="37">
        <f>$AJ39*'NE HDD'!E6+$AK39</f>
        <v>5.3187240453843465</v>
      </c>
      <c r="F39" s="37">
        <f>$AJ39*'NE HDD'!F6+$AK39</f>
        <v>5.3170161611269675</v>
      </c>
      <c r="G39" s="37">
        <f>$AJ39*'NE HDD'!G6+$AK39</f>
        <v>5.2116966319219333</v>
      </c>
      <c r="H39" s="37">
        <f>$AJ39*'NE HDD'!H6+$AK39</f>
        <v>5.2407306642973754</v>
      </c>
      <c r="I39" s="37">
        <f>$AJ39*'NE HDD'!I6+$AK39</f>
        <v>5.3306792351859995</v>
      </c>
      <c r="J39" s="37">
        <f>$AJ39*'NE HDD'!J6+$AK39</f>
        <v>4.6418325847098298</v>
      </c>
      <c r="K39" s="37">
        <f>$AJ39*'NE HDD'!K6+$AK39</f>
        <v>4.8194525474772387</v>
      </c>
      <c r="L39" s="37">
        <f>$AJ39*'NE HDD'!L6+$AK39</f>
        <v>5.1769696520218957</v>
      </c>
      <c r="M39" s="37">
        <f>$AJ39*'NE HDD'!M6+$AK39</f>
        <v>4.9407123297511433</v>
      </c>
      <c r="N39" s="37">
        <f>$AJ39*'NE HDD'!N6+$AK39</f>
        <v>4.9475438667806584</v>
      </c>
      <c r="O39" s="37">
        <f>$AJ39*'NE HDD'!O6+$AK39</f>
        <v>5.3779306996401495</v>
      </c>
      <c r="P39" s="37">
        <f>$AJ39*'NE HDD'!P6+$AK39</f>
        <v>5.1929099050907652</v>
      </c>
      <c r="Q39" s="37">
        <f>$AJ39*'NE HDD'!Q6+$AK39</f>
        <v>5.1251638295480682</v>
      </c>
      <c r="R39" s="37">
        <f>$AJ39*'NE HDD'!R6+$AK39</f>
        <v>4.7078707759951488</v>
      </c>
      <c r="S39" s="37">
        <f>$AJ39*'NE HDD'!S6+$AK39</f>
        <v>5.1672916412300811</v>
      </c>
      <c r="T39" s="37">
        <f>$AJ39*'NE HDD'!T6+$AK39</f>
        <v>5.08929826014311</v>
      </c>
      <c r="U39" s="37">
        <f>$AJ39*'NE HDD'!U6+$AK39</f>
        <v>5.2185281689514493</v>
      </c>
      <c r="V39" s="37">
        <f>$AJ39*'NE HDD'!V6+$AK39</f>
        <v>4.6890840491639807</v>
      </c>
      <c r="W39" s="37">
        <f>$AJ39*'NE HDD'!W6+$AK39</f>
        <v>4.8906143915346947</v>
      </c>
      <c r="X39" s="37">
        <f>$AJ39*'NE HDD'!X6+$AK39</f>
        <v>4.5501761295638268</v>
      </c>
      <c r="Y39" s="37">
        <f>$AJ39*'NE HDD'!Y6+$AK39</f>
        <v>5.0528633959856926</v>
      </c>
      <c r="Z39" s="37">
        <f>$AJ39*'NE HDD'!Z6+$AK39</f>
        <v>5.2378841905350777</v>
      </c>
      <c r="AA39" s="37">
        <f>$AJ39*'NE HDD'!AA6+$AK39</f>
        <v>5.1263024190529869</v>
      </c>
      <c r="AB39" s="37">
        <f>$AJ39*'NE HDD'!AB6+$AK39</f>
        <v>4.740320576885348</v>
      </c>
      <c r="AC39" s="37">
        <f>$AJ39*'NE HDD'!AC6+$AK39</f>
        <v>4.8422243375756242</v>
      </c>
      <c r="AD39" s="37">
        <f>$AJ39*'NE HDD'!AD6+$AK39</f>
        <v>5.0278144268774687</v>
      </c>
      <c r="AE39" s="37">
        <f>$AJ39*'NE HDD'!AE6+$AK39</f>
        <v>5.1980335578629022</v>
      </c>
      <c r="AF39" s="37">
        <f>$AJ39*'NE HDD'!AF6+$AK39</f>
        <v>4.731781155598453</v>
      </c>
      <c r="AG39" s="37">
        <f>$AJ39*'NE HDD'!AG6+$AK39</f>
        <v>4.6646043748082153</v>
      </c>
      <c r="AH39" s="37">
        <f>$AJ39*'NE HDD'!AH6+$AK39</f>
        <v>4.8222990212395374</v>
      </c>
      <c r="AI39" s="37">
        <f>$AJ39*'NE HDD'!AI6+$AK39</f>
        <v>4.5137412654064093</v>
      </c>
      <c r="AJ39">
        <f>INDEX(LINEST(B6:AI6,'NE HDD'!B6:AI6,TRUE,TRUE),1,1)</f>
        <v>5.6929475245964432E-4</v>
      </c>
      <c r="AK39">
        <f>INDEX(LINEST(B6:AI6,'NE HDD'!B6:AI6,TRUE,TRUE),1,2)</f>
        <v>0.80023159511214992</v>
      </c>
      <c r="AL39">
        <f>INDEX(LINEST(B6:AI6,'NE HDD'!B6:AI6,TRUE,TRUE),3,1)</f>
        <v>0.24113815551243387</v>
      </c>
      <c r="AM39">
        <f>INDEX(LINEST(B6:AI6,'NE HDD'!B6:AI6,TRUE,TRUE),4,1)</f>
        <v>10.168413437110576</v>
      </c>
      <c r="AN39">
        <f t="shared" si="38"/>
        <v>3.1886862363751738E-3</v>
      </c>
    </row>
    <row r="40" spans="1:40" x14ac:dyDescent="0.25">
      <c r="A40" s="138" t="s">
        <v>1939</v>
      </c>
      <c r="B40" s="37">
        <f>$AJ40*'NE HDD'!B7+$AK40</f>
        <v>30.88886762643439</v>
      </c>
      <c r="C40" s="37">
        <f>$AJ40*'NE HDD'!C7+$AK40</f>
        <v>32.404750811559119</v>
      </c>
      <c r="D40" s="37">
        <f>$AJ40*'NE HDD'!D7+$AK40</f>
        <v>38.179896019278182</v>
      </c>
      <c r="E40" s="37">
        <f>$AJ40*'NE HDD'!E7+$AK40</f>
        <v>37.691855579189252</v>
      </c>
      <c r="F40" s="37">
        <f>$AJ40*'NE HDD'!F7+$AK40</f>
        <v>37.595726401595975</v>
      </c>
      <c r="G40" s="37">
        <f>$AJ40*'NE HDD'!G7+$AK40</f>
        <v>37.100291409384482</v>
      </c>
      <c r="H40" s="37">
        <f>$AJ40*'NE HDD'!H7+$AK40</f>
        <v>38.268630644748903</v>
      </c>
      <c r="I40" s="37">
        <f>$AJ40*'NE HDD'!I7+$AK40</f>
        <v>36.730563803256494</v>
      </c>
      <c r="J40" s="37">
        <f>$AJ40*'NE HDD'!J7+$AK40</f>
        <v>29.846235777153488</v>
      </c>
      <c r="K40" s="37">
        <f>$AJ40*'NE HDD'!K7+$AK40</f>
        <v>33.661824672394253</v>
      </c>
      <c r="L40" s="37">
        <f>$AJ40*'NE HDD'!L7+$AK40</f>
        <v>36.249917915290119</v>
      </c>
      <c r="M40" s="37">
        <f>$AJ40*'NE HDD'!M7+$AK40</f>
        <v>33.462171765085145</v>
      </c>
      <c r="N40" s="37">
        <f>$AJ40*'NE HDD'!N7+$AK40</f>
        <v>33.025893189854123</v>
      </c>
      <c r="O40" s="37">
        <f>$AJ40*'NE HDD'!O7+$AK40</f>
        <v>38.386943478709853</v>
      </c>
      <c r="P40" s="37">
        <f>$AJ40*'NE HDD'!P7+$AK40</f>
        <v>35.340388004215285</v>
      </c>
      <c r="Q40" s="37">
        <f>$AJ40*'NE HDD'!Q7+$AK40</f>
        <v>36.175972394064523</v>
      </c>
      <c r="R40" s="37">
        <f>$AJ40*'NE HDD'!R7+$AK40</f>
        <v>30.437799946958258</v>
      </c>
      <c r="S40" s="37">
        <f>$AJ40*'NE HDD'!S7+$AK40</f>
        <v>34.349518019792299</v>
      </c>
      <c r="T40" s="37">
        <f>$AJ40*'NE HDD'!T7+$AK40</f>
        <v>34.408674436772777</v>
      </c>
      <c r="U40" s="37">
        <f>$AJ40*'NE HDD'!U7+$AK40</f>
        <v>35.436517181808561</v>
      </c>
      <c r="V40" s="37">
        <f>$AJ40*'NE HDD'!V7+$AK40</f>
        <v>33.343858931124188</v>
      </c>
      <c r="W40" s="37">
        <f>$AJ40*'NE HDD'!W7+$AK40</f>
        <v>32.389961707313994</v>
      </c>
      <c r="X40" s="37">
        <f>$AJ40*'NE HDD'!X7+$AK40</f>
        <v>29.143753325510318</v>
      </c>
      <c r="Y40" s="37">
        <f>$AJ40*'NE HDD'!Y7+$AK40</f>
        <v>35.125945992661059</v>
      </c>
      <c r="Z40" s="37">
        <f>$AJ40*'NE HDD'!Z7+$AK40</f>
        <v>37.86932483013068</v>
      </c>
      <c r="AA40" s="37">
        <f>$AJ40*'NE HDD'!AA7+$AK40</f>
        <v>34.578749135591643</v>
      </c>
      <c r="AB40" s="37">
        <f>$AJ40*'NE HDD'!AB7+$AK40</f>
        <v>32.042417757553693</v>
      </c>
      <c r="AC40" s="37">
        <f>$AJ40*'NE HDD'!AC7+$AK40</f>
        <v>31.561771869587318</v>
      </c>
      <c r="AD40" s="37">
        <f>$AJ40*'NE HDD'!AD7+$AK40</f>
        <v>34.630511000449566</v>
      </c>
      <c r="AE40" s="37">
        <f>$AJ40*'NE HDD'!AE7+$AK40</f>
        <v>33.876266683948479</v>
      </c>
      <c r="AF40" s="37">
        <f>$AJ40*'NE HDD'!AF7+$AK40</f>
        <v>30.363854425732661</v>
      </c>
      <c r="AG40" s="37">
        <f>$AJ40*'NE HDD'!AG7+$AK40</f>
        <v>31.413880827136126</v>
      </c>
      <c r="AH40" s="37">
        <f>$AJ40*'NE HDD'!AH7+$AK40</f>
        <v>33.817110266968008</v>
      </c>
      <c r="AI40" s="37">
        <f>$AJ40*'NE HDD'!AI7+$AK40</f>
        <v>28.840576688485378</v>
      </c>
      <c r="AJ40">
        <f>INDEX(LINEST(B7:AI7,'NE HDD'!B7:AI7,TRUE,TRUE),1,1)</f>
        <v>7.3945521225596269E-3</v>
      </c>
      <c r="AK40">
        <f>INDEX(LINEST(B7:AI7,'NE HDD'!B7:AI7,TRUE,TRUE),1,2)</f>
        <v>-3.7620036198800193</v>
      </c>
      <c r="AL40">
        <f>INDEX(LINEST(B7:AI7,'NE HDD'!B7:AI7,TRUE,TRUE),3,1)</f>
        <v>0.38241275376851719</v>
      </c>
      <c r="AM40">
        <f>INDEX(LINEST(B7:AI7,'NE HDD'!B7:AI7,TRUE,TRUE),4,1)</f>
        <v>19.814541500434132</v>
      </c>
      <c r="AN40">
        <f t="shared" si="38"/>
        <v>9.7087859178844851E-5</v>
      </c>
    </row>
    <row r="41" spans="1:40" x14ac:dyDescent="0.25">
      <c r="A41" s="138" t="s">
        <v>1925</v>
      </c>
      <c r="B41" s="37">
        <f>$AJ41*'NE HDD'!B8+$AK41</f>
        <v>64.56291411205089</v>
      </c>
      <c r="C41" s="37">
        <f>$AJ41*'NE HDD'!C8+$AK41</f>
        <v>65.793966903399976</v>
      </c>
      <c r="D41" s="37">
        <f>$AJ41*'NE HDD'!D8+$AK41</f>
        <v>76.052740164642273</v>
      </c>
      <c r="E41" s="37">
        <f>$AJ41*'NE HDD'!E8+$AK41</f>
        <v>75.722179692891132</v>
      </c>
      <c r="F41" s="37">
        <f>$AJ41*'NE HDD'!F8+$AK41</f>
        <v>75.266234214613704</v>
      </c>
      <c r="G41" s="37">
        <f>$AJ41*'NE HDD'!G8+$AK41</f>
        <v>73.374060479762335</v>
      </c>
      <c r="H41" s="37">
        <f>$AJ41*'NE HDD'!H8+$AK41</f>
        <v>75.437213768967737</v>
      </c>
      <c r="I41" s="37">
        <f>$AJ41*'NE HDD'!I8+$AK41</f>
        <v>73.989586875436885</v>
      </c>
      <c r="J41" s="37">
        <f>$AJ41*'NE HDD'!J8+$AK41</f>
        <v>62.237592172835974</v>
      </c>
      <c r="K41" s="37">
        <f>$AJ41*'NE HDD'!K8+$AK41</f>
        <v>67.640546090423584</v>
      </c>
      <c r="L41" s="37">
        <f>$AJ41*'NE HDD'!L8+$AK41</f>
        <v>73.157486377580554</v>
      </c>
      <c r="M41" s="37">
        <f>$AJ41*'NE HDD'!M8+$AK41</f>
        <v>67.173201975189215</v>
      </c>
      <c r="N41" s="37">
        <f>$AJ41*'NE HDD'!N8+$AK41</f>
        <v>67.45816789911261</v>
      </c>
      <c r="O41" s="37">
        <f>$AJ41*'NE HDD'!O8+$AK41</f>
        <v>76.109733349426961</v>
      </c>
      <c r="P41" s="37">
        <f>$AJ41*'NE HDD'!P8+$AK41</f>
        <v>72.359581790595044</v>
      </c>
      <c r="Q41" s="37">
        <f>$AJ41*'NE HDD'!Q8+$AK41</f>
        <v>72.359581790595044</v>
      </c>
      <c r="R41" s="37">
        <f>$AJ41*'NE HDD'!R8+$AK41</f>
        <v>63.708016340280707</v>
      </c>
      <c r="S41" s="37">
        <f>$AJ41*'NE HDD'!S8+$AK41</f>
        <v>70.547198514442243</v>
      </c>
      <c r="T41" s="37">
        <f>$AJ41*'NE HDD'!T8+$AK41</f>
        <v>70.057057125293994</v>
      </c>
      <c r="U41" s="37">
        <f>$AJ41*'NE HDD'!U8+$AK41</f>
        <v>72.291189968853431</v>
      </c>
      <c r="V41" s="37">
        <f>$AJ41*'NE HDD'!V8+$AK41</f>
        <v>66.626067401256293</v>
      </c>
      <c r="W41" s="37">
        <f>$AJ41*'NE HDD'!W8+$AK41</f>
        <v>66.899634688222761</v>
      </c>
      <c r="X41" s="37">
        <f>$AJ41*'NE HDD'!X8+$AK41</f>
        <v>60.231432068415259</v>
      </c>
      <c r="Y41" s="37">
        <f>$AJ41*'NE HDD'!Y8+$AK41</f>
        <v>70.752373979667084</v>
      </c>
      <c r="Z41" s="37">
        <f>$AJ41*'NE HDD'!Z8+$AK41</f>
        <v>74.149167792833978</v>
      </c>
      <c r="AA41" s="37">
        <f>$AJ41*'NE HDD'!AA8+$AK41</f>
        <v>70.513002603571437</v>
      </c>
      <c r="AB41" s="37">
        <f>$AJ41*'NE HDD'!AB8+$AK41</f>
        <v>64.585711385964771</v>
      </c>
      <c r="AC41" s="37">
        <f>$AJ41*'NE HDD'!AC8+$AK41</f>
        <v>65.326622788165594</v>
      </c>
      <c r="AD41" s="37">
        <f>$AJ41*'NE HDD'!AD8+$AK41</f>
        <v>70.262232590518849</v>
      </c>
      <c r="AE41" s="37">
        <f>$AJ41*'NE HDD'!AE8+$AK41</f>
        <v>71.253914005772259</v>
      </c>
      <c r="AF41" s="37">
        <f>$AJ41*'NE HDD'!AF8+$AK41</f>
        <v>63.856198620720875</v>
      </c>
      <c r="AG41" s="37">
        <f>$AJ41*'NE HDD'!AG8+$AK41</f>
        <v>64.323542735955243</v>
      </c>
      <c r="AH41" s="37">
        <f>$AJ41*'NE HDD'!AH8+$AK41</f>
        <v>68.107890205657952</v>
      </c>
      <c r="AI41" s="37">
        <f>$AJ41*'NE HDD'!AI8+$AK41</f>
        <v>60.903951648874475</v>
      </c>
      <c r="AJ41">
        <f>INDEX(LINEST(B8:AI8,'NE HDD'!B8:AI8,TRUE,TRUE),1,1)</f>
        <v>1.1398636956935892E-2</v>
      </c>
      <c r="AK41">
        <f>INDEX(LINEST(B8:AI8,'NE HDD'!B8:AI8,TRUE,TRUE),1,2)</f>
        <v>1.4372626445399277</v>
      </c>
      <c r="AL41">
        <f>INDEX(LINEST(B8:AI8,'NE HDD'!B8:AI8,TRUE,TRUE),3,1)</f>
        <v>0.42525800250362134</v>
      </c>
      <c r="AM41">
        <f>INDEX(LINEST(B8:AI8,'NE HDD'!B8:AI8,TRUE,TRUE),4,1)</f>
        <v>23.677156253405034</v>
      </c>
      <c r="AN41">
        <f t="shared" si="38"/>
        <v>2.9330898818446099E-5</v>
      </c>
    </row>
    <row r="42" spans="1:40" x14ac:dyDescent="0.25">
      <c r="A42" s="138" t="s">
        <v>1940</v>
      </c>
      <c r="B42" s="37">
        <f>$AJ42*'NE HDD'!B9+$AK42</f>
        <v>54.769171856673509</v>
      </c>
      <c r="C42" s="37">
        <f>$AJ42*'NE HDD'!C9+$AK42</f>
        <v>54.815106043573515</v>
      </c>
      <c r="D42" s="37">
        <f>$AJ42*'NE HDD'!D9+$AK42</f>
        <v>54.954623988846564</v>
      </c>
      <c r="E42" s="37">
        <f>$AJ42*'NE HDD'!E9+$AK42</f>
        <v>54.952908604273539</v>
      </c>
      <c r="F42" s="37">
        <f>$AJ42*'NE HDD'!F9+$AK42</f>
        <v>54.962438518568142</v>
      </c>
      <c r="G42" s="37">
        <f>$AJ42*'NE HDD'!G9+$AK42</f>
        <v>54.948906040269804</v>
      </c>
      <c r="H42" s="37">
        <f>$AJ42*'NE HDD'!H9+$AK42</f>
        <v>54.981117150585575</v>
      </c>
      <c r="I42" s="37">
        <f>$AJ42*'NE HDD'!I9+$AK42</f>
        <v>54.937088946544492</v>
      </c>
      <c r="J42" s="37">
        <f>$AJ42*'NE HDD'!J9+$AK42</f>
        <v>54.727049635491348</v>
      </c>
      <c r="K42" s="37">
        <f>$AJ42*'NE HDD'!K9+$AK42</f>
        <v>54.850366726463562</v>
      </c>
      <c r="L42" s="37">
        <f>$AJ42*'NE HDD'!L9+$AK42</f>
        <v>54.913645357379757</v>
      </c>
      <c r="M42" s="37">
        <f>$AJ42*'NE HDD'!M9+$AK42</f>
        <v>54.837215444737005</v>
      </c>
      <c r="N42" s="37">
        <f>$AJ42*'NE HDD'!N9+$AK42</f>
        <v>54.841599205312527</v>
      </c>
      <c r="O42" s="37">
        <f>$AJ42*'NE HDD'!O9+$AK42</f>
        <v>54.959579544279762</v>
      </c>
      <c r="P42" s="37">
        <f>$AJ42*'NE HDD'!P9+$AK42</f>
        <v>54.885055614495933</v>
      </c>
      <c r="Q42" s="37">
        <f>$AJ42*'NE HDD'!Q9+$AK42</f>
        <v>54.906783819087636</v>
      </c>
      <c r="R42" s="37">
        <f>$AJ42*'NE HDD'!R9+$AK42</f>
        <v>54.776605189823307</v>
      </c>
      <c r="S42" s="37">
        <f>$AJ42*'NE HDD'!S9+$AK42</f>
        <v>54.866376982478506</v>
      </c>
      <c r="T42" s="37">
        <f>$AJ42*'NE HDD'!T9+$AK42</f>
        <v>54.892870144217511</v>
      </c>
      <c r="U42" s="37">
        <f>$AJ42*'NE HDD'!U9+$AK42</f>
        <v>54.905068434514611</v>
      </c>
      <c r="V42" s="37">
        <f>$AJ42*'NE HDD'!V9+$AK42</f>
        <v>54.859515444186385</v>
      </c>
      <c r="W42" s="37">
        <f>$AJ42*'NE HDD'!W9+$AK42</f>
        <v>54.827685530442402</v>
      </c>
      <c r="X42" s="37">
        <f>$AJ42*'NE HDD'!X9+$AK42</f>
        <v>54.742488096648607</v>
      </c>
      <c r="Y42" s="37">
        <f>$AJ42*'NE HDD'!Y9+$AK42</f>
        <v>54.898969289366057</v>
      </c>
      <c r="Z42" s="37">
        <f>$AJ42*'NE HDD'!Z9+$AK42</f>
        <v>54.986263304304664</v>
      </c>
      <c r="AA42" s="37">
        <f>$AJ42*'NE HDD'!AA9+$AK42</f>
        <v>54.874763307057755</v>
      </c>
      <c r="AB42" s="37">
        <f>$AJ42*'NE HDD'!AB9+$AK42</f>
        <v>54.811865872713348</v>
      </c>
      <c r="AC42" s="37">
        <f>$AJ42*'NE HDD'!AC9+$AK42</f>
        <v>54.78861288183451</v>
      </c>
      <c r="AD42" s="37">
        <f>$AJ42*'NE HDD'!AD9+$AK42</f>
        <v>54.885246212781823</v>
      </c>
      <c r="AE42" s="37">
        <f>$AJ42*'NE HDD'!AE9+$AK42</f>
        <v>54.852844504180162</v>
      </c>
      <c r="AF42" s="37">
        <f>$AJ42*'NE HDD'!AF9+$AK42</f>
        <v>54.775842796679733</v>
      </c>
      <c r="AG42" s="37">
        <f>$AJ42*'NE HDD'!AG9+$AK42</f>
        <v>54.784419719544886</v>
      </c>
      <c r="AH42" s="37">
        <f>$AJ42*'NE HDD'!AH9+$AK42</f>
        <v>54.875144503629542</v>
      </c>
      <c r="AI42" s="37">
        <f>$AJ42*'NE HDD'!AI9+$AK42</f>
        <v>54.728383823492592</v>
      </c>
      <c r="AJ42">
        <f>INDEX(LINEST(B9:AI9,'NE HDD'!B9:AI9,TRUE,TRUE),1,1)</f>
        <v>1.9059828589214372E-4</v>
      </c>
      <c r="AK42">
        <f>INDEX(LINEST(B9:AI9,'NE HDD'!B9:AI9,TRUE,TRUE),1,2)</f>
        <v>53.787400086043078</v>
      </c>
      <c r="AL42">
        <f>INDEX(LINEST(B9:AI9,'NE HDD'!B9:AI9,TRUE,TRUE),3,1)</f>
        <v>1.3644029756192699E-4</v>
      </c>
      <c r="AM42">
        <f>INDEX(LINEST(B9:AI9,'NE HDD'!B9:AI9,TRUE,TRUE),4,1)</f>
        <v>4.3666853138252413E-3</v>
      </c>
      <c r="AN42">
        <f t="shared" si="38"/>
        <v>0.94772454784606897</v>
      </c>
    </row>
    <row r="43" spans="1:40" x14ac:dyDescent="0.25">
      <c r="A43" s="138" t="s">
        <v>1926</v>
      </c>
      <c r="B43" s="37">
        <f>$AJ43*'NE HDD'!B10+$AK43</f>
        <v>3.9684281455250776</v>
      </c>
      <c r="C43" s="37">
        <f>$AJ43*'NE HDD'!C10+$AK43</f>
        <v>4.0959979362342134</v>
      </c>
      <c r="D43" s="37">
        <f>$AJ43*'NE HDD'!D10+$AK43</f>
        <v>5.2633301071317913</v>
      </c>
      <c r="E43" s="37">
        <f>$AJ43*'NE HDD'!E10+$AK43</f>
        <v>5.0836350255952656</v>
      </c>
      <c r="F43" s="37">
        <f>$AJ43*'NE HDD'!F10+$AK43</f>
        <v>5.0123056802525223</v>
      </c>
      <c r="G43" s="37">
        <f>$AJ43*'NE HDD'!G10+$AK43</f>
        <v>4.8202651350989854</v>
      </c>
      <c r="H43" s="37">
        <f>$AJ43*'NE HDD'!H10+$AK43</f>
        <v>5.0712895619782525</v>
      </c>
      <c r="I43" s="37">
        <f>$AJ43*'NE HDD'!I10+$AK43</f>
        <v>4.9286308712927678</v>
      </c>
      <c r="J43" s="37">
        <f>$AJ43*'NE HDD'!J10+$AK43</f>
        <v>3.7695290094731995</v>
      </c>
      <c r="K43" s="37">
        <f>$AJ43*'NE HDD'!K10+$AK43</f>
        <v>4.0836524726172003</v>
      </c>
      <c r="L43" s="37">
        <f>$AJ43*'NE HDD'!L10+$AK43</f>
        <v>4.8202651350989854</v>
      </c>
      <c r="M43" s="37">
        <f>$AJ43*'NE HDD'!M10+$AK43</f>
        <v>4.226311163302686</v>
      </c>
      <c r="N43" s="37">
        <f>$AJ43*'NE HDD'!N10+$AK43</f>
        <v>4.2715778632317338</v>
      </c>
      <c r="O43" s="37">
        <f>$AJ43*'NE HDD'!O10+$AK43</f>
        <v>5.2921361889048217</v>
      </c>
      <c r="P43" s="37">
        <f>$AJ43*'NE HDD'!P10+$AK43</f>
        <v>4.9711541348624788</v>
      </c>
      <c r="Q43" s="37">
        <f>$AJ43*'NE HDD'!Q10+$AK43</f>
        <v>4.9423480530894484</v>
      </c>
      <c r="R43" s="37">
        <f>$AJ43*'NE HDD'!R10+$AK43</f>
        <v>3.8833816183856538</v>
      </c>
      <c r="S43" s="37">
        <f>$AJ43*'NE HDD'!S10+$AK43</f>
        <v>4.6364548990234553</v>
      </c>
      <c r="T43" s="37">
        <f>$AJ43*'NE HDD'!T10+$AK43</f>
        <v>4.452644662947927</v>
      </c>
      <c r="U43" s="37">
        <f>$AJ43*'NE HDD'!U10+$AK43</f>
        <v>4.7626529715529244</v>
      </c>
      <c r="V43" s="37">
        <f>$AJ43*'NE HDD'!V10+$AK43</f>
        <v>4.03975749086782</v>
      </c>
      <c r="W43" s="37">
        <f>$AJ43*'NE HDD'!W10+$AK43</f>
        <v>4.1014848089528861</v>
      </c>
      <c r="X43" s="37">
        <f>$AJ43*'NE HDD'!X10+$AK43</f>
        <v>3.4512903917901934</v>
      </c>
      <c r="Y43" s="37">
        <f>$AJ43*'NE HDD'!Y10+$AK43</f>
        <v>4.5788427354773944</v>
      </c>
      <c r="Z43" s="37">
        <f>$AJ43*'NE HDD'!Z10+$AK43</f>
        <v>4.8449560623330115</v>
      </c>
      <c r="AA43" s="37">
        <f>$AJ43*'NE HDD'!AA10+$AK43</f>
        <v>4.6515437989998052</v>
      </c>
      <c r="AB43" s="37">
        <f>$AJ43*'NE HDD'!AB10+$AK43</f>
        <v>3.93002003649437</v>
      </c>
      <c r="AC43" s="37">
        <f>$AJ43*'NE HDD'!AC10+$AK43</f>
        <v>4.0315271817898113</v>
      </c>
      <c r="AD43" s="37">
        <f>$AJ43*'NE HDD'!AD10+$AK43</f>
        <v>4.3209597176997869</v>
      </c>
      <c r="AE43" s="37">
        <f>$AJ43*'NE HDD'!AE10+$AK43</f>
        <v>4.5980467899927486</v>
      </c>
      <c r="AF43" s="37">
        <f>$AJ43*'NE HDD'!AF10+$AK43</f>
        <v>3.6968279459507887</v>
      </c>
      <c r="AG43" s="37">
        <f>$AJ43*'NE HDD'!AG10+$AK43</f>
        <v>3.7462098004188409</v>
      </c>
      <c r="AH43" s="37">
        <f>$AJ43*'NE HDD'!AH10+$AK43</f>
        <v>4.0109514090947895</v>
      </c>
      <c r="AI43" s="37">
        <f>$AJ43*'NE HDD'!AI10+$AK43</f>
        <v>3.4704944463055476</v>
      </c>
      <c r="AJ43">
        <f>INDEX(LINEST(B10:AI10,'NE HDD'!B10:AI10,TRUE,TRUE),1,1)</f>
        <v>1.3717181796681279E-3</v>
      </c>
      <c r="AK43">
        <f>INDEX(LINEST(B10:AI10,'NE HDD'!B10:AI10,TRUE,TRUE),1,2)</f>
        <v>-3.4141590974487865</v>
      </c>
      <c r="AL43">
        <f>INDEX(LINEST(B10:AI10,'NE HDD'!B10:AI10,TRUE,TRUE),3,1)</f>
        <v>0.2732226710029545</v>
      </c>
      <c r="AM43">
        <f>INDEX(LINEST(B10:AI10,'NE HDD'!B10:AI10,TRUE,TRUE),4,1)</f>
        <v>12.029992025425557</v>
      </c>
      <c r="AN43">
        <f t="shared" si="38"/>
        <v>1.5166655297873665E-3</v>
      </c>
    </row>
    <row r="44" spans="1:40" x14ac:dyDescent="0.25">
      <c r="A44" s="138" t="s">
        <v>1927</v>
      </c>
      <c r="B44" s="37">
        <f>$AJ44*'NE HDD'!B11+$AK44</f>
        <v>2.625663533698499</v>
      </c>
      <c r="C44" s="37">
        <f>$AJ44*'NE HDD'!C11+$AK44</f>
        <v>2.6590453402033543</v>
      </c>
      <c r="D44" s="37">
        <f>$AJ44*'NE HDD'!D11+$AK44</f>
        <v>2.8201636511910744</v>
      </c>
      <c r="E44" s="37">
        <f>$AJ44*'NE HDD'!E11+$AK44</f>
        <v>2.8034727479386463</v>
      </c>
      <c r="F44" s="37">
        <f>$AJ44*'NE HDD'!F11+$AK44</f>
        <v>2.8009180178489892</v>
      </c>
      <c r="G44" s="37">
        <f>$AJ44*'NE HDD'!G11+$AK44</f>
        <v>2.7414779644296292</v>
      </c>
      <c r="H44" s="37">
        <f>$AJ44*'NE HDD'!H11+$AK44</f>
        <v>2.7534000381813639</v>
      </c>
      <c r="I44" s="37">
        <f>$AJ44*'NE HDD'!I11+$AK44</f>
        <v>2.801428963866921</v>
      </c>
      <c r="J44" s="37">
        <f>$AJ44*'NE HDD'!J11+$AK44</f>
        <v>2.5611140200998248</v>
      </c>
      <c r="K44" s="37">
        <f>$AJ44*'NE HDD'!K11+$AK44</f>
        <v>2.6321355165922973</v>
      </c>
      <c r="L44" s="37">
        <f>$AJ44*'NE HDD'!L11+$AK44</f>
        <v>2.7516968847882586</v>
      </c>
      <c r="M44" s="37">
        <f>$AJ44*'NE HDD'!M11+$AK44</f>
        <v>2.6466123204336887</v>
      </c>
      <c r="N44" s="37">
        <f>$AJ44*'NE HDD'!N11+$AK44</f>
        <v>2.6609188089357696</v>
      </c>
      <c r="O44" s="37">
        <f>$AJ44*'NE HDD'!O11+$AK44</f>
        <v>2.7910397281689812</v>
      </c>
      <c r="P44" s="37">
        <f>$AJ44*'NE HDD'!P11+$AK44</f>
        <v>2.7586798136999886</v>
      </c>
      <c r="Q44" s="37">
        <f>$AJ44*'NE HDD'!Q11+$AK44</f>
        <v>2.6970256608695928</v>
      </c>
      <c r="R44" s="37">
        <f>$AJ44*'NE HDD'!R11+$AK44</f>
        <v>2.5737173552088004</v>
      </c>
      <c r="S44" s="37">
        <f>$AJ44*'NE HDD'!S11+$AK44</f>
        <v>2.7338137741606579</v>
      </c>
      <c r="T44" s="37">
        <f>$AJ44*'NE HDD'!T11+$AK44</f>
        <v>2.6897021012792415</v>
      </c>
      <c r="U44" s="37">
        <f>$AJ44*'NE HDD'!U11+$AK44</f>
        <v>2.7319403054282425</v>
      </c>
      <c r="V44" s="37">
        <f>$AJ44*'NE HDD'!V11+$AK44</f>
        <v>2.5921114118543329</v>
      </c>
      <c r="W44" s="37">
        <f>$AJ44*'NE HDD'!W11+$AK44</f>
        <v>2.6249822723412568</v>
      </c>
      <c r="X44" s="37">
        <f>$AJ44*'NE HDD'!X11+$AK44</f>
        <v>2.5241555914694489</v>
      </c>
      <c r="Y44" s="37">
        <f>$AJ44*'NE HDD'!Y11+$AK44</f>
        <v>2.6886802092433788</v>
      </c>
      <c r="Z44" s="37">
        <f>$AJ44*'NE HDD'!Z11+$AK44</f>
        <v>2.7522078308061904</v>
      </c>
      <c r="AA44" s="37">
        <f>$AJ44*'NE HDD'!AA11+$AK44</f>
        <v>2.7159306635330567</v>
      </c>
      <c r="AB44" s="37">
        <f>$AJ44*'NE HDD'!AB11+$AK44</f>
        <v>2.6018193861950305</v>
      </c>
      <c r="AC44" s="37">
        <f>$AJ44*'NE HDD'!AC11+$AK44</f>
        <v>2.6365637154143702</v>
      </c>
      <c r="AD44" s="37">
        <f>$AJ44*'NE HDD'!AD11+$AK44</f>
        <v>2.7012835443523548</v>
      </c>
      <c r="AE44" s="37">
        <f>$AJ44*'NE HDD'!AE11+$AK44</f>
        <v>2.7637892738793033</v>
      </c>
      <c r="AF44" s="37">
        <f>$AJ44*'NE HDD'!AF11+$AK44</f>
        <v>2.5951770879619218</v>
      </c>
      <c r="AG44" s="37">
        <f>$AJ44*'NE HDD'!AG11+$AK44</f>
        <v>2.5858097442998451</v>
      </c>
      <c r="AH44" s="37">
        <f>$AJ44*'NE HDD'!AH11+$AK44</f>
        <v>2.6350308773605757</v>
      </c>
      <c r="AI44" s="37">
        <f>$AJ44*'NE HDD'!AI11+$AK44</f>
        <v>2.5333526197922152</v>
      </c>
      <c r="AJ44">
        <f>INDEX(LINEST(B11:AI11,'NE HDD'!B11:AI11,TRUE,TRUE),1,1)</f>
        <v>1.7031533931048632E-4</v>
      </c>
      <c r="AK44">
        <f>INDEX(LINEST(B11:AI11,'NE HDD'!B11:AI11,TRUE,TRUE),1,2)</f>
        <v>1.3210480345801736</v>
      </c>
      <c r="AL44">
        <f>INDEX(LINEST(B11:AI11,'NE HDD'!B11:AI11,TRUE,TRUE),3,1)</f>
        <v>0.17495812822672485</v>
      </c>
      <c r="AM44">
        <f>INDEX(LINEST(B11:AI11,'NE HDD'!B11:AI11,TRUE,TRUE),4,1)</f>
        <v>6.7859102607991391</v>
      </c>
      <c r="AN44">
        <f t="shared" si="38"/>
        <v>1.382449503260957E-2</v>
      </c>
    </row>
    <row r="46" spans="1:40" x14ac:dyDescent="0.25">
      <c r="A46" s="121" t="s">
        <v>2014</v>
      </c>
      <c r="AJ46" s="250" t="s">
        <v>2016</v>
      </c>
      <c r="AK46" s="251"/>
      <c r="AL46" s="251"/>
    </row>
    <row r="47" spans="1:40" x14ac:dyDescent="0.25">
      <c r="A47" s="136" t="s">
        <v>1786</v>
      </c>
      <c r="B47" s="136" t="s">
        <v>1821</v>
      </c>
      <c r="C47" s="136" t="s">
        <v>1822</v>
      </c>
      <c r="D47" s="136" t="s">
        <v>1823</v>
      </c>
      <c r="E47" s="136" t="s">
        <v>1824</v>
      </c>
      <c r="F47" s="136" t="s">
        <v>1825</v>
      </c>
      <c r="G47" s="136" t="s">
        <v>1826</v>
      </c>
      <c r="H47" s="136" t="s">
        <v>1827</v>
      </c>
      <c r="I47" s="136" t="s">
        <v>1828</v>
      </c>
      <c r="J47" s="136" t="s">
        <v>1829</v>
      </c>
      <c r="K47" s="136" t="s">
        <v>1830</v>
      </c>
      <c r="L47" s="136" t="s">
        <v>1831</v>
      </c>
      <c r="M47" s="136" t="s">
        <v>1832</v>
      </c>
      <c r="N47" s="136" t="s">
        <v>1833</v>
      </c>
      <c r="O47" s="136" t="s">
        <v>1834</v>
      </c>
      <c r="P47" s="136" t="s">
        <v>1835</v>
      </c>
      <c r="Q47" s="136" t="s">
        <v>1836</v>
      </c>
      <c r="R47" s="136" t="s">
        <v>1837</v>
      </c>
      <c r="S47" s="136" t="s">
        <v>1838</v>
      </c>
      <c r="T47" s="136" t="s">
        <v>1839</v>
      </c>
      <c r="U47" s="136" t="s">
        <v>1840</v>
      </c>
      <c r="V47" s="136" t="s">
        <v>1841</v>
      </c>
      <c r="W47" s="136" t="s">
        <v>1842</v>
      </c>
      <c r="X47" s="136" t="s">
        <v>1843</v>
      </c>
      <c r="Y47" s="136" t="s">
        <v>1844</v>
      </c>
      <c r="Z47" s="136" t="s">
        <v>1845</v>
      </c>
      <c r="AA47" s="136" t="s">
        <v>1846</v>
      </c>
      <c r="AB47" s="136" t="s">
        <v>1847</v>
      </c>
      <c r="AC47" s="136" t="s">
        <v>1848</v>
      </c>
      <c r="AD47" s="136" t="s">
        <v>1849</v>
      </c>
      <c r="AE47" s="136" t="s">
        <v>1850</v>
      </c>
      <c r="AF47" s="136" t="s">
        <v>1851</v>
      </c>
      <c r="AG47" s="136" t="s">
        <v>1852</v>
      </c>
      <c r="AH47" s="136" t="s">
        <v>1853</v>
      </c>
      <c r="AI47" s="136" t="s">
        <v>1854</v>
      </c>
      <c r="AJ47" s="116" t="s">
        <v>2017</v>
      </c>
      <c r="AK47" s="116" t="s">
        <v>2018</v>
      </c>
      <c r="AL47" s="154" t="s">
        <v>2019</v>
      </c>
    </row>
    <row r="48" spans="1:40" x14ac:dyDescent="0.25">
      <c r="A48" s="138" t="s">
        <v>1922</v>
      </c>
      <c r="B48" s="37">
        <f>B3-B36</f>
        <v>1.7004363676327259</v>
      </c>
      <c r="C48" s="37">
        <f t="shared" ref="C48:AI48" si="39">C3-C36</f>
        <v>1.1315567053656199</v>
      </c>
      <c r="D48" s="37">
        <f t="shared" si="39"/>
        <v>1.0865681318880647</v>
      </c>
      <c r="E48" s="37">
        <f t="shared" si="39"/>
        <v>0.53677505060670683</v>
      </c>
      <c r="F48" s="37">
        <f t="shared" si="39"/>
        <v>0.1248574275064005</v>
      </c>
      <c r="G48" s="37">
        <f t="shared" si="39"/>
        <v>-0.79714686563009707</v>
      </c>
      <c r="H48" s="37">
        <f t="shared" si="39"/>
        <v>-0.26679944059548433</v>
      </c>
      <c r="I48" s="37">
        <f t="shared" si="39"/>
        <v>-0.12557808722693764</v>
      </c>
      <c r="J48" s="37">
        <f t="shared" si="39"/>
        <v>0.7854725029741747</v>
      </c>
      <c r="K48" s="37">
        <f t="shared" si="39"/>
        <v>0.9937436477590591</v>
      </c>
      <c r="L48" s="37">
        <f t="shared" si="39"/>
        <v>0.80661580839971592</v>
      </c>
      <c r="M48" s="37">
        <f t="shared" si="39"/>
        <v>1.407945118072444</v>
      </c>
      <c r="N48" s="37">
        <f t="shared" si="39"/>
        <v>0.72819273288032882</v>
      </c>
      <c r="O48" s="37">
        <f t="shared" si="39"/>
        <v>1.5890677060034619</v>
      </c>
      <c r="P48" s="37">
        <f t="shared" si="39"/>
        <v>1.705948668205</v>
      </c>
      <c r="Q48" s="37">
        <f t="shared" si="39"/>
        <v>0.71572483074469062</v>
      </c>
      <c r="R48" s="37">
        <f t="shared" si="39"/>
        <v>0.96244606095316954</v>
      </c>
      <c r="S48" s="37">
        <f t="shared" si="39"/>
        <v>-0.46488340666034844</v>
      </c>
      <c r="T48" s="37">
        <f t="shared" si="39"/>
        <v>-1.0912711333398288</v>
      </c>
      <c r="U48" s="37">
        <f t="shared" si="39"/>
        <v>-1.5125947160703141</v>
      </c>
      <c r="V48" s="37">
        <f t="shared" si="39"/>
        <v>-0.55316945666923445</v>
      </c>
      <c r="W48" s="37">
        <f t="shared" si="39"/>
        <v>-0.78290097369927913</v>
      </c>
      <c r="X48" s="37">
        <f t="shared" si="39"/>
        <v>-0.2888705489394372</v>
      </c>
      <c r="Y48" s="37">
        <f t="shared" si="39"/>
        <v>-1.4695674061767541</v>
      </c>
      <c r="Z48" s="37">
        <f t="shared" si="39"/>
        <v>-1.8298809660333379</v>
      </c>
      <c r="AA48" s="37">
        <f t="shared" si="39"/>
        <v>-0.55827406054836537</v>
      </c>
      <c r="AB48" s="37">
        <f t="shared" si="39"/>
        <v>-0.98955862998037425</v>
      </c>
      <c r="AC48" s="37">
        <f t="shared" si="39"/>
        <v>-0.93198561674066482</v>
      </c>
      <c r="AD48" s="37">
        <f t="shared" si="39"/>
        <v>-0.33013303025207463</v>
      </c>
      <c r="AE48" s="37">
        <f t="shared" si="39"/>
        <v>-1.1845767962644143</v>
      </c>
      <c r="AF48" s="37">
        <f t="shared" si="39"/>
        <v>-0.78524973716801583</v>
      </c>
      <c r="AG48" s="37">
        <f t="shared" si="39"/>
        <v>-6.1465736965459428E-2</v>
      </c>
      <c r="AH48" s="37">
        <f t="shared" si="39"/>
        <v>-0.67522809799954153</v>
      </c>
      <c r="AI48" s="37">
        <f t="shared" si="39"/>
        <v>0.42378394796830499</v>
      </c>
      <c r="AJ48" s="100">
        <f>SLOPE(B48:AI48,B$57:AI$57)</f>
        <v>-5.8746606616412289E-2</v>
      </c>
      <c r="AK48" s="100">
        <f>SLOPE(B48:U48,B$57:U$57)</f>
        <v>-5.1583532646068478E-2</v>
      </c>
      <c r="AL48" s="100">
        <f>SLOPE(V48:AI48,V$57:AI$57)</f>
        <v>5.426413150941823E-2</v>
      </c>
    </row>
    <row r="49" spans="1:38" x14ac:dyDescent="0.25">
      <c r="A49" s="138" t="s">
        <v>1788</v>
      </c>
      <c r="B49" s="37">
        <f t="shared" ref="B49:AI56" si="40">B4-B37</f>
        <v>4.2370816549008339</v>
      </c>
      <c r="C49" s="37">
        <f t="shared" si="40"/>
        <v>3.3088487044548671</v>
      </c>
      <c r="D49" s="37">
        <f t="shared" si="40"/>
        <v>2.7497749726645395</v>
      </c>
      <c r="E49" s="37">
        <f t="shared" si="40"/>
        <v>2.9369234113174443</v>
      </c>
      <c r="F49" s="37">
        <f t="shared" si="40"/>
        <v>3.4133744536426889</v>
      </c>
      <c r="G49" s="37">
        <f t="shared" si="40"/>
        <v>1.505533194146544</v>
      </c>
      <c r="H49" s="37">
        <f t="shared" si="40"/>
        <v>1.0742225589217291</v>
      </c>
      <c r="I49" s="37">
        <f t="shared" si="40"/>
        <v>1.6225146410308113</v>
      </c>
      <c r="J49" s="37">
        <f t="shared" si="40"/>
        <v>2.9395243375203428</v>
      </c>
      <c r="K49" s="37">
        <f t="shared" si="40"/>
        <v>0.7562248047467186</v>
      </c>
      <c r="L49" s="37">
        <f t="shared" si="40"/>
        <v>0.72134612865506043</v>
      </c>
      <c r="M49" s="37">
        <f t="shared" si="40"/>
        <v>3.0276088787361388</v>
      </c>
      <c r="N49" s="37">
        <f t="shared" si="40"/>
        <v>2.8683279099982464</v>
      </c>
      <c r="O49" s="37">
        <f t="shared" si="40"/>
        <v>-0.9034272183270069</v>
      </c>
      <c r="P49" s="37">
        <f t="shared" si="40"/>
        <v>-1.7990020580843868</v>
      </c>
      <c r="Q49" s="37">
        <f t="shared" si="40"/>
        <v>-1.1702788140881211</v>
      </c>
      <c r="R49" s="37">
        <f t="shared" si="40"/>
        <v>-1.5778468211936989</v>
      </c>
      <c r="S49" s="37">
        <f t="shared" si="40"/>
        <v>-3.2612870840612302</v>
      </c>
      <c r="T49" s="37">
        <f t="shared" si="40"/>
        <v>-2.1497175283898322</v>
      </c>
      <c r="U49" s="37">
        <f t="shared" si="40"/>
        <v>-4.1753644759302055</v>
      </c>
      <c r="V49" s="37">
        <f t="shared" si="40"/>
        <v>-0.34091557751306567</v>
      </c>
      <c r="W49" s="37">
        <f t="shared" si="40"/>
        <v>-0.92193271520962838</v>
      </c>
      <c r="X49" s="37">
        <f t="shared" si="40"/>
        <v>-2.0022375364231131</v>
      </c>
      <c r="Y49" s="37">
        <f t="shared" si="40"/>
        <v>-3.5163656270964694</v>
      </c>
      <c r="Z49" s="37">
        <f t="shared" si="40"/>
        <v>-2.7752938062684329</v>
      </c>
      <c r="AA49" s="37">
        <f t="shared" si="40"/>
        <v>-1.8846508304611866</v>
      </c>
      <c r="AB49" s="37">
        <f t="shared" si="40"/>
        <v>-2.289938763647509</v>
      </c>
      <c r="AC49" s="37">
        <f t="shared" si="40"/>
        <v>-1.2051710134832305</v>
      </c>
      <c r="AD49" s="37">
        <f t="shared" si="40"/>
        <v>-0.83124279881580065</v>
      </c>
      <c r="AE49" s="37">
        <f t="shared" si="40"/>
        <v>-1.0727991062942372</v>
      </c>
      <c r="AF49" s="37">
        <f t="shared" si="40"/>
        <v>-0.52824728368127083</v>
      </c>
      <c r="AG49" s="37">
        <f t="shared" si="40"/>
        <v>0.21725771133282024</v>
      </c>
      <c r="AH49" s="37">
        <f t="shared" si="40"/>
        <v>0.56841589429498995</v>
      </c>
      <c r="AI49" s="37">
        <f t="shared" si="40"/>
        <v>0.45873980260457259</v>
      </c>
      <c r="AJ49" s="100">
        <f t="shared" ref="AJ49:AJ56" si="41">SLOPE(B49:AI49,B$57:AI$57)</f>
        <v>-0.14619190636804849</v>
      </c>
      <c r="AK49" s="100">
        <f t="shared" ref="AK49:AK56" si="42">SLOPE(B49:U49,B$57:U$57)</f>
        <v>-0.36769635840687714</v>
      </c>
      <c r="AL49" s="100">
        <f t="shared" ref="AL49:AL56" si="43">SLOPE(V49:AI49,V$57:AI$57)</f>
        <v>0.17678924313134353</v>
      </c>
    </row>
    <row r="50" spans="1:38" x14ac:dyDescent="0.25">
      <c r="A50" s="138" t="s">
        <v>1923</v>
      </c>
      <c r="B50" s="37">
        <f t="shared" si="40"/>
        <v>0.35037467742660056</v>
      </c>
      <c r="C50" s="37">
        <f t="shared" si="40"/>
        <v>0.39916821525150148</v>
      </c>
      <c r="D50" s="37">
        <f t="shared" si="40"/>
        <v>-0.87958155981741371</v>
      </c>
      <c r="E50" s="37">
        <f t="shared" si="40"/>
        <v>-8.4638173331031297E-2</v>
      </c>
      <c r="F50" s="37">
        <f t="shared" si="40"/>
        <v>1.4125262392636309</v>
      </c>
      <c r="G50" s="37">
        <f t="shared" si="40"/>
        <v>1.130330299792357</v>
      </c>
      <c r="H50" s="37">
        <f t="shared" si="40"/>
        <v>1.6795157862436962</v>
      </c>
      <c r="I50" s="37">
        <f t="shared" si="40"/>
        <v>0.54420676133966239</v>
      </c>
      <c r="J50" s="37">
        <f t="shared" si="40"/>
        <v>2.1730239064226744</v>
      </c>
      <c r="K50" s="37">
        <f t="shared" si="40"/>
        <v>1.6403189256772084</v>
      </c>
      <c r="L50" s="37">
        <f t="shared" si="40"/>
        <v>1.0986632333502477</v>
      </c>
      <c r="M50" s="37">
        <f t="shared" si="40"/>
        <v>0.87525630338794613</v>
      </c>
      <c r="N50" s="37">
        <f t="shared" si="40"/>
        <v>1.0167592641580541</v>
      </c>
      <c r="O50" s="37">
        <f t="shared" si="40"/>
        <v>0.37315784442812472</v>
      </c>
      <c r="P50" s="37">
        <f t="shared" si="40"/>
        <v>1.7822170912583815</v>
      </c>
      <c r="Q50" s="37">
        <f t="shared" si="40"/>
        <v>1.395034759496534</v>
      </c>
      <c r="R50" s="37">
        <f t="shared" si="40"/>
        <v>1.988112965586474</v>
      </c>
      <c r="S50" s="37">
        <f t="shared" si="40"/>
        <v>0.60729738900981189</v>
      </c>
      <c r="T50" s="37">
        <f t="shared" si="40"/>
        <v>0.10848362692868108</v>
      </c>
      <c r="U50" s="37">
        <f t="shared" si="40"/>
        <v>-0.98702958250517092</v>
      </c>
      <c r="V50" s="37">
        <f t="shared" si="40"/>
        <v>0.3840579192837783</v>
      </c>
      <c r="W50" s="37">
        <f t="shared" si="40"/>
        <v>-0.39371138448045517</v>
      </c>
      <c r="X50" s="37">
        <f t="shared" si="40"/>
        <v>-0.73654568250002939</v>
      </c>
      <c r="Y50" s="37">
        <f t="shared" si="40"/>
        <v>-1.6389488173960238</v>
      </c>
      <c r="Z50" s="37">
        <f t="shared" si="40"/>
        <v>-2.2062788045155655</v>
      </c>
      <c r="AA50" s="37">
        <f t="shared" si="40"/>
        <v>-2.007828471347314</v>
      </c>
      <c r="AB50" s="37">
        <f t="shared" si="40"/>
        <v>-1.2111241464487588</v>
      </c>
      <c r="AC50" s="37">
        <f t="shared" si="40"/>
        <v>-1.5261596755083158</v>
      </c>
      <c r="AD50" s="37">
        <f t="shared" si="40"/>
        <v>-1.7298670930655602</v>
      </c>
      <c r="AE50" s="37">
        <f t="shared" si="40"/>
        <v>-2.0786976423120773</v>
      </c>
      <c r="AF50" s="37">
        <f t="shared" si="40"/>
        <v>-0.94617248461448256</v>
      </c>
      <c r="AG50" s="37">
        <f t="shared" si="40"/>
        <v>-0.69581222841814494</v>
      </c>
      <c r="AH50" s="37">
        <f t="shared" si="40"/>
        <v>-1.1917601197227095</v>
      </c>
      <c r="AI50" s="37">
        <f t="shared" si="40"/>
        <v>-0.64434934232229324</v>
      </c>
      <c r="AJ50" s="100">
        <f t="shared" si="41"/>
        <v>-8.6724105177416522E-2</v>
      </c>
      <c r="AK50" s="100">
        <f t="shared" si="42"/>
        <v>1.0040979972821275E-2</v>
      </c>
      <c r="AL50" s="100">
        <f t="shared" si="43"/>
        <v>-3.4670419023149109E-2</v>
      </c>
    </row>
    <row r="51" spans="1:38" x14ac:dyDescent="0.25">
      <c r="A51" s="138" t="s">
        <v>1924</v>
      </c>
      <c r="B51" s="37">
        <f t="shared" si="40"/>
        <v>-0.29562073260410227</v>
      </c>
      <c r="C51" s="37">
        <f t="shared" si="40"/>
        <v>-0.48041240439503952</v>
      </c>
      <c r="D51" s="37">
        <f t="shared" si="40"/>
        <v>-0.66733904696791768</v>
      </c>
      <c r="E51" s="37">
        <f t="shared" si="40"/>
        <v>-0.40898175374826096</v>
      </c>
      <c r="F51" s="37">
        <f t="shared" si="40"/>
        <v>-0.2272211064840608</v>
      </c>
      <c r="G51" s="37">
        <f t="shared" si="40"/>
        <v>-0.19890680578824593</v>
      </c>
      <c r="H51" s="37">
        <f t="shared" si="40"/>
        <v>6.3698327055314863E-3</v>
      </c>
      <c r="I51" s="37">
        <f t="shared" si="40"/>
        <v>-0.11986817494131952</v>
      </c>
      <c r="J51" s="37">
        <f t="shared" si="40"/>
        <v>0.31144860863328994</v>
      </c>
      <c r="K51" s="37">
        <f t="shared" si="40"/>
        <v>0.17458603685176843</v>
      </c>
      <c r="L51" s="37">
        <f t="shared" si="40"/>
        <v>0.40350793539455676</v>
      </c>
      <c r="M51" s="37">
        <f t="shared" si="40"/>
        <v>0.47731552571530944</v>
      </c>
      <c r="N51" s="37">
        <f t="shared" si="40"/>
        <v>0.15579662254246163</v>
      </c>
      <c r="O51" s="37">
        <f t="shared" si="40"/>
        <v>0.72008504889474345</v>
      </c>
      <c r="P51" s="37">
        <f t="shared" si="40"/>
        <v>1.1475873875107947</v>
      </c>
      <c r="Q51" s="37">
        <f t="shared" si="40"/>
        <v>1.0210289391450518</v>
      </c>
      <c r="R51" s="37">
        <f t="shared" si="40"/>
        <v>0.61692954598797023</v>
      </c>
      <c r="S51" s="37">
        <f t="shared" si="40"/>
        <v>-5.1057526411073972E-2</v>
      </c>
      <c r="T51" s="37">
        <f t="shared" si="40"/>
        <v>-8.6259863669777559E-2</v>
      </c>
      <c r="U51" s="37">
        <f t="shared" si="40"/>
        <v>-0.52879466067478376</v>
      </c>
      <c r="V51" s="37">
        <f t="shared" si="40"/>
        <v>-0.45616549006398088</v>
      </c>
      <c r="W51" s="37">
        <f t="shared" si="40"/>
        <v>-0.41912708817469557</v>
      </c>
      <c r="X51" s="37">
        <f t="shared" si="40"/>
        <v>-0.6808273969004941</v>
      </c>
      <c r="Y51" s="37">
        <f t="shared" si="40"/>
        <v>-0.68711555440235905</v>
      </c>
      <c r="Z51" s="37">
        <f t="shared" si="40"/>
        <v>-0.26018563668507877</v>
      </c>
      <c r="AA51" s="37">
        <f t="shared" si="40"/>
        <v>-0.15030780007298716</v>
      </c>
      <c r="AB51" s="37">
        <f t="shared" si="40"/>
        <v>-8.6372253172015689E-2</v>
      </c>
      <c r="AC51" s="37">
        <f t="shared" si="40"/>
        <v>8.6395328541041927E-2</v>
      </c>
      <c r="AD51" s="37">
        <f t="shared" si="40"/>
        <v>0.29785948176919774</v>
      </c>
      <c r="AE51" s="37">
        <f t="shared" si="40"/>
        <v>7.5634954887097372E-2</v>
      </c>
      <c r="AF51" s="37">
        <f t="shared" si="40"/>
        <v>0.16868653971154579</v>
      </c>
      <c r="AG51" s="37">
        <f t="shared" si="40"/>
        <v>-4.7594226874883461E-2</v>
      </c>
      <c r="AH51" s="37">
        <f t="shared" si="40"/>
        <v>-8.0934888642870462E-2</v>
      </c>
      <c r="AI51" s="37">
        <f t="shared" si="40"/>
        <v>0.26986062238358954</v>
      </c>
      <c r="AJ51" s="100">
        <f t="shared" si="41"/>
        <v>2.8814932047603408E-3</v>
      </c>
      <c r="AK51" s="100">
        <f t="shared" si="42"/>
        <v>4.3459706508311276E-2</v>
      </c>
      <c r="AL51" s="100">
        <f t="shared" si="43"/>
        <v>6.163634995779519E-2</v>
      </c>
    </row>
    <row r="52" spans="1:38" x14ac:dyDescent="0.25">
      <c r="A52" s="138" t="s">
        <v>1939</v>
      </c>
      <c r="B52" s="37">
        <f t="shared" si="40"/>
        <v>4.8018520249276975</v>
      </c>
      <c r="C52" s="37">
        <f t="shared" si="40"/>
        <v>3.7598624351453154</v>
      </c>
      <c r="D52" s="37">
        <f t="shared" si="40"/>
        <v>3.5530860681345473</v>
      </c>
      <c r="E52" s="37">
        <f t="shared" si="40"/>
        <v>2.6820138034201477</v>
      </c>
      <c r="F52" s="37">
        <f t="shared" si="40"/>
        <v>5.176820483472099</v>
      </c>
      <c r="G52" s="37">
        <f t="shared" si="40"/>
        <v>3.3033002725811187</v>
      </c>
      <c r="H52" s="37">
        <f t="shared" si="40"/>
        <v>3.9290816053661288</v>
      </c>
      <c r="I52" s="37">
        <f t="shared" si="40"/>
        <v>5.0479053948393187</v>
      </c>
      <c r="J52" s="37">
        <f t="shared" si="40"/>
        <v>8.435055228401545</v>
      </c>
      <c r="K52" s="37">
        <f t="shared" si="40"/>
        <v>7.665960268569215</v>
      </c>
      <c r="L52" s="37">
        <f t="shared" si="40"/>
        <v>-1.0343477870233144</v>
      </c>
      <c r="M52" s="37">
        <f t="shared" si="40"/>
        <v>0.34196155490265312</v>
      </c>
      <c r="N52" s="37">
        <f t="shared" si="40"/>
        <v>-0.48782904234044366</v>
      </c>
      <c r="O52" s="37">
        <f t="shared" si="40"/>
        <v>-3.2032814067179416</v>
      </c>
      <c r="P52" s="37">
        <f t="shared" si="40"/>
        <v>-0.34226321018259398</v>
      </c>
      <c r="Q52" s="37">
        <f t="shared" si="40"/>
        <v>-1.9238506512275038</v>
      </c>
      <c r="R52" s="37">
        <f t="shared" si="40"/>
        <v>-1.2726338325494595</v>
      </c>
      <c r="S52" s="37">
        <f t="shared" si="40"/>
        <v>-2.0154098184307401</v>
      </c>
      <c r="T52" s="37">
        <f t="shared" si="40"/>
        <v>-3.4964643889694429</v>
      </c>
      <c r="U52" s="37">
        <f t="shared" si="40"/>
        <v>-4.6338393225585577</v>
      </c>
      <c r="V52" s="37">
        <f t="shared" si="40"/>
        <v>-2.4756087617741898</v>
      </c>
      <c r="W52" s="37">
        <f t="shared" si="40"/>
        <v>-1.1122495074406551</v>
      </c>
      <c r="X52" s="37">
        <f t="shared" si="40"/>
        <v>-0.63116329258698656</v>
      </c>
      <c r="Y52" s="37">
        <f t="shared" si="40"/>
        <v>-4.4885802276843911</v>
      </c>
      <c r="Z52" s="37">
        <f t="shared" si="40"/>
        <v>-3.9694665343840114</v>
      </c>
      <c r="AA52" s="37">
        <f t="shared" si="40"/>
        <v>-3.0614726371916419</v>
      </c>
      <c r="AB52" s="37">
        <f t="shared" si="40"/>
        <v>-2.7644002571370265</v>
      </c>
      <c r="AC52" s="37">
        <f t="shared" si="40"/>
        <v>-2.8364551374606535</v>
      </c>
      <c r="AD52" s="37">
        <f t="shared" si="40"/>
        <v>-2.5038366527329003</v>
      </c>
      <c r="AE52" s="37">
        <f t="shared" si="40"/>
        <v>-2.713551679941812</v>
      </c>
      <c r="AF52" s="37">
        <f t="shared" si="40"/>
        <v>-1.997048103152661</v>
      </c>
      <c r="AG52" s="37">
        <f t="shared" si="40"/>
        <v>-1.0628315378427899</v>
      </c>
      <c r="AH52" s="37">
        <f t="shared" si="40"/>
        <v>-1.9000698207980022</v>
      </c>
      <c r="AI52" s="37">
        <f t="shared" si="40"/>
        <v>1.2297544703679577</v>
      </c>
      <c r="AJ52" s="100">
        <f t="shared" si="41"/>
        <v>-0.24872318989803688</v>
      </c>
      <c r="AK52" s="100">
        <f t="shared" si="42"/>
        <v>-0.49554571830933797</v>
      </c>
      <c r="AL52" s="100">
        <f t="shared" si="43"/>
        <v>0.13393370677055072</v>
      </c>
    </row>
    <row r="53" spans="1:38" x14ac:dyDescent="0.25">
      <c r="A53" s="138" t="s">
        <v>1925</v>
      </c>
      <c r="B53" s="37">
        <f t="shared" si="40"/>
        <v>5.6052017517205996</v>
      </c>
      <c r="C53" s="37">
        <f t="shared" si="40"/>
        <v>3.1144211692419361</v>
      </c>
      <c r="D53" s="37">
        <f t="shared" si="40"/>
        <v>-0.87743613495575801</v>
      </c>
      <c r="E53" s="37">
        <f t="shared" si="40"/>
        <v>-3.8109733934845735E-2</v>
      </c>
      <c r="F53" s="37">
        <f t="shared" si="40"/>
        <v>4.2572693627136005E-2</v>
      </c>
      <c r="G53" s="37">
        <f t="shared" si="40"/>
        <v>2.1996054592995762</v>
      </c>
      <c r="H53" s="37">
        <f t="shared" si="40"/>
        <v>3.790793267199561</v>
      </c>
      <c r="I53" s="37">
        <f t="shared" si="40"/>
        <v>4.4464429709883575</v>
      </c>
      <c r="J53" s="37">
        <f t="shared" si="40"/>
        <v>9.5550856798601984</v>
      </c>
      <c r="K53" s="37">
        <f t="shared" si="40"/>
        <v>5.3106216447022518</v>
      </c>
      <c r="L53" s="37">
        <f t="shared" si="40"/>
        <v>6.6646057864575425</v>
      </c>
      <c r="M53" s="37">
        <f t="shared" si="40"/>
        <v>9.217179381757731</v>
      </c>
      <c r="N53" s="37">
        <f t="shared" si="40"/>
        <v>8.0642805227613934</v>
      </c>
      <c r="O53" s="37">
        <f t="shared" si="40"/>
        <v>4.102142132189968</v>
      </c>
      <c r="P53" s="37">
        <f t="shared" si="40"/>
        <v>8.1686223315620339</v>
      </c>
      <c r="Q53" s="37">
        <f t="shared" si="40"/>
        <v>3.4041099851175574</v>
      </c>
      <c r="R53" s="37">
        <f t="shared" si="40"/>
        <v>2.1079913042576521</v>
      </c>
      <c r="S53" s="37">
        <f t="shared" si="40"/>
        <v>0.13881198164152408</v>
      </c>
      <c r="T53" s="37">
        <f t="shared" si="40"/>
        <v>-1.6344887266310479</v>
      </c>
      <c r="U53" s="37">
        <f t="shared" si="40"/>
        <v>-7.9717552628193715</v>
      </c>
      <c r="V53" s="37">
        <f t="shared" si="40"/>
        <v>-4.0599109405103349</v>
      </c>
      <c r="W53" s="37">
        <f t="shared" si="40"/>
        <v>-4.8512154317167315</v>
      </c>
      <c r="X53" s="37">
        <f t="shared" si="40"/>
        <v>-2.5528135666895722</v>
      </c>
      <c r="Y53" s="37">
        <f t="shared" si="40"/>
        <v>-9.6007710152772745</v>
      </c>
      <c r="Z53" s="37">
        <f t="shared" si="40"/>
        <v>-9.8957607486370591</v>
      </c>
      <c r="AA53" s="37">
        <f t="shared" si="40"/>
        <v>-5.3176039103274917</v>
      </c>
      <c r="AB53" s="37">
        <f t="shared" si="40"/>
        <v>-5.2236058790050492</v>
      </c>
      <c r="AC53" s="37">
        <f t="shared" si="40"/>
        <v>-4.9443964152053823</v>
      </c>
      <c r="AD53" s="37">
        <f t="shared" si="40"/>
        <v>-3.240319006984933</v>
      </c>
      <c r="AE53" s="37">
        <f t="shared" si="40"/>
        <v>-5.0002928682366985</v>
      </c>
      <c r="AF53" s="37">
        <f t="shared" si="40"/>
        <v>-4.7277120526743062</v>
      </c>
      <c r="AG53" s="37">
        <f t="shared" si="40"/>
        <v>-1.3845639240873311</v>
      </c>
      <c r="AH53" s="37">
        <f t="shared" si="40"/>
        <v>-4.3441539769066395</v>
      </c>
      <c r="AI53" s="37">
        <f t="shared" si="40"/>
        <v>-0.26757846778549776</v>
      </c>
      <c r="AJ53" s="100">
        <f t="shared" si="41"/>
        <v>-0.34800845482571952</v>
      </c>
      <c r="AK53" s="100">
        <f t="shared" si="42"/>
        <v>-0.13852906702453821</v>
      </c>
      <c r="AL53" s="100">
        <f t="shared" si="43"/>
        <v>0.28679573900176702</v>
      </c>
    </row>
    <row r="54" spans="1:38" x14ac:dyDescent="0.25">
      <c r="A54" s="138" t="s">
        <v>1940</v>
      </c>
      <c r="B54" s="37">
        <f t="shared" si="40"/>
        <v>-0.85066739846405426</v>
      </c>
      <c r="C54" s="37">
        <f t="shared" si="40"/>
        <v>-2.1570669090378161</v>
      </c>
      <c r="D54" s="37">
        <f t="shared" si="40"/>
        <v>0.68450943421703414</v>
      </c>
      <c r="E54" s="37">
        <f t="shared" si="40"/>
        <v>0.66885092220589826</v>
      </c>
      <c r="F54" s="37">
        <f t="shared" si="40"/>
        <v>0.72054847592752225</v>
      </c>
      <c r="G54" s="37">
        <f t="shared" si="40"/>
        <v>-0.82322694444953015</v>
      </c>
      <c r="H54" s="37">
        <f t="shared" si="40"/>
        <v>0.91917760018397132</v>
      </c>
      <c r="I54" s="37">
        <f t="shared" si="40"/>
        <v>-2.9765087359365623</v>
      </c>
      <c r="J54" s="37">
        <f t="shared" si="40"/>
        <v>-7.5499494238689451</v>
      </c>
      <c r="K54" s="37">
        <f t="shared" si="40"/>
        <v>-4.3271891294505593</v>
      </c>
      <c r="L54" s="37">
        <f t="shared" si="40"/>
        <v>-1.2813849705647513</v>
      </c>
      <c r="M54" s="37">
        <f t="shared" si="40"/>
        <v>-4.4304547725672023</v>
      </c>
      <c r="N54" s="37">
        <f t="shared" si="40"/>
        <v>-4.3453632125619208</v>
      </c>
      <c r="O54" s="37">
        <f t="shared" si="40"/>
        <v>-1.1985134344149486</v>
      </c>
      <c r="P54" s="37">
        <f t="shared" si="40"/>
        <v>-2.4000535651328221</v>
      </c>
      <c r="Q54" s="37">
        <f t="shared" si="40"/>
        <v>-3.7545684360085687</v>
      </c>
      <c r="R54" s="37">
        <f t="shared" si="40"/>
        <v>-7.2318408880858129</v>
      </c>
      <c r="S54" s="37">
        <f t="shared" si="40"/>
        <v>-5.5647198241566613</v>
      </c>
      <c r="T54" s="37">
        <f t="shared" si="40"/>
        <v>-0.92903421820388132</v>
      </c>
      <c r="U54" s="37">
        <f t="shared" si="40"/>
        <v>-9.6942710783200283</v>
      </c>
      <c r="V54" s="37">
        <f t="shared" si="40"/>
        <v>-7.003622757441093</v>
      </c>
      <c r="W54" s="37">
        <f t="shared" si="40"/>
        <v>-6.1774780209572029</v>
      </c>
      <c r="X54" s="37">
        <f t="shared" si="40"/>
        <v>-7.7055230538562753</v>
      </c>
      <c r="Y54" s="37">
        <f t="shared" si="40"/>
        <v>-0.30132080523500093</v>
      </c>
      <c r="Z54" s="37">
        <f t="shared" si="40"/>
        <v>6.2734825487102839</v>
      </c>
      <c r="AA54" s="37">
        <f t="shared" si="40"/>
        <v>4.0191008752363331</v>
      </c>
      <c r="AB54" s="37">
        <f t="shared" si="40"/>
        <v>0.93117305435510644</v>
      </c>
      <c r="AC54" s="37">
        <f t="shared" si="40"/>
        <v>2.4162180419143482</v>
      </c>
      <c r="AD54" s="37">
        <f t="shared" si="40"/>
        <v>9.2579352827497132</v>
      </c>
      <c r="AE54" s="37">
        <f t="shared" si="40"/>
        <v>9.1084734039674231</v>
      </c>
      <c r="AF54" s="37">
        <f t="shared" si="40"/>
        <v>4.1676252351864136</v>
      </c>
      <c r="AG54" s="37">
        <f t="shared" si="40"/>
        <v>9.493514390276701</v>
      </c>
      <c r="AH54" s="37">
        <f t="shared" si="40"/>
        <v>15.671141423665432</v>
      </c>
      <c r="AI54" s="37">
        <f t="shared" si="40"/>
        <v>16.371006890117201</v>
      </c>
      <c r="AJ54" s="100">
        <f t="shared" si="41"/>
        <v>0.34638858191881161</v>
      </c>
      <c r="AK54" s="100">
        <f t="shared" si="42"/>
        <v>-0.31299315316726251</v>
      </c>
      <c r="AL54" s="100">
        <f t="shared" si="43"/>
        <v>1.673968046320085</v>
      </c>
    </row>
    <row r="55" spans="1:38" x14ac:dyDescent="0.25">
      <c r="A55" s="138" t="s">
        <v>1926</v>
      </c>
      <c r="B55" s="37">
        <f t="shared" si="40"/>
        <v>0.1058650690954881</v>
      </c>
      <c r="C55" s="37">
        <f t="shared" si="40"/>
        <v>1.2161718632655729</v>
      </c>
      <c r="D55" s="37">
        <f t="shared" si="40"/>
        <v>1.6321128593487746</v>
      </c>
      <c r="E55" s="37">
        <f t="shared" si="40"/>
        <v>-0.31764240607959238</v>
      </c>
      <c r="F55" s="37">
        <f t="shared" si="40"/>
        <v>1.7204790862898172</v>
      </c>
      <c r="G55" s="37">
        <f t="shared" si="40"/>
        <v>1.2017532219766878</v>
      </c>
      <c r="H55" s="37">
        <f t="shared" si="40"/>
        <v>0.63619181094408717</v>
      </c>
      <c r="I55" s="37">
        <f t="shared" si="40"/>
        <v>0.67585154076623866</v>
      </c>
      <c r="J55" s="37">
        <f t="shared" si="40"/>
        <v>2.3558131124216928</v>
      </c>
      <c r="K55" s="37">
        <f t="shared" si="40"/>
        <v>1.5155489338369135</v>
      </c>
      <c r="L55" s="37">
        <f t="shared" si="40"/>
        <v>-0.43351948512409155</v>
      </c>
      <c r="M55" s="37">
        <f t="shared" si="40"/>
        <v>0.15604280505554069</v>
      </c>
      <c r="N55" s="37">
        <f t="shared" si="40"/>
        <v>-0.13622350049939413</v>
      </c>
      <c r="O55" s="37">
        <f t="shared" si="40"/>
        <v>-0.63471665810503541</v>
      </c>
      <c r="P55" s="37">
        <f t="shared" si="40"/>
        <v>-0.37533856033347224</v>
      </c>
      <c r="Q55" s="37">
        <f t="shared" si="40"/>
        <v>-0.47246795812044162</v>
      </c>
      <c r="R55" s="37">
        <f t="shared" si="40"/>
        <v>-9.4163466157427766E-2</v>
      </c>
      <c r="S55" s="37">
        <f t="shared" si="40"/>
        <v>-0.69283027216600912</v>
      </c>
      <c r="T55" s="37">
        <f t="shared" si="40"/>
        <v>-0.73551862277459357</v>
      </c>
      <c r="U55" s="37">
        <f t="shared" si="40"/>
        <v>-0.69112148602959156</v>
      </c>
      <c r="V55" s="37">
        <f t="shared" si="40"/>
        <v>-0.27640752547448688</v>
      </c>
      <c r="W55" s="37">
        <f t="shared" si="40"/>
        <v>-0.53143866023621955</v>
      </c>
      <c r="X55" s="37">
        <f t="shared" si="40"/>
        <v>-5.3003702593526825E-2</v>
      </c>
      <c r="Y55" s="37">
        <f t="shared" si="40"/>
        <v>-0.84870720041739434</v>
      </c>
      <c r="Z55" s="37">
        <f t="shared" si="40"/>
        <v>-0.81406362122634501</v>
      </c>
      <c r="AA55" s="37">
        <f t="shared" si="40"/>
        <v>-0.60260020983313822</v>
      </c>
      <c r="AB55" s="37">
        <f t="shared" si="40"/>
        <v>-0.63103535468103678</v>
      </c>
      <c r="AC55" s="37">
        <f t="shared" si="40"/>
        <v>-0.67309234826314501</v>
      </c>
      <c r="AD55" s="37">
        <f t="shared" si="40"/>
        <v>-0.39304478796978648</v>
      </c>
      <c r="AE55" s="37">
        <f t="shared" si="40"/>
        <v>-0.97249689931941541</v>
      </c>
      <c r="AF55" s="37">
        <f t="shared" si="40"/>
        <v>-0.39750985197412181</v>
      </c>
      <c r="AG55" s="37">
        <f t="shared" si="40"/>
        <v>-8.4244103285507688E-2</v>
      </c>
      <c r="AH55" s="37">
        <f t="shared" si="40"/>
        <v>-0.39159614469812309</v>
      </c>
      <c r="AI55" s="37">
        <f t="shared" si="40"/>
        <v>3.6952522361118678E-2</v>
      </c>
      <c r="AJ55" s="100">
        <f t="shared" si="41"/>
        <v>-5.4595254407243381E-2</v>
      </c>
      <c r="AK55" s="100">
        <f t="shared" si="42"/>
        <v>-0.10534718866453287</v>
      </c>
      <c r="AL55" s="100">
        <f t="shared" si="43"/>
        <v>1.820573408175738E-2</v>
      </c>
    </row>
    <row r="56" spans="1:38" x14ac:dyDescent="0.25">
      <c r="A56" s="138" t="s">
        <v>1927</v>
      </c>
      <c r="B56" s="37">
        <f t="shared" si="40"/>
        <v>-0.20658486266559262</v>
      </c>
      <c r="C56" s="37">
        <f t="shared" si="40"/>
        <v>-8.541225233399441E-2</v>
      </c>
      <c r="D56" s="37">
        <f t="shared" si="40"/>
        <v>2.7996235867858932E-2</v>
      </c>
      <c r="E56" s="37">
        <f t="shared" si="40"/>
        <v>-4.6425433373000757E-3</v>
      </c>
      <c r="F56" s="37">
        <f t="shared" si="40"/>
        <v>-0.19569906244508939</v>
      </c>
      <c r="G56" s="37">
        <f t="shared" si="40"/>
        <v>-0.3005344850272893</v>
      </c>
      <c r="H56" s="37">
        <f t="shared" si="40"/>
        <v>-0.15503136996391698</v>
      </c>
      <c r="I56" s="37">
        <f t="shared" si="40"/>
        <v>-0.18935885878856773</v>
      </c>
      <c r="J56" s="37">
        <f t="shared" si="40"/>
        <v>7.4103034538401502E-2</v>
      </c>
      <c r="K56" s="37">
        <f t="shared" si="40"/>
        <v>-9.0728182261671009E-2</v>
      </c>
      <c r="L56" s="37">
        <f t="shared" si="40"/>
        <v>0.20642929934918808</v>
      </c>
      <c r="M56" s="37">
        <f t="shared" si="40"/>
        <v>0.24728777424120452</v>
      </c>
      <c r="N56" s="37">
        <f t="shared" si="40"/>
        <v>5.7831738958343593E-2</v>
      </c>
      <c r="O56" s="37">
        <f t="shared" si="40"/>
        <v>0.1048751875451317</v>
      </c>
      <c r="P56" s="37">
        <f t="shared" si="40"/>
        <v>0.47204965058079074</v>
      </c>
      <c r="Q56" s="37">
        <f t="shared" si="40"/>
        <v>0.2897090124445203</v>
      </c>
      <c r="R56" s="37">
        <f t="shared" si="40"/>
        <v>0.27039138806531282</v>
      </c>
      <c r="S56" s="37">
        <f t="shared" ref="S56:AL56" si="44">S11-S44</f>
        <v>-6.0058413365444707E-3</v>
      </c>
      <c r="T56" s="37">
        <f t="shared" si="44"/>
        <v>-0.21795809570590796</v>
      </c>
      <c r="U56" s="37">
        <f t="shared" si="44"/>
        <v>-7.2436904844909389E-2</v>
      </c>
      <c r="V56" s="37">
        <f t="shared" si="44"/>
        <v>-0.12754428569766629</v>
      </c>
      <c r="W56" s="37">
        <f t="shared" si="44"/>
        <v>-0.13069426195125722</v>
      </c>
      <c r="X56" s="37">
        <f t="shared" si="44"/>
        <v>-0.29953782228611603</v>
      </c>
      <c r="Y56" s="37">
        <f t="shared" si="44"/>
        <v>-0.24266726503337921</v>
      </c>
      <c r="Z56" s="37">
        <f t="shared" si="44"/>
        <v>-0.12212226610619048</v>
      </c>
      <c r="AA56" s="37">
        <f t="shared" si="44"/>
        <v>0.11567434420027656</v>
      </c>
      <c r="AB56" s="37">
        <f t="shared" si="44"/>
        <v>-7.458445851697082E-3</v>
      </c>
      <c r="AC56" s="37">
        <f t="shared" si="44"/>
        <v>-3.4676553401037147E-2</v>
      </c>
      <c r="AD56" s="37">
        <f t="shared" si="44"/>
        <v>0.1336601331476448</v>
      </c>
      <c r="AE56" s="37">
        <f t="shared" si="44"/>
        <v>0.1234454598373631</v>
      </c>
      <c r="AF56" s="37">
        <f t="shared" si="44"/>
        <v>0.18032179152474459</v>
      </c>
      <c r="AG56" s="37">
        <f t="shared" si="44"/>
        <v>0.10399705021015482</v>
      </c>
      <c r="AH56" s="37">
        <f t="shared" si="44"/>
        <v>3.7560982746090765E-2</v>
      </c>
      <c r="AI56" s="37">
        <f t="shared" si="44"/>
        <v>4.3760275781117741E-2</v>
      </c>
      <c r="AJ56" s="100">
        <f t="shared" si="41"/>
        <v>3.6298290661687131E-3</v>
      </c>
      <c r="AK56" s="100">
        <f t="shared" si="42"/>
        <v>1.4680976276476661E-2</v>
      </c>
      <c r="AL56" s="100">
        <f t="shared" si="43"/>
        <v>2.620897171050298E-2</v>
      </c>
    </row>
    <row r="57" spans="1:38" x14ac:dyDescent="0.25">
      <c r="A57" s="122" t="s">
        <v>2015</v>
      </c>
      <c r="B57">
        <v>1</v>
      </c>
      <c r="C57" s="37">
        <f>+B57+1</f>
        <v>2</v>
      </c>
      <c r="D57" s="37">
        <f t="shared" ref="D57:AI57" si="45">+C57+1</f>
        <v>3</v>
      </c>
      <c r="E57" s="37">
        <f t="shared" si="45"/>
        <v>4</v>
      </c>
      <c r="F57" s="37">
        <f t="shared" si="45"/>
        <v>5</v>
      </c>
      <c r="G57" s="37">
        <f t="shared" si="45"/>
        <v>6</v>
      </c>
      <c r="H57" s="37">
        <f t="shared" si="45"/>
        <v>7</v>
      </c>
      <c r="I57" s="37">
        <f t="shared" si="45"/>
        <v>8</v>
      </c>
      <c r="J57" s="37">
        <f t="shared" si="45"/>
        <v>9</v>
      </c>
      <c r="K57" s="37">
        <f t="shared" si="45"/>
        <v>10</v>
      </c>
      <c r="L57" s="37">
        <f t="shared" si="45"/>
        <v>11</v>
      </c>
      <c r="M57" s="37">
        <f t="shared" si="45"/>
        <v>12</v>
      </c>
      <c r="N57" s="37">
        <f t="shared" si="45"/>
        <v>13</v>
      </c>
      <c r="O57" s="37">
        <f t="shared" si="45"/>
        <v>14</v>
      </c>
      <c r="P57" s="37">
        <f t="shared" si="45"/>
        <v>15</v>
      </c>
      <c r="Q57" s="37">
        <f t="shared" si="45"/>
        <v>16</v>
      </c>
      <c r="R57" s="37">
        <f t="shared" si="45"/>
        <v>17</v>
      </c>
      <c r="S57" s="37">
        <f t="shared" si="45"/>
        <v>18</v>
      </c>
      <c r="T57" s="37">
        <f t="shared" si="45"/>
        <v>19</v>
      </c>
      <c r="U57" s="37">
        <f t="shared" si="45"/>
        <v>20</v>
      </c>
      <c r="V57" s="37">
        <f t="shared" si="45"/>
        <v>21</v>
      </c>
      <c r="W57" s="37">
        <f t="shared" si="45"/>
        <v>22</v>
      </c>
      <c r="X57" s="37">
        <f t="shared" si="45"/>
        <v>23</v>
      </c>
      <c r="Y57" s="37">
        <f t="shared" si="45"/>
        <v>24</v>
      </c>
      <c r="Z57" s="37">
        <f t="shared" si="45"/>
        <v>25</v>
      </c>
      <c r="AA57" s="37">
        <f t="shared" si="45"/>
        <v>26</v>
      </c>
      <c r="AB57" s="37">
        <f t="shared" si="45"/>
        <v>27</v>
      </c>
      <c r="AC57" s="37">
        <f t="shared" si="45"/>
        <v>28</v>
      </c>
      <c r="AD57" s="37">
        <f t="shared" si="45"/>
        <v>29</v>
      </c>
      <c r="AE57" s="37">
        <f t="shared" si="45"/>
        <v>30</v>
      </c>
      <c r="AF57" s="37">
        <f t="shared" si="45"/>
        <v>31</v>
      </c>
      <c r="AG57" s="37">
        <f t="shared" si="45"/>
        <v>32</v>
      </c>
      <c r="AH57" s="37">
        <f t="shared" si="45"/>
        <v>33</v>
      </c>
      <c r="AI57" s="37">
        <f t="shared" si="45"/>
        <v>34</v>
      </c>
      <c r="AK57" s="37"/>
    </row>
    <row r="63" spans="1:38" x14ac:dyDescent="0.25">
      <c r="B63" s="348" t="s">
        <v>2228</v>
      </c>
      <c r="C63" t="s">
        <v>1751</v>
      </c>
      <c r="E63" t="s">
        <v>1973</v>
      </c>
    </row>
    <row r="64" spans="1:38" ht="15.75" thickBot="1" x14ac:dyDescent="0.3">
      <c r="B64" s="37">
        <v>221.87073325215727</v>
      </c>
      <c r="C64">
        <v>1990</v>
      </c>
    </row>
    <row r="65" spans="2:13" x14ac:dyDescent="0.25">
      <c r="B65" s="37">
        <v>220.49471360682301</v>
      </c>
      <c r="C65" s="37">
        <f>+C64+1</f>
        <v>1991</v>
      </c>
      <c r="E65" s="267" t="s">
        <v>1974</v>
      </c>
      <c r="F65" s="267"/>
    </row>
    <row r="66" spans="2:13" x14ac:dyDescent="0.25">
      <c r="B66" s="37">
        <v>243.01471613761461</v>
      </c>
      <c r="C66" s="37">
        <f>+C65+1</f>
        <v>1992</v>
      </c>
      <c r="E66" s="264" t="s">
        <v>1975</v>
      </c>
      <c r="F66" s="264">
        <v>0.62977324241640176</v>
      </c>
    </row>
    <row r="67" spans="2:13" x14ac:dyDescent="0.25">
      <c r="B67" s="37">
        <v>239.54220708063602</v>
      </c>
      <c r="C67" s="37">
        <f>+C66+1</f>
        <v>1993</v>
      </c>
      <c r="E67" s="264" t="s">
        <v>1976</v>
      </c>
      <c r="F67" s="264">
        <v>0.39661433686366793</v>
      </c>
    </row>
    <row r="68" spans="2:13" x14ac:dyDescent="0.25">
      <c r="B68" s="37">
        <v>244.56673234215882</v>
      </c>
      <c r="C68" s="37">
        <f>+C67+1</f>
        <v>1994</v>
      </c>
      <c r="E68" s="264" t="s">
        <v>1977</v>
      </c>
      <c r="F68" s="264">
        <v>0.3463321982689736</v>
      </c>
    </row>
    <row r="69" spans="2:13" x14ac:dyDescent="0.25">
      <c r="B69" s="37">
        <v>236.10851958120273</v>
      </c>
      <c r="C69" s="37">
        <f>+C68+1</f>
        <v>1995</v>
      </c>
      <c r="E69" s="264" t="s">
        <v>1978</v>
      </c>
      <c r="F69" s="264">
        <v>9.7522579892583323</v>
      </c>
    </row>
    <row r="70" spans="2:13" ht="15.75" thickBot="1" x14ac:dyDescent="0.3">
      <c r="B70" s="37">
        <v>244.69004746223715</v>
      </c>
      <c r="C70" s="37">
        <f>+C69+1</f>
        <v>1996</v>
      </c>
      <c r="E70" s="265" t="s">
        <v>1979</v>
      </c>
      <c r="F70" s="265">
        <v>14</v>
      </c>
    </row>
    <row r="71" spans="2:13" x14ac:dyDescent="0.25">
      <c r="B71" s="37">
        <v>238.88628469947338</v>
      </c>
      <c r="C71" s="37">
        <f>+C70+1</f>
        <v>1997</v>
      </c>
    </row>
    <row r="72" spans="2:13" ht="15.75" thickBot="1" x14ac:dyDescent="0.3">
      <c r="B72" s="37">
        <v>219.9033609391029</v>
      </c>
      <c r="C72" s="37">
        <f>+C71+1</f>
        <v>1998</v>
      </c>
      <c r="E72" t="s">
        <v>1980</v>
      </c>
    </row>
    <row r="73" spans="2:13" x14ac:dyDescent="0.25">
      <c r="B73" s="37">
        <v>226.52184748894814</v>
      </c>
      <c r="C73" s="37">
        <f>+C72+1</f>
        <v>1999</v>
      </c>
      <c r="E73" s="266"/>
      <c r="F73" s="266" t="s">
        <v>1984</v>
      </c>
      <c r="G73" s="266" t="s">
        <v>1733</v>
      </c>
      <c r="H73" s="266" t="s">
        <v>1985</v>
      </c>
      <c r="I73" s="266" t="s">
        <v>1986</v>
      </c>
      <c r="J73" s="266" t="s">
        <v>1987</v>
      </c>
    </row>
    <row r="74" spans="2:13" x14ac:dyDescent="0.25">
      <c r="B74" s="37">
        <v>234.22495110509035</v>
      </c>
      <c r="C74" s="37">
        <f>+C73+1</f>
        <v>2000</v>
      </c>
      <c r="E74" s="264" t="s">
        <v>1981</v>
      </c>
      <c r="F74" s="264">
        <v>1</v>
      </c>
      <c r="G74" s="264">
        <v>750.17922302568036</v>
      </c>
      <c r="H74" s="264">
        <v>750.17922302568036</v>
      </c>
      <c r="I74" s="264">
        <v>7.8877778063623927</v>
      </c>
      <c r="J74" s="264">
        <v>1.5792742561458815E-2</v>
      </c>
    </row>
    <row r="75" spans="2:13" x14ac:dyDescent="0.25">
      <c r="B75" s="37">
        <v>225.12694377359091</v>
      </c>
      <c r="C75" s="37">
        <f>+C74+1</f>
        <v>2001</v>
      </c>
      <c r="E75" s="264" t="s">
        <v>1982</v>
      </c>
      <c r="F75" s="264">
        <v>12</v>
      </c>
      <c r="G75" s="264">
        <v>1141.2784306686356</v>
      </c>
      <c r="H75" s="264">
        <v>95.106535889052964</v>
      </c>
      <c r="I75" s="264"/>
      <c r="J75" s="264"/>
    </row>
    <row r="76" spans="2:13" ht="15.75" thickBot="1" x14ac:dyDescent="0.3">
      <c r="B76" s="37">
        <v>222.02197227933746</v>
      </c>
      <c r="C76" s="37">
        <f>+C75+1</f>
        <v>2002</v>
      </c>
      <c r="E76" s="265" t="s">
        <v>1770</v>
      </c>
      <c r="F76" s="265">
        <v>13</v>
      </c>
      <c r="G76" s="265">
        <v>1891.4576536943159</v>
      </c>
      <c r="H76" s="265"/>
      <c r="I76" s="265"/>
      <c r="J76" s="265"/>
    </row>
    <row r="77" spans="2:13" ht="15.75" thickBot="1" x14ac:dyDescent="0.3">
      <c r="B77" s="37">
        <v>236.85048332356754</v>
      </c>
      <c r="C77" s="37">
        <f>+C76+1</f>
        <v>2003</v>
      </c>
    </row>
    <row r="78" spans="2:13" x14ac:dyDescent="0.25">
      <c r="B78" s="37">
        <v>234.69325221259626</v>
      </c>
      <c r="C78" s="37">
        <f>+C77+1</f>
        <v>2004</v>
      </c>
      <c r="E78" s="266"/>
      <c r="F78" s="266" t="s">
        <v>1988</v>
      </c>
      <c r="G78" s="266" t="s">
        <v>1978</v>
      </c>
      <c r="H78" s="266" t="s">
        <v>1989</v>
      </c>
      <c r="I78" s="266" t="s">
        <v>1990</v>
      </c>
      <c r="J78" s="266" t="s">
        <v>1991</v>
      </c>
      <c r="K78" s="266" t="s">
        <v>1992</v>
      </c>
      <c r="L78" s="266" t="s">
        <v>1993</v>
      </c>
      <c r="M78" s="266" t="s">
        <v>1994</v>
      </c>
    </row>
    <row r="79" spans="2:13" x14ac:dyDescent="0.25">
      <c r="B79" s="37">
        <v>225.9654825463609</v>
      </c>
      <c r="C79" s="37">
        <f>+C78+1</f>
        <v>2005</v>
      </c>
      <c r="E79" s="264" t="s">
        <v>1983</v>
      </c>
      <c r="F79" s="264">
        <v>-3456.4950178784156</v>
      </c>
      <c r="G79" s="264">
        <v>1303.807801450447</v>
      </c>
      <c r="H79" s="264">
        <v>-2.6510771097037225</v>
      </c>
      <c r="I79" s="264">
        <v>2.1136953322430988E-2</v>
      </c>
      <c r="J79" s="264">
        <v>-6297.2481830988718</v>
      </c>
      <c r="K79" s="264">
        <v>-615.7418526579595</v>
      </c>
      <c r="L79" s="264">
        <v>-6297.2481830988718</v>
      </c>
      <c r="M79" s="264">
        <v>-615.7418526579595</v>
      </c>
    </row>
    <row r="80" spans="2:13" ht="15.75" thickBot="1" x14ac:dyDescent="0.3">
      <c r="B80" s="37">
        <v>199.58868705907568</v>
      </c>
      <c r="C80" s="37">
        <f>+C79+1</f>
        <v>2006</v>
      </c>
      <c r="E80" s="265" t="s">
        <v>2003</v>
      </c>
      <c r="F80" s="265">
        <v>1.8158995264669162</v>
      </c>
      <c r="G80" s="265">
        <v>0.64656840875860033</v>
      </c>
      <c r="H80" s="265">
        <v>2.8085187922394947</v>
      </c>
      <c r="I80" s="265">
        <v>1.5792742561458843E-2</v>
      </c>
      <c r="J80" s="265">
        <v>0.407147982206153</v>
      </c>
      <c r="K80" s="265">
        <v>3.2246510707276794</v>
      </c>
      <c r="L80" s="265">
        <v>0.407147982206153</v>
      </c>
      <c r="M80" s="265">
        <v>3.2246510707276794</v>
      </c>
    </row>
    <row r="81" spans="2:8" x14ac:dyDescent="0.25">
      <c r="B81" s="37">
        <v>210.28067957883994</v>
      </c>
      <c r="C81" s="37">
        <f>+C80+1</f>
        <v>2007</v>
      </c>
    </row>
    <row r="82" spans="2:8" x14ac:dyDescent="0.25">
      <c r="B82" s="37">
        <v>209.80792114460675</v>
      </c>
      <c r="C82" s="37">
        <f>+C81+1</f>
        <v>2008</v>
      </c>
    </row>
    <row r="83" spans="2:8" x14ac:dyDescent="0.25">
      <c r="B83" s="37">
        <v>195.3240839161885</v>
      </c>
      <c r="C83" s="37">
        <f>+C82+1</f>
        <v>2009</v>
      </c>
    </row>
    <row r="84" spans="2:8" x14ac:dyDescent="0.25">
      <c r="B84" s="37">
        <v>195.30998964288591</v>
      </c>
      <c r="C84" s="37">
        <f>+C83+1</f>
        <v>2010</v>
      </c>
      <c r="E84" t="s">
        <v>1995</v>
      </c>
    </row>
    <row r="85" spans="2:8" ht="15.75" thickBot="1" x14ac:dyDescent="0.3">
      <c r="B85" s="37">
        <v>196.18362927725087</v>
      </c>
      <c r="C85" s="37">
        <f>+C84+1</f>
        <v>2011</v>
      </c>
    </row>
    <row r="86" spans="2:8" x14ac:dyDescent="0.25">
      <c r="B86" s="37">
        <v>180.93384628589041</v>
      </c>
      <c r="C86" s="37">
        <f>+C85+1</f>
        <v>2012</v>
      </c>
      <c r="E86" s="266" t="s">
        <v>1996</v>
      </c>
      <c r="F86" s="266" t="s">
        <v>2005</v>
      </c>
      <c r="G86" s="266" t="s">
        <v>1998</v>
      </c>
      <c r="H86" s="266" t="s">
        <v>1999</v>
      </c>
    </row>
    <row r="87" spans="2:8" x14ac:dyDescent="0.25">
      <c r="B87" s="37">
        <v>198.6922984135513</v>
      </c>
      <c r="C87" s="37">
        <f>+C86+1</f>
        <v>2013</v>
      </c>
      <c r="E87" s="264">
        <v>1</v>
      </c>
      <c r="F87" s="264">
        <v>193.46303032008609</v>
      </c>
      <c r="G87" s="264">
        <v>1.8469593227998189</v>
      </c>
      <c r="H87" s="264">
        <v>0.19712113999158967</v>
      </c>
    </row>
    <row r="88" spans="2:8" x14ac:dyDescent="0.25">
      <c r="B88" s="37">
        <v>214.66812558980209</v>
      </c>
      <c r="C88" s="37">
        <f>+C87+1</f>
        <v>2014</v>
      </c>
      <c r="E88" s="264">
        <v>2</v>
      </c>
      <c r="F88" s="264">
        <v>195.27892984655273</v>
      </c>
      <c r="G88" s="264">
        <v>0.90469943069814462</v>
      </c>
      <c r="H88" s="264">
        <v>9.6556205070407602E-2</v>
      </c>
    </row>
    <row r="89" spans="2:8" x14ac:dyDescent="0.25">
      <c r="B89" s="37">
        <v>212.28994203513656</v>
      </c>
      <c r="C89" s="37">
        <f>+C88+1</f>
        <v>2015</v>
      </c>
      <c r="E89" s="264">
        <v>3</v>
      </c>
      <c r="F89" s="264">
        <v>197.09482937301982</v>
      </c>
      <c r="G89" s="264">
        <v>-16.160983087129409</v>
      </c>
      <c r="H89" s="264">
        <v>-1.7248194750118089</v>
      </c>
    </row>
    <row r="90" spans="2:8" x14ac:dyDescent="0.25">
      <c r="B90" s="37">
        <v>194.64183340804789</v>
      </c>
      <c r="C90" s="37">
        <f>+C89+1</f>
        <v>2016</v>
      </c>
      <c r="E90" s="264">
        <v>4</v>
      </c>
      <c r="F90" s="264">
        <v>198.91072889948691</v>
      </c>
      <c r="G90" s="264">
        <v>-0.21843048593561321</v>
      </c>
      <c r="H90" s="264">
        <v>-2.3312514718122842E-2</v>
      </c>
    </row>
    <row r="91" spans="2:8" x14ac:dyDescent="0.25">
      <c r="B91" s="37">
        <v>198.66614479628291</v>
      </c>
      <c r="C91" s="37">
        <f>+C90+1</f>
        <v>2017</v>
      </c>
      <c r="E91" s="264">
        <v>5</v>
      </c>
      <c r="F91" s="264">
        <v>200.72662842595355</v>
      </c>
      <c r="G91" s="264">
        <v>13.941497163848538</v>
      </c>
      <c r="H91" s="264">
        <v>1.4879395448522261</v>
      </c>
    </row>
    <row r="92" spans="2:8" x14ac:dyDescent="0.25">
      <c r="B92" s="37">
        <v>220.0639633539983</v>
      </c>
      <c r="C92" s="37">
        <f>+C91+1</f>
        <v>2018</v>
      </c>
      <c r="E92" s="264">
        <v>6</v>
      </c>
      <c r="F92" s="264">
        <v>202.54252795242064</v>
      </c>
      <c r="G92" s="264">
        <v>9.7474140827159204</v>
      </c>
      <c r="H92" s="264">
        <v>1.0403160222512866</v>
      </c>
    </row>
    <row r="93" spans="2:8" x14ac:dyDescent="0.25">
      <c r="B93" s="37">
        <v>218.12160100928619</v>
      </c>
      <c r="C93" s="37">
        <f>+C92+1</f>
        <v>2019</v>
      </c>
      <c r="E93" s="264">
        <v>7</v>
      </c>
      <c r="F93" s="264">
        <v>204.35842747888728</v>
      </c>
      <c r="G93" s="264">
        <v>-9.7165940708393919</v>
      </c>
      <c r="H93" s="264">
        <v>-1.0370266829568802</v>
      </c>
    </row>
    <row r="94" spans="2:8" x14ac:dyDescent="0.25">
      <c r="B94" s="37">
        <v>198.42237041344953</v>
      </c>
      <c r="C94" s="37">
        <f>+C93+1</f>
        <v>2020</v>
      </c>
      <c r="E94" s="264">
        <v>8</v>
      </c>
      <c r="F94" s="264">
        <v>206.17432700535437</v>
      </c>
      <c r="G94" s="264">
        <v>-7.5081822090714638</v>
      </c>
      <c r="H94" s="264">
        <v>-0.80132865843150458</v>
      </c>
    </row>
    <row r="95" spans="2:8" x14ac:dyDescent="0.25">
      <c r="B95" s="37">
        <v>210.99992121701283</v>
      </c>
      <c r="C95" s="37">
        <f>+C94+1</f>
        <v>2021</v>
      </c>
      <c r="E95" s="264">
        <v>9</v>
      </c>
      <c r="F95" s="264">
        <v>207.99022653182146</v>
      </c>
      <c r="G95" s="264">
        <v>12.073736822176841</v>
      </c>
      <c r="H95" s="264">
        <v>1.2885983664968268</v>
      </c>
    </row>
    <row r="96" spans="2:8" x14ac:dyDescent="0.25">
      <c r="B96" s="37">
        <v>220.79893309209294</v>
      </c>
      <c r="C96" s="37">
        <f>+C95+1</f>
        <v>2022</v>
      </c>
      <c r="E96" s="264">
        <v>10</v>
      </c>
      <c r="F96" s="264">
        <v>209.8061260582881</v>
      </c>
      <c r="G96" s="264">
        <v>8.3154749509980945</v>
      </c>
      <c r="H96" s="264">
        <v>0.88748890226095756</v>
      </c>
    </row>
    <row r="97" spans="2:8" x14ac:dyDescent="0.25">
      <c r="B97" s="37">
        <v>213.93668285500544</v>
      </c>
      <c r="C97" s="37">
        <f>+C96+1</f>
        <v>2023</v>
      </c>
      <c r="E97" s="264">
        <v>11</v>
      </c>
      <c r="F97" s="264">
        <v>211.62202558475519</v>
      </c>
      <c r="G97" s="264">
        <v>-13.199655171305665</v>
      </c>
      <c r="H97" s="264">
        <v>-1.4087646883957188</v>
      </c>
    </row>
    <row r="98" spans="2:8" x14ac:dyDescent="0.25">
      <c r="E98" s="264">
        <v>12</v>
      </c>
      <c r="F98" s="264">
        <v>213.43792511122183</v>
      </c>
      <c r="G98" s="264">
        <v>-2.4380038942090039</v>
      </c>
      <c r="H98" s="264">
        <v>-0.26020178192224397</v>
      </c>
    </row>
    <row r="99" spans="2:8" x14ac:dyDescent="0.25">
      <c r="E99" s="264">
        <v>13</v>
      </c>
      <c r="F99" s="264">
        <v>215.25382463768892</v>
      </c>
      <c r="G99" s="264">
        <v>5.5451084544040157</v>
      </c>
      <c r="H99" s="264">
        <v>0.59181492868621866</v>
      </c>
    </row>
    <row r="100" spans="2:8" ht="15.75" thickBot="1" x14ac:dyDescent="0.3">
      <c r="E100" s="265">
        <v>14</v>
      </c>
      <c r="F100" s="265">
        <v>217.06972416415601</v>
      </c>
      <c r="G100" s="265">
        <v>-3.1330413091505704</v>
      </c>
      <c r="H100" s="265">
        <v>-0.33438130817320649</v>
      </c>
    </row>
    <row r="101" spans="2:8" x14ac:dyDescent="0.25">
      <c r="E101" s="264">
        <v>15</v>
      </c>
      <c r="F101" s="264">
        <v>220.46943776271598</v>
      </c>
      <c r="G101" s="264">
        <v>14.22381444988028</v>
      </c>
      <c r="H101" s="264">
        <v>1.0880079694948954</v>
      </c>
    </row>
    <row r="102" spans="2:8" x14ac:dyDescent="0.25">
      <c r="E102" s="264">
        <v>16</v>
      </c>
      <c r="F102" s="264">
        <v>219.37828502138606</v>
      </c>
      <c r="G102" s="264">
        <v>6.5871975249748402</v>
      </c>
      <c r="H102" s="264">
        <v>0.50386789205268345</v>
      </c>
    </row>
    <row r="103" spans="2:8" x14ac:dyDescent="0.25">
      <c r="E103" s="264">
        <v>17</v>
      </c>
      <c r="F103" s="264">
        <v>218.28713228005617</v>
      </c>
      <c r="G103" s="264">
        <v>-18.698445220980489</v>
      </c>
      <c r="H103" s="264">
        <v>-1.4302814121539489</v>
      </c>
    </row>
    <row r="104" spans="2:8" x14ac:dyDescent="0.25">
      <c r="E104" s="264">
        <v>18</v>
      </c>
      <c r="F104" s="264">
        <v>217.19597953872628</v>
      </c>
      <c r="G104" s="264">
        <v>-6.9152999598863403</v>
      </c>
      <c r="H104" s="264">
        <v>-0.52896510245656336</v>
      </c>
    </row>
    <row r="105" spans="2:8" x14ac:dyDescent="0.25">
      <c r="E105" s="264">
        <v>19</v>
      </c>
      <c r="F105" s="264">
        <v>216.10482679739638</v>
      </c>
      <c r="G105" s="264">
        <v>-6.2969056527896328</v>
      </c>
      <c r="H105" s="264">
        <v>-0.48166288709216404</v>
      </c>
    </row>
    <row r="106" spans="2:8" x14ac:dyDescent="0.25">
      <c r="E106" s="264">
        <v>20</v>
      </c>
      <c r="F106" s="264">
        <v>215.01367405606646</v>
      </c>
      <c r="G106" s="264">
        <v>-19.689590139877964</v>
      </c>
      <c r="H106" s="264">
        <v>-1.5060960661263159</v>
      </c>
    </row>
    <row r="107" spans="2:8" x14ac:dyDescent="0.25">
      <c r="E107" s="264">
        <v>21</v>
      </c>
      <c r="F107" s="264">
        <v>213.92252131473657</v>
      </c>
      <c r="G107" s="264">
        <v>-18.612531671850661</v>
      </c>
      <c r="H107" s="264">
        <v>-1.423709713228164</v>
      </c>
    </row>
    <row r="108" spans="2:8" x14ac:dyDescent="0.25">
      <c r="E108" s="264">
        <v>22</v>
      </c>
      <c r="F108" s="264">
        <v>212.83136857340668</v>
      </c>
      <c r="G108" s="264">
        <v>-16.647739296155805</v>
      </c>
      <c r="H108" s="264">
        <v>-1.2734188210985351</v>
      </c>
    </row>
    <row r="109" spans="2:8" x14ac:dyDescent="0.25">
      <c r="E109" s="264">
        <v>23</v>
      </c>
      <c r="F109" s="264">
        <v>211.74021583207679</v>
      </c>
      <c r="G109" s="264">
        <v>-30.806369546186374</v>
      </c>
      <c r="H109" s="264">
        <v>-2.3564407209866078</v>
      </c>
    </row>
    <row r="110" spans="2:8" x14ac:dyDescent="0.25">
      <c r="E110" s="264">
        <v>24</v>
      </c>
      <c r="F110" s="264">
        <v>210.64906309074689</v>
      </c>
      <c r="G110" s="264">
        <v>-11.956764677195594</v>
      </c>
      <c r="H110" s="264">
        <v>-0.91459680551958844</v>
      </c>
    </row>
    <row r="111" spans="2:8" x14ac:dyDescent="0.25">
      <c r="E111" s="264">
        <v>25</v>
      </c>
      <c r="F111" s="264">
        <v>209.55791034941697</v>
      </c>
      <c r="G111" s="264">
        <v>5.1102152403851164</v>
      </c>
      <c r="H111" s="264">
        <v>0.39089056785467813</v>
      </c>
    </row>
    <row r="112" spans="2:8" x14ac:dyDescent="0.25">
      <c r="E112" s="264">
        <v>26</v>
      </c>
      <c r="F112" s="264">
        <v>208.46675760808708</v>
      </c>
      <c r="G112" s="264">
        <v>3.8231844270494832</v>
      </c>
      <c r="H112" s="264">
        <v>0.2924430109894765</v>
      </c>
    </row>
    <row r="113" spans="5:8" x14ac:dyDescent="0.25">
      <c r="E113" s="264">
        <v>27</v>
      </c>
      <c r="F113" s="264">
        <v>207.37560486675719</v>
      </c>
      <c r="G113" s="264">
        <v>-12.733771458709299</v>
      </c>
      <c r="H113" s="264">
        <v>-0.97403160577076897</v>
      </c>
    </row>
    <row r="114" spans="5:8" x14ac:dyDescent="0.25">
      <c r="E114" s="264">
        <v>28</v>
      </c>
      <c r="F114" s="264">
        <v>206.28445212542729</v>
      </c>
      <c r="G114" s="264">
        <v>-7.6183073291443861</v>
      </c>
      <c r="H114" s="264">
        <v>-0.58273953990170535</v>
      </c>
    </row>
    <row r="115" spans="5:8" x14ac:dyDescent="0.25">
      <c r="E115" s="264">
        <v>29</v>
      </c>
      <c r="F115" s="264">
        <v>205.19329938409737</v>
      </c>
      <c r="G115" s="264">
        <v>14.870663969900932</v>
      </c>
      <c r="H115" s="264">
        <v>1.1374867809154381</v>
      </c>
    </row>
    <row r="116" spans="5:8" x14ac:dyDescent="0.25">
      <c r="E116" s="264">
        <v>30</v>
      </c>
      <c r="F116" s="264">
        <v>204.10214664276748</v>
      </c>
      <c r="G116" s="264">
        <v>14.019454366518715</v>
      </c>
      <c r="H116" s="264">
        <v>1.072376058650762</v>
      </c>
    </row>
    <row r="117" spans="5:8" x14ac:dyDescent="0.25">
      <c r="E117" s="264">
        <v>31</v>
      </c>
      <c r="F117" s="264">
        <v>203.01099390143759</v>
      </c>
      <c r="G117" s="264">
        <v>-4.588623487988059</v>
      </c>
      <c r="H117" s="264">
        <v>-0.35099297319535078</v>
      </c>
    </row>
    <row r="118" spans="5:8" x14ac:dyDescent="0.25">
      <c r="E118" s="264">
        <v>32</v>
      </c>
      <c r="F118" s="264">
        <v>201.91984116010769</v>
      </c>
      <c r="G118" s="264">
        <v>9.0800800569051319</v>
      </c>
      <c r="H118" s="264">
        <v>0.69455345472730057</v>
      </c>
    </row>
    <row r="119" spans="5:8" x14ac:dyDescent="0.25">
      <c r="E119" s="264">
        <v>33</v>
      </c>
      <c r="F119" s="264">
        <v>200.8286884187778</v>
      </c>
      <c r="G119" s="264">
        <v>19.970244673315136</v>
      </c>
      <c r="H119" s="264">
        <v>1.5275638918020849</v>
      </c>
    </row>
    <row r="120" spans="5:8" ht="15.75" thickBot="1" x14ac:dyDescent="0.3">
      <c r="E120" s="265">
        <v>34</v>
      </c>
      <c r="F120" s="265">
        <v>199.73753567744788</v>
      </c>
      <c r="G120" s="265">
        <v>14.199147177557563</v>
      </c>
      <c r="H120" s="265">
        <v>1.0861211205791292</v>
      </c>
    </row>
  </sheetData>
  <mergeCells count="2">
    <mergeCell ref="AJ1:AL1"/>
    <mergeCell ref="AJ46:AL4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ADF7D-53F8-4EF9-8941-63B512383384}">
  <dimension ref="A1:AI43"/>
  <sheetViews>
    <sheetView topLeftCell="B15" workbookViewId="0">
      <selection activeCell="B21" sqref="B21"/>
    </sheetView>
    <sheetView workbookViewId="1"/>
  </sheetViews>
  <sheetFormatPr defaultRowHeight="15" x14ac:dyDescent="0.25"/>
  <cols>
    <col min="1" max="1" width="47.140625" customWidth="1"/>
  </cols>
  <sheetData>
    <row r="1" spans="1:35" x14ac:dyDescent="0.25">
      <c r="A1" t="s">
        <v>2225</v>
      </c>
    </row>
    <row r="2" spans="1:35" ht="15.75" thickBot="1" x14ac:dyDescent="0.3">
      <c r="B2" s="300"/>
      <c r="U2" s="301"/>
      <c r="V2" s="301"/>
      <c r="W2" s="301"/>
      <c r="X2" s="301"/>
      <c r="AA2" s="302"/>
      <c r="AB2" s="302"/>
      <c r="AC2" s="303"/>
      <c r="AD2" s="302"/>
      <c r="AE2" s="302"/>
      <c r="AF2" s="302"/>
      <c r="AG2" s="302"/>
      <c r="AH2" s="302" t="s">
        <v>2216</v>
      </c>
      <c r="AI2" s="302" t="s">
        <v>2216</v>
      </c>
    </row>
    <row r="3" spans="1:35" ht="16.5" thickBot="1" x14ac:dyDescent="0.35">
      <c r="A3" s="304" t="s">
        <v>2217</v>
      </c>
      <c r="B3" s="305">
        <v>1990</v>
      </c>
      <c r="C3" s="306">
        <v>1991</v>
      </c>
      <c r="D3" s="306">
        <v>1992</v>
      </c>
      <c r="E3" s="306">
        <v>1993</v>
      </c>
      <c r="F3" s="306">
        <v>1994</v>
      </c>
      <c r="G3" s="306">
        <v>1995</v>
      </c>
      <c r="H3" s="306">
        <v>1996</v>
      </c>
      <c r="I3" s="306">
        <v>1997</v>
      </c>
      <c r="J3" s="306">
        <v>1998</v>
      </c>
      <c r="K3" s="306">
        <v>1999</v>
      </c>
      <c r="L3" s="306">
        <v>2000</v>
      </c>
      <c r="M3" s="306">
        <v>2001</v>
      </c>
      <c r="N3" s="306">
        <v>2002</v>
      </c>
      <c r="O3" s="306">
        <v>2003</v>
      </c>
      <c r="P3" s="306">
        <v>2004</v>
      </c>
      <c r="Q3" s="306">
        <v>2005</v>
      </c>
      <c r="R3" s="306">
        <v>2006</v>
      </c>
      <c r="S3" s="306">
        <v>2007</v>
      </c>
      <c r="T3" s="306">
        <v>2008</v>
      </c>
      <c r="U3" s="306">
        <v>2009</v>
      </c>
      <c r="V3" s="306">
        <v>2010</v>
      </c>
      <c r="W3" s="306">
        <v>2011</v>
      </c>
      <c r="X3" s="306">
        <v>2012</v>
      </c>
      <c r="Y3" s="306">
        <v>2013</v>
      </c>
      <c r="Z3" s="306">
        <v>2014</v>
      </c>
      <c r="AA3" s="306">
        <v>2015</v>
      </c>
      <c r="AB3" s="306">
        <v>2016</v>
      </c>
      <c r="AC3" s="306">
        <v>2017</v>
      </c>
      <c r="AD3" s="306">
        <v>2018</v>
      </c>
      <c r="AE3" s="306">
        <v>2019</v>
      </c>
      <c r="AF3" s="306">
        <v>2020</v>
      </c>
      <c r="AG3" s="306">
        <v>2021</v>
      </c>
      <c r="AH3" s="306">
        <v>2022</v>
      </c>
      <c r="AI3" s="306">
        <v>2023</v>
      </c>
    </row>
    <row r="4" spans="1:35" x14ac:dyDescent="0.25">
      <c r="A4" s="276" t="s">
        <v>2205</v>
      </c>
      <c r="B4" s="277">
        <v>87.113209003522158</v>
      </c>
      <c r="C4" s="278">
        <v>84.756364306906903</v>
      </c>
      <c r="D4" s="278">
        <v>86.739005675897715</v>
      </c>
      <c r="E4" s="278">
        <v>84.661512847509215</v>
      </c>
      <c r="F4" s="278">
        <v>84.82537610339071</v>
      </c>
      <c r="G4" s="278">
        <v>82.49059236058946</v>
      </c>
      <c r="H4" s="278">
        <v>83.020910558134773</v>
      </c>
      <c r="I4" s="278">
        <v>87.74663948515969</v>
      </c>
      <c r="J4" s="278">
        <v>85.754899419704273</v>
      </c>
      <c r="K4" s="278">
        <v>84.611373964856028</v>
      </c>
      <c r="L4" s="278">
        <v>87.108983558592911</v>
      </c>
      <c r="M4" s="278">
        <v>86.530454289963075</v>
      </c>
      <c r="N4" s="278">
        <v>88.208160435717588</v>
      </c>
      <c r="O4" s="278">
        <v>89.757960003614784</v>
      </c>
      <c r="P4" s="278">
        <v>87.800793258590218</v>
      </c>
      <c r="Q4" s="278">
        <v>89.431069078148269</v>
      </c>
      <c r="R4" s="278">
        <v>80.854630167865679</v>
      </c>
      <c r="S4" s="278">
        <v>83.69451159082945</v>
      </c>
      <c r="T4" s="278">
        <v>80.772966719911082</v>
      </c>
      <c r="U4" s="278">
        <v>75.198738944045317</v>
      </c>
      <c r="V4" s="278">
        <v>77.197881889193781</v>
      </c>
      <c r="W4" s="278">
        <v>72.004475165661177</v>
      </c>
      <c r="X4" s="278">
        <v>65.499567025092958</v>
      </c>
      <c r="Y4" s="278">
        <v>69.554016742931097</v>
      </c>
      <c r="Z4" s="278">
        <v>67.763431292959353</v>
      </c>
      <c r="AA4" s="278">
        <v>69.291884845092127</v>
      </c>
      <c r="AB4" s="278">
        <v>65.630657007327201</v>
      </c>
      <c r="AC4" s="278">
        <v>65.316435427659059</v>
      </c>
      <c r="AD4" s="278">
        <v>66.094659043356401</v>
      </c>
      <c r="AE4" s="278">
        <v>65.046649968319159</v>
      </c>
      <c r="AF4" s="278">
        <v>58.403397738248614</v>
      </c>
      <c r="AG4" s="278">
        <v>61.431596662419992</v>
      </c>
      <c r="AH4" s="279">
        <v>58.637003721128302</v>
      </c>
    </row>
    <row r="5" spans="1:35" ht="15.75" x14ac:dyDescent="0.3">
      <c r="A5" s="280" t="s">
        <v>2206</v>
      </c>
      <c r="B5" s="281">
        <v>15.31365040534536</v>
      </c>
      <c r="C5" s="281">
        <v>14.518561901071035</v>
      </c>
      <c r="D5" s="281">
        <v>16.637356745667098</v>
      </c>
      <c r="E5" s="281">
        <v>16.765001626446431</v>
      </c>
      <c r="F5" s="281">
        <v>16.5798858667393</v>
      </c>
      <c r="G5" s="281">
        <v>14.981382499081906</v>
      </c>
      <c r="H5" s="281">
        <v>14.782858365913285</v>
      </c>
      <c r="I5" s="281">
        <v>14.564592342096233</v>
      </c>
      <c r="J5" s="281">
        <v>13.354760517636457</v>
      </c>
      <c r="K5" s="281">
        <v>14.184525556803141</v>
      </c>
      <c r="L5" s="281">
        <v>15.873185523164093</v>
      </c>
      <c r="M5" s="281">
        <v>16.199011137428776</v>
      </c>
      <c r="N5" s="281">
        <v>16.119805109343375</v>
      </c>
      <c r="O5" s="281">
        <v>16.601211726566344</v>
      </c>
      <c r="P5" s="281">
        <v>15.197154479199662</v>
      </c>
      <c r="Q5" s="281">
        <v>15.027210450114723</v>
      </c>
      <c r="R5" s="281">
        <v>12.930446995074689</v>
      </c>
      <c r="S5" s="281">
        <v>13.614044734403702</v>
      </c>
      <c r="T5" s="281">
        <v>14.49159231299309</v>
      </c>
      <c r="U5" s="281">
        <v>13.995697715436682</v>
      </c>
      <c r="V5" s="281">
        <v>13.737716464679892</v>
      </c>
      <c r="W5" s="281">
        <v>13.770209257923048</v>
      </c>
      <c r="X5" s="281">
        <v>11.921635639998783</v>
      </c>
      <c r="Y5" s="281">
        <v>12.427545793562148</v>
      </c>
      <c r="Z5" s="281">
        <v>13.736544746104025</v>
      </c>
      <c r="AA5" s="281">
        <v>13.636975173626578</v>
      </c>
      <c r="AB5" s="281">
        <v>11.39103932176867</v>
      </c>
      <c r="AC5" s="281">
        <v>12.355017974074329</v>
      </c>
      <c r="AD5" s="282">
        <v>13.40124690910987</v>
      </c>
      <c r="AE5" s="281">
        <v>13.74295509703531</v>
      </c>
      <c r="AF5" s="281">
        <v>12.203532691373011</v>
      </c>
      <c r="AG5" s="281">
        <v>12.587212421548125</v>
      </c>
      <c r="AH5" s="281">
        <v>13.000609212674958</v>
      </c>
    </row>
    <row r="6" spans="1:35" x14ac:dyDescent="0.25">
      <c r="A6" s="283" t="s">
        <v>2207</v>
      </c>
      <c r="B6" s="284">
        <v>15.09218729035536</v>
      </c>
      <c r="C6" s="284">
        <v>14.295364882071034</v>
      </c>
      <c r="D6" s="284">
        <v>16.396053585147097</v>
      </c>
      <c r="E6" s="284">
        <v>16.518072434056432</v>
      </c>
      <c r="F6" s="284">
        <v>16.3428113958593</v>
      </c>
      <c r="G6" s="284">
        <v>14.751248409471906</v>
      </c>
      <c r="H6" s="284">
        <v>14.548991126703285</v>
      </c>
      <c r="I6" s="284">
        <v>14.378872297176233</v>
      </c>
      <c r="J6" s="284">
        <v>13.187544748996457</v>
      </c>
      <c r="K6" s="284">
        <v>14.010791823643141</v>
      </c>
      <c r="L6" s="284">
        <v>15.683527402244092</v>
      </c>
      <c r="M6" s="284">
        <v>16.029000961089942</v>
      </c>
      <c r="N6" s="284">
        <v>15.947597736625315</v>
      </c>
      <c r="O6" s="284">
        <v>16.424354633887898</v>
      </c>
      <c r="P6" s="284">
        <v>15.02439042499277</v>
      </c>
      <c r="Q6" s="284">
        <v>14.929934686615209</v>
      </c>
      <c r="R6" s="284">
        <v>12.846312302684595</v>
      </c>
      <c r="S6" s="284">
        <v>13.524855771139288</v>
      </c>
      <c r="T6" s="284">
        <v>14.39714565392285</v>
      </c>
      <c r="U6" s="284">
        <v>13.852964375083578</v>
      </c>
      <c r="V6" s="284">
        <v>13.589313015564603</v>
      </c>
      <c r="W6" s="284">
        <v>13.624708631879612</v>
      </c>
      <c r="X6" s="284">
        <v>11.798985827009325</v>
      </c>
      <c r="Y6" s="284">
        <v>12.279880650460056</v>
      </c>
      <c r="Z6" s="284">
        <v>13.581589984107024</v>
      </c>
      <c r="AA6" s="284">
        <v>13.492417678538322</v>
      </c>
      <c r="AB6" s="284">
        <v>11.274433436984273</v>
      </c>
      <c r="AC6" s="284">
        <v>12.235011797173529</v>
      </c>
      <c r="AD6" s="285">
        <v>13.276887897527338</v>
      </c>
      <c r="AE6" s="284">
        <v>13.60200809288772</v>
      </c>
      <c r="AF6" s="284">
        <v>12.102936422079161</v>
      </c>
      <c r="AG6" s="284">
        <v>12.480073656420144</v>
      </c>
      <c r="AH6" s="284">
        <v>12.883270641350757</v>
      </c>
    </row>
    <row r="7" spans="1:35" x14ac:dyDescent="0.25">
      <c r="A7" s="283" t="s">
        <v>2202</v>
      </c>
      <c r="B7" s="286">
        <v>0.22146311499000002</v>
      </c>
      <c r="C7" s="286">
        <v>0.22319701900000002</v>
      </c>
      <c r="D7" s="286">
        <v>0.24130316051999998</v>
      </c>
      <c r="E7" s="286">
        <v>0.24692919239</v>
      </c>
      <c r="F7" s="286">
        <v>0.23707447088</v>
      </c>
      <c r="G7" s="286">
        <v>0.23013408961000001</v>
      </c>
      <c r="H7" s="286">
        <v>0.23386723920999997</v>
      </c>
      <c r="I7" s="286">
        <v>0.18572004491999997</v>
      </c>
      <c r="J7" s="286">
        <v>0.16721576863999998</v>
      </c>
      <c r="K7" s="286">
        <v>0.17373373315999999</v>
      </c>
      <c r="L7" s="286">
        <v>0.18965812091999998</v>
      </c>
      <c r="M7" s="286">
        <v>0.17001017633883481</v>
      </c>
      <c r="N7" s="286">
        <v>0.17220737271805805</v>
      </c>
      <c r="O7" s="286">
        <v>0.1768570926784464</v>
      </c>
      <c r="P7" s="286">
        <v>0.17276405420689284</v>
      </c>
      <c r="Q7" s="286">
        <v>9.7275763499513487E-2</v>
      </c>
      <c r="R7" s="286">
        <v>8.4134692390093954E-2</v>
      </c>
      <c r="S7" s="286">
        <v>8.9188963264413237E-2</v>
      </c>
      <c r="T7" s="286">
        <v>9.4446659070239081E-2</v>
      </c>
      <c r="U7" s="286">
        <v>0.14273334035310292</v>
      </c>
      <c r="V7" s="286">
        <v>0.14840344911528816</v>
      </c>
      <c r="W7" s="286">
        <v>0.145500626043436</v>
      </c>
      <c r="X7" s="286">
        <v>0.12264981298945812</v>
      </c>
      <c r="Y7" s="286">
        <v>0.14766514310209233</v>
      </c>
      <c r="Z7" s="286">
        <v>0.15495476199700042</v>
      </c>
      <c r="AA7" s="284">
        <v>0.14455749508825541</v>
      </c>
      <c r="AB7" s="284">
        <v>0.1166058847843976</v>
      </c>
      <c r="AC7" s="284">
        <v>0.12000617690079979</v>
      </c>
      <c r="AD7" s="285">
        <v>0.12435901158253188</v>
      </c>
      <c r="AE7" s="284">
        <v>0.14094700414758929</v>
      </c>
      <c r="AF7" s="284">
        <v>0.1005962692938505</v>
      </c>
      <c r="AG7" s="284">
        <v>0.10713876512798183</v>
      </c>
      <c r="AH7" s="284">
        <v>0.11733857132420025</v>
      </c>
    </row>
    <row r="8" spans="1:35" ht="15.75" x14ac:dyDescent="0.3">
      <c r="A8" s="287" t="s">
        <v>2208</v>
      </c>
      <c r="B8" s="288">
        <v>8.4498373292805997</v>
      </c>
      <c r="C8" s="288">
        <v>9.2327174055964729</v>
      </c>
      <c r="D8" s="288">
        <v>8.9900720556205993</v>
      </c>
      <c r="E8" s="288">
        <v>8.0482362214060164</v>
      </c>
      <c r="F8" s="288">
        <v>8.921629042544625</v>
      </c>
      <c r="G8" s="288">
        <v>9.018799817873635</v>
      </c>
      <c r="H8" s="288">
        <v>9.1210152080864475</v>
      </c>
      <c r="I8" s="288">
        <v>9.5098828363490053</v>
      </c>
      <c r="J8" s="288">
        <v>8.1251718135853466</v>
      </c>
      <c r="K8" s="288">
        <v>6.2393751516955165</v>
      </c>
      <c r="L8" s="288">
        <v>6.8430239750778155</v>
      </c>
      <c r="M8" s="288">
        <v>5.8080881395792963</v>
      </c>
      <c r="N8" s="288">
        <v>5.9304040174073975</v>
      </c>
      <c r="O8" s="288">
        <v>7.1634710881257879</v>
      </c>
      <c r="P8" s="288">
        <v>6.5866153077796898</v>
      </c>
      <c r="Q8" s="288">
        <v>6.7227130330437754</v>
      </c>
      <c r="R8" s="288">
        <v>5.043099047620605</v>
      </c>
      <c r="S8" s="288">
        <v>5.3760371803162688</v>
      </c>
      <c r="T8" s="288">
        <v>5.6229897228886969</v>
      </c>
      <c r="U8" s="288">
        <v>5.8286975313890119</v>
      </c>
      <c r="V8" s="288">
        <v>6.7611009884578097</v>
      </c>
      <c r="W8" s="288">
        <v>6.3698002623165113</v>
      </c>
      <c r="X8" s="288">
        <v>5.2680912967014679</v>
      </c>
      <c r="Y8" s="288">
        <v>6.7973406332367121</v>
      </c>
      <c r="Z8" s="288">
        <v>7.1829581238722682</v>
      </c>
      <c r="AA8" s="288">
        <v>7.5869342069335239</v>
      </c>
      <c r="AB8" s="288">
        <v>7.0016349806269655</v>
      </c>
      <c r="AC8" s="288">
        <v>7.3467236414478316</v>
      </c>
      <c r="AD8" s="289">
        <v>7.8866810790388975</v>
      </c>
      <c r="AE8" s="288">
        <v>8.0663493581388526</v>
      </c>
      <c r="AF8" s="288">
        <v>7.2578524526362864</v>
      </c>
      <c r="AG8" s="288">
        <v>7.3896075854042547</v>
      </c>
      <c r="AH8" s="288">
        <v>8.13281638377447</v>
      </c>
    </row>
    <row r="9" spans="1:35" x14ac:dyDescent="0.25">
      <c r="A9" s="283" t="s">
        <v>2209</v>
      </c>
      <c r="B9" s="284">
        <v>8.393199905810599</v>
      </c>
      <c r="C9" s="284">
        <v>9.1714074410264725</v>
      </c>
      <c r="D9" s="284">
        <v>8.9309955359805997</v>
      </c>
      <c r="E9" s="284">
        <v>7.9899165283760158</v>
      </c>
      <c r="F9" s="284">
        <v>8.8622762327746258</v>
      </c>
      <c r="G9" s="284">
        <v>8.9583234115736357</v>
      </c>
      <c r="H9" s="284">
        <v>9.0613426494264484</v>
      </c>
      <c r="I9" s="284">
        <v>9.452356588049005</v>
      </c>
      <c r="J9" s="284">
        <v>8.0754548915353475</v>
      </c>
      <c r="K9" s="284">
        <v>6.1959925594355161</v>
      </c>
      <c r="L9" s="284">
        <v>6.7932535616058303</v>
      </c>
      <c r="M9" s="284">
        <v>5.7670060508675824</v>
      </c>
      <c r="N9" s="284">
        <v>5.8880337932122524</v>
      </c>
      <c r="O9" s="284">
        <v>7.1132084080597151</v>
      </c>
      <c r="P9" s="284">
        <v>6.5373600288097871</v>
      </c>
      <c r="Q9" s="284">
        <v>6.6865712143985894</v>
      </c>
      <c r="R9" s="284">
        <v>5.0160944446169093</v>
      </c>
      <c r="S9" s="284">
        <v>5.3484329327599989</v>
      </c>
      <c r="T9" s="284">
        <v>5.5954704389832877</v>
      </c>
      <c r="U9" s="284">
        <v>5.7930992378099821</v>
      </c>
      <c r="V9" s="284">
        <v>6.7205520029870893</v>
      </c>
      <c r="W9" s="284">
        <v>6.3331977627934153</v>
      </c>
      <c r="X9" s="284">
        <v>5.2380301223549299</v>
      </c>
      <c r="Y9" s="284">
        <v>6.7611893496847895</v>
      </c>
      <c r="Z9" s="284">
        <v>7.1448860839636392</v>
      </c>
      <c r="AA9" s="284">
        <v>7.545627367910976</v>
      </c>
      <c r="AB9" s="284">
        <v>6.9641016411483267</v>
      </c>
      <c r="AC9" s="284">
        <v>7.3076283203949952</v>
      </c>
      <c r="AD9" s="285">
        <v>7.8481931426451901</v>
      </c>
      <c r="AE9" s="284">
        <v>8.0254561539310512</v>
      </c>
      <c r="AF9" s="284">
        <v>7.2205112279485109</v>
      </c>
      <c r="AG9" s="284">
        <v>7.3492946038554301</v>
      </c>
      <c r="AH9" s="284">
        <v>8.0910568216766663</v>
      </c>
    </row>
    <row r="10" spans="1:35" x14ac:dyDescent="0.25">
      <c r="A10" s="283" t="s">
        <v>2203</v>
      </c>
      <c r="B10" s="286">
        <v>5.6637423469999996E-2</v>
      </c>
      <c r="C10" s="286">
        <v>6.1309964570000007E-2</v>
      </c>
      <c r="D10" s="286">
        <v>5.9076519639999991E-2</v>
      </c>
      <c r="E10" s="286">
        <v>5.8319693030000001E-2</v>
      </c>
      <c r="F10" s="286">
        <v>5.9352809769999994E-2</v>
      </c>
      <c r="G10" s="286">
        <v>6.04764063E-2</v>
      </c>
      <c r="H10" s="286">
        <v>5.9672558659999986E-2</v>
      </c>
      <c r="I10" s="286">
        <v>5.7526248299999992E-2</v>
      </c>
      <c r="J10" s="286">
        <v>4.9716922049999994E-2</v>
      </c>
      <c r="K10" s="286">
        <v>4.3382592259999998E-2</v>
      </c>
      <c r="L10" s="286">
        <v>4.9770413471985499E-2</v>
      </c>
      <c r="M10" s="286">
        <v>4.1082088711713378E-2</v>
      </c>
      <c r="N10" s="286">
        <v>4.2370224195145578E-2</v>
      </c>
      <c r="O10" s="286">
        <v>5.0262680066072561E-2</v>
      </c>
      <c r="P10" s="286">
        <v>4.9255278969902769E-2</v>
      </c>
      <c r="Q10" s="286">
        <v>3.6141818645186112E-2</v>
      </c>
      <c r="R10" s="286">
        <v>2.7004603003695324E-2</v>
      </c>
      <c r="S10" s="286">
        <v>2.7604247556269484E-2</v>
      </c>
      <c r="T10" s="286">
        <v>2.7519283905409309E-2</v>
      </c>
      <c r="U10" s="286">
        <v>3.5598293579029459E-2</v>
      </c>
      <c r="V10" s="286">
        <v>4.0548985470720569E-2</v>
      </c>
      <c r="W10" s="286">
        <v>3.6602499523095702E-2</v>
      </c>
      <c r="X10" s="286">
        <v>3.0061174346538162E-2</v>
      </c>
      <c r="Y10" s="286">
        <v>3.6151283551922923E-2</v>
      </c>
      <c r="Z10" s="286">
        <v>3.8072039908629181E-2</v>
      </c>
      <c r="AA10" s="284">
        <v>4.1306839022548052E-2</v>
      </c>
      <c r="AB10" s="284">
        <v>3.7533339478638759E-2</v>
      </c>
      <c r="AC10" s="284">
        <v>3.9095321052836064E-2</v>
      </c>
      <c r="AD10" s="285">
        <v>3.8487936393707241E-2</v>
      </c>
      <c r="AE10" s="284">
        <v>4.0893204207801251E-2</v>
      </c>
      <c r="AF10" s="284">
        <v>3.7341224687775752E-2</v>
      </c>
      <c r="AG10" s="284">
        <v>4.0312981548824872E-2</v>
      </c>
      <c r="AH10" s="284">
        <v>4.1759562097804501E-2</v>
      </c>
    </row>
    <row r="11" spans="1:35" ht="15.75" x14ac:dyDescent="0.3">
      <c r="A11" s="287" t="s">
        <v>2210</v>
      </c>
      <c r="B11" s="288">
        <v>0</v>
      </c>
      <c r="C11" s="288">
        <v>0</v>
      </c>
      <c r="D11" s="288">
        <v>0</v>
      </c>
      <c r="E11" s="288">
        <v>0</v>
      </c>
      <c r="F11" s="288">
        <v>0</v>
      </c>
      <c r="G11" s="288">
        <v>0</v>
      </c>
      <c r="H11" s="288">
        <v>0</v>
      </c>
      <c r="I11" s="288">
        <v>0</v>
      </c>
      <c r="J11" s="288">
        <v>0</v>
      </c>
      <c r="K11" s="288">
        <v>0</v>
      </c>
      <c r="L11" s="288">
        <v>0</v>
      </c>
      <c r="M11" s="288">
        <v>0</v>
      </c>
      <c r="N11" s="288">
        <v>0</v>
      </c>
      <c r="O11" s="288">
        <v>0</v>
      </c>
      <c r="P11" s="288">
        <v>0</v>
      </c>
      <c r="Q11" s="288">
        <v>0</v>
      </c>
      <c r="R11" s="288">
        <v>0</v>
      </c>
      <c r="S11" s="288">
        <v>0</v>
      </c>
      <c r="T11" s="288">
        <v>0</v>
      </c>
      <c r="U11" s="288">
        <v>0</v>
      </c>
      <c r="V11" s="288">
        <v>0</v>
      </c>
      <c r="W11" s="288">
        <v>0</v>
      </c>
      <c r="X11" s="288">
        <v>0</v>
      </c>
      <c r="Y11" s="288">
        <v>0</v>
      </c>
      <c r="Z11" s="288">
        <v>0</v>
      </c>
      <c r="AA11" s="288">
        <v>0</v>
      </c>
      <c r="AB11" s="288">
        <v>0</v>
      </c>
      <c r="AC11" s="288">
        <v>0</v>
      </c>
      <c r="AD11" s="289">
        <v>4.4567682329355309E-3</v>
      </c>
      <c r="AE11" s="288">
        <v>8.7899315773823424E-3</v>
      </c>
      <c r="AF11" s="288">
        <v>1.5362869634772607E-2</v>
      </c>
      <c r="AG11" s="288">
        <v>2.6831734169418742E-2</v>
      </c>
      <c r="AH11" s="288">
        <v>2.1138240382498417E-2</v>
      </c>
    </row>
    <row r="12" spans="1:35" ht="15.75" x14ac:dyDescent="0.3">
      <c r="A12" s="290" t="s">
        <v>2211</v>
      </c>
      <c r="B12" s="291">
        <v>5.6055444375748946</v>
      </c>
      <c r="C12" s="291">
        <v>4.7328409933051026</v>
      </c>
      <c r="D12" s="291">
        <v>6.4646976690637183</v>
      </c>
      <c r="E12" s="291">
        <v>6.6237986733791532</v>
      </c>
      <c r="F12" s="291">
        <v>5.7387061744089225</v>
      </c>
      <c r="G12" s="291">
        <v>5.0548236972883327</v>
      </c>
      <c r="H12" s="291">
        <v>5.0352045973600434</v>
      </c>
      <c r="I12" s="291">
        <v>5.1365507036797382</v>
      </c>
      <c r="J12" s="291">
        <v>4.8190196972819219</v>
      </c>
      <c r="K12" s="291">
        <v>5.5236045450469069</v>
      </c>
      <c r="L12" s="291">
        <v>5.383699074112787</v>
      </c>
      <c r="M12" s="291">
        <v>6.5334397169982976</v>
      </c>
      <c r="N12" s="291">
        <v>6.435345446843038</v>
      </c>
      <c r="O12" s="291">
        <v>4.3803333150168502</v>
      </c>
      <c r="P12" s="291">
        <v>4.273330769414045</v>
      </c>
      <c r="Q12" s="291">
        <v>4.5285892741443128</v>
      </c>
      <c r="R12" s="291">
        <v>4.4025879463596489</v>
      </c>
      <c r="S12" s="291">
        <v>4.3185592976348302</v>
      </c>
      <c r="T12" s="291">
        <v>3.9880198797073669</v>
      </c>
      <c r="U12" s="291">
        <v>3.2829648383483834</v>
      </c>
      <c r="V12" s="291">
        <v>3.7103454298638465</v>
      </c>
      <c r="W12" s="291">
        <v>3.8684672038229566</v>
      </c>
      <c r="X12" s="291">
        <v>3.319348364609743</v>
      </c>
      <c r="Y12" s="291">
        <v>3.5087182553165523</v>
      </c>
      <c r="Z12" s="291">
        <v>3.4326962506983167</v>
      </c>
      <c r="AA12" s="291">
        <v>3.4457475416232417</v>
      </c>
      <c r="AB12" s="291">
        <v>3.2329737262187876</v>
      </c>
      <c r="AC12" s="291">
        <v>3.3143303499774706</v>
      </c>
      <c r="AD12" s="292">
        <v>3.3434035542597087</v>
      </c>
      <c r="AE12" s="291">
        <v>3.4285298090215748</v>
      </c>
      <c r="AF12" s="291">
        <v>3.1773973892722349</v>
      </c>
      <c r="AG12" s="291">
        <v>3.3339873013435537</v>
      </c>
      <c r="AH12" s="293">
        <v>3.443434174311121</v>
      </c>
    </row>
    <row r="13" spans="1:35" x14ac:dyDescent="0.25">
      <c r="A13" s="283" t="s">
        <v>2212</v>
      </c>
      <c r="B13" s="284">
        <v>5.4029918486572228</v>
      </c>
      <c r="C13" s="284">
        <v>4.5228229539407057</v>
      </c>
      <c r="D13" s="284">
        <v>6.1983455467103985</v>
      </c>
      <c r="E13" s="284">
        <v>6.3617694551449189</v>
      </c>
      <c r="F13" s="284">
        <v>5.4902460675242688</v>
      </c>
      <c r="G13" s="284">
        <v>4.8083305710321991</v>
      </c>
      <c r="H13" s="284">
        <v>4.7613870758922374</v>
      </c>
      <c r="I13" s="284">
        <v>4.8463383639798963</v>
      </c>
      <c r="J13" s="284">
        <v>4.6464592213513232</v>
      </c>
      <c r="K13" s="284">
        <v>5.3356945217852427</v>
      </c>
      <c r="L13" s="284">
        <v>5.2142643450296333</v>
      </c>
      <c r="M13" s="284">
        <v>6.3077104169447518</v>
      </c>
      <c r="N13" s="284">
        <v>6.1681683456848448</v>
      </c>
      <c r="O13" s="284">
        <v>4.1408561850813221</v>
      </c>
      <c r="P13" s="284">
        <v>4.0150771427307745</v>
      </c>
      <c r="Q13" s="284">
        <v>4.2678692488388226</v>
      </c>
      <c r="R13" s="284">
        <v>4.0644835806137136</v>
      </c>
      <c r="S13" s="284">
        <v>3.9613641488613593</v>
      </c>
      <c r="T13" s="284">
        <v>3.6787495408304318</v>
      </c>
      <c r="U13" s="284">
        <v>2.9634075377400251</v>
      </c>
      <c r="V13" s="284">
        <v>3.4573603275871352</v>
      </c>
      <c r="W13" s="284">
        <v>3.6499889938515082</v>
      </c>
      <c r="X13" s="284">
        <v>3.161272181995046</v>
      </c>
      <c r="Y13" s="284">
        <v>3.3348772974235161</v>
      </c>
      <c r="Z13" s="284">
        <v>3.2325052712513571</v>
      </c>
      <c r="AA13" s="284">
        <v>3.2415437997505472</v>
      </c>
      <c r="AB13" s="284">
        <v>3.1253277558171089</v>
      </c>
      <c r="AC13" s="284">
        <v>3.2402989292975919</v>
      </c>
      <c r="AD13" s="285">
        <v>3.2104718469933418</v>
      </c>
      <c r="AE13" s="284">
        <v>3.2576214499376914</v>
      </c>
      <c r="AF13" s="284">
        <v>3.0524355227076456</v>
      </c>
      <c r="AG13" s="284">
        <v>3.2261720807727956</v>
      </c>
      <c r="AH13" s="294">
        <v>3.3479002685233925</v>
      </c>
    </row>
    <row r="14" spans="1:35" x14ac:dyDescent="0.25">
      <c r="A14" s="283" t="s">
        <v>2204</v>
      </c>
      <c r="B14" s="286">
        <v>2.19391063196166E-2</v>
      </c>
      <c r="C14" s="286">
        <v>1.8781763976866355E-2</v>
      </c>
      <c r="D14" s="286">
        <v>2.2028050975299421E-2</v>
      </c>
      <c r="E14" s="286">
        <v>2.2576235395789939E-2</v>
      </c>
      <c r="F14" s="286">
        <v>2.0931408654771038E-2</v>
      </c>
      <c r="G14" s="286">
        <v>2.0643115784405128E-2</v>
      </c>
      <c r="H14" s="286">
        <v>2.0520728261739413E-2</v>
      </c>
      <c r="I14" s="286">
        <v>2.1745724419546825E-2</v>
      </c>
      <c r="J14" s="286">
        <v>1.9165047541601147E-2</v>
      </c>
      <c r="K14" s="286">
        <v>1.9545638441667956E-2</v>
      </c>
      <c r="L14" s="286">
        <v>1.9460913438582691E-2</v>
      </c>
      <c r="M14" s="286">
        <v>1.9232176795174957E-2</v>
      </c>
      <c r="N14" s="286">
        <v>1.5271751859067314E-2</v>
      </c>
      <c r="O14" s="286">
        <v>1.3985172767404663E-2</v>
      </c>
      <c r="P14" s="286">
        <v>1.4127689803131883E-2</v>
      </c>
      <c r="Q14" s="286">
        <v>1.4674071642138202E-2</v>
      </c>
      <c r="R14" s="286">
        <v>1.465079889271763E-2</v>
      </c>
      <c r="S14" s="286">
        <v>1.4282323883146444E-2</v>
      </c>
      <c r="T14" s="286">
        <v>1.3430691929560775E-2</v>
      </c>
      <c r="U14" s="286">
        <v>1.0589194550226607E-2</v>
      </c>
      <c r="V14" s="286">
        <v>1.563475074240385E-2</v>
      </c>
      <c r="W14" s="286">
        <v>1.9356157358088162E-2</v>
      </c>
      <c r="X14" s="286">
        <v>1.8178716107587877E-2</v>
      </c>
      <c r="Y14" s="286">
        <v>1.8261515368813042E-2</v>
      </c>
      <c r="Z14" s="286">
        <v>1.7641932082315848E-2</v>
      </c>
      <c r="AA14" s="284">
        <v>1.7697796998385435E-2</v>
      </c>
      <c r="AB14" s="284">
        <v>1.686675520599782E-2</v>
      </c>
      <c r="AC14" s="284">
        <v>9.7403983400133273E-3</v>
      </c>
      <c r="AD14" s="285">
        <v>9.537154264502308E-3</v>
      </c>
      <c r="AE14" s="284">
        <v>9.5614253896399177E-3</v>
      </c>
      <c r="AF14" s="284">
        <v>9.2829660458685851E-3</v>
      </c>
      <c r="AG14" s="284">
        <v>9.5944453438484879E-3</v>
      </c>
      <c r="AH14" s="294">
        <v>9.7362239781499816E-3</v>
      </c>
    </row>
    <row r="15" spans="1:35" x14ac:dyDescent="0.25">
      <c r="A15" s="283" t="s">
        <v>2213</v>
      </c>
      <c r="B15" s="286">
        <v>0.1126915732517219</v>
      </c>
      <c r="C15" s="286">
        <v>0.10780756578386329</v>
      </c>
      <c r="D15" s="286">
        <v>0.14703483140735457</v>
      </c>
      <c r="E15" s="286">
        <v>0.11598274106344438</v>
      </c>
      <c r="F15" s="286">
        <v>0.12869939932954891</v>
      </c>
      <c r="G15" s="286">
        <v>0.12388748823172865</v>
      </c>
      <c r="H15" s="286">
        <v>0.13720821319740065</v>
      </c>
      <c r="I15" s="286">
        <v>0.13874623520033988</v>
      </c>
      <c r="J15" s="286">
        <v>4.8573304707626545E-2</v>
      </c>
      <c r="K15" s="286">
        <v>2.217294878658331E-2</v>
      </c>
      <c r="L15" s="286">
        <v>1.8292544433371135E-2</v>
      </c>
      <c r="M15" s="286">
        <v>3.1002130600218471E-2</v>
      </c>
      <c r="N15" s="286">
        <v>1.8631997586851055E-2</v>
      </c>
      <c r="O15" s="286">
        <v>1.8667478631540543E-2</v>
      </c>
      <c r="P15" s="286">
        <v>1.8487983644698811E-2</v>
      </c>
      <c r="Q15" s="286">
        <v>1.8804516083025604E-2</v>
      </c>
      <c r="R15" s="286">
        <v>5.9346693132762716E-2</v>
      </c>
      <c r="S15" s="286">
        <v>6.7368989076868044E-2</v>
      </c>
      <c r="T15" s="286">
        <v>6.6419514870621199E-2</v>
      </c>
      <c r="U15" s="286">
        <v>7.3406634998200743E-2</v>
      </c>
      <c r="V15" s="286">
        <v>2.2319670000000003E-2</v>
      </c>
      <c r="W15" s="286">
        <v>2.3564499999999999E-2</v>
      </c>
      <c r="X15" s="286">
        <v>2.6235499999999998E-2</v>
      </c>
      <c r="Y15" s="286">
        <v>2.7109049999999999E-2</v>
      </c>
      <c r="Z15" s="286">
        <v>2.7830348000000001E-2</v>
      </c>
      <c r="AA15" s="284">
        <v>2.6892700000000002E-2</v>
      </c>
      <c r="AB15" s="284">
        <v>3.0995358000000001E-2</v>
      </c>
      <c r="AC15" s="284">
        <v>2.80193E-2</v>
      </c>
      <c r="AD15" s="285">
        <v>4.0953804000000003E-2</v>
      </c>
      <c r="AE15" s="284">
        <v>1.9520982000000003E-2</v>
      </c>
      <c r="AF15" s="284">
        <v>1.7101537999999999E-2</v>
      </c>
      <c r="AG15" s="284">
        <v>2.8212000000000001E-2</v>
      </c>
      <c r="AH15" s="284">
        <v>6.7669460000000002E-3</v>
      </c>
    </row>
    <row r="16" spans="1:35" x14ac:dyDescent="0.25">
      <c r="A16" s="283" t="s">
        <v>2214</v>
      </c>
      <c r="B16" s="286">
        <v>6.7921909346333326E-2</v>
      </c>
      <c r="C16" s="286">
        <v>8.3428709603666662E-2</v>
      </c>
      <c r="D16" s="286">
        <v>9.7289239970666658E-2</v>
      </c>
      <c r="E16" s="286">
        <v>0.12347024177499999</v>
      </c>
      <c r="F16" s="286">
        <v>9.8829298900333332E-2</v>
      </c>
      <c r="G16" s="286">
        <v>0.10196252223999999</v>
      </c>
      <c r="H16" s="286">
        <v>0.11608858000866666</v>
      </c>
      <c r="I16" s="286">
        <v>0.12972038007995582</v>
      </c>
      <c r="J16" s="286">
        <v>0.10482212368137114</v>
      </c>
      <c r="K16" s="286">
        <v>0.14619143603341275</v>
      </c>
      <c r="L16" s="286">
        <v>0.1316812712111993</v>
      </c>
      <c r="M16" s="286">
        <v>0.17549499265815219</v>
      </c>
      <c r="N16" s="286">
        <v>0.23327335171227376</v>
      </c>
      <c r="O16" s="286">
        <v>0.20682447853658284</v>
      </c>
      <c r="P16" s="286">
        <v>0.22563795323543934</v>
      </c>
      <c r="Q16" s="286">
        <v>0.22724143758032703</v>
      </c>
      <c r="R16" s="286">
        <v>0.26410687372045483</v>
      </c>
      <c r="S16" s="286">
        <v>0.27554383581345654</v>
      </c>
      <c r="T16" s="286">
        <v>0.22942013207675335</v>
      </c>
      <c r="U16" s="286">
        <v>0.23556147105993108</v>
      </c>
      <c r="V16" s="286">
        <v>0.21503068153430754</v>
      </c>
      <c r="W16" s="286">
        <v>0.1755575526133602</v>
      </c>
      <c r="X16" s="286">
        <v>0.11366196650710964</v>
      </c>
      <c r="Y16" s="286">
        <v>0.1284703925242234</v>
      </c>
      <c r="Z16" s="286">
        <v>0.1547186993646435</v>
      </c>
      <c r="AA16" s="286">
        <v>0.15961324487430897</v>
      </c>
      <c r="AB16" s="284">
        <v>5.9783857195680662E-2</v>
      </c>
      <c r="AC16" s="284">
        <v>3.6271722339865607E-2</v>
      </c>
      <c r="AD16" s="284">
        <v>8.2440749001864738E-2</v>
      </c>
      <c r="AE16" s="284">
        <v>0.14182595169424347</v>
      </c>
      <c r="AF16" s="284">
        <v>9.8577362518720957E-2</v>
      </c>
      <c r="AG16" s="284">
        <v>7.0008775226909792E-2</v>
      </c>
      <c r="AH16" s="284">
        <v>7.9030735809578728E-2</v>
      </c>
    </row>
    <row r="17" spans="1:35" s="298" customFormat="1" ht="13.5" x14ac:dyDescent="0.25">
      <c r="A17" s="295" t="s">
        <v>2200</v>
      </c>
      <c r="B17" s="296">
        <v>29.369032172200857</v>
      </c>
      <c r="C17" s="296">
        <v>28.484120299972609</v>
      </c>
      <c r="D17" s="296">
        <v>32.092126470351417</v>
      </c>
      <c r="E17" s="296">
        <v>31.437036521231601</v>
      </c>
      <c r="F17" s="296">
        <v>31.240221083692848</v>
      </c>
      <c r="G17" s="296">
        <v>29.055006014243872</v>
      </c>
      <c r="H17" s="296">
        <v>28.939078171359775</v>
      </c>
      <c r="I17" s="296">
        <v>29.211025882124979</v>
      </c>
      <c r="J17" s="296">
        <v>26.298952028503727</v>
      </c>
      <c r="K17" s="296">
        <v>25.947505253545565</v>
      </c>
      <c r="L17" s="296">
        <v>28.099908572354696</v>
      </c>
      <c r="M17" s="296">
        <v>28.540538994006372</v>
      </c>
      <c r="N17" s="296">
        <v>28.485554573593809</v>
      </c>
      <c r="O17" s="296">
        <v>28.145016129708985</v>
      </c>
      <c r="P17" s="296">
        <v>26.057100556393397</v>
      </c>
      <c r="Q17" s="296">
        <v>26.27851275730281</v>
      </c>
      <c r="R17" s="296">
        <v>22.376133989054942</v>
      </c>
      <c r="S17" s="296">
        <v>23.308641212354804</v>
      </c>
      <c r="T17" s="296">
        <v>24.102601915589155</v>
      </c>
      <c r="U17" s="296">
        <v>23.107360085174079</v>
      </c>
      <c r="V17" s="296">
        <v>24.209162883001547</v>
      </c>
      <c r="W17" s="296">
        <v>24.008476724062515</v>
      </c>
      <c r="X17" s="296">
        <v>20.509075301309991</v>
      </c>
      <c r="Y17" s="296">
        <v>22.733604682115413</v>
      </c>
      <c r="Z17" s="296">
        <v>24.352199120674609</v>
      </c>
      <c r="AA17" s="296">
        <v>24.669656922183343</v>
      </c>
      <c r="AB17" s="296">
        <v>21.625648028614421</v>
      </c>
      <c r="AC17" s="296">
        <v>23.016071965499631</v>
      </c>
      <c r="AD17" s="296">
        <v>24.635788310641409</v>
      </c>
      <c r="AE17" s="296">
        <v>25.246624195773123</v>
      </c>
      <c r="AF17" s="296">
        <v>22.654145402916306</v>
      </c>
      <c r="AG17" s="296">
        <v>23.337639042465355</v>
      </c>
      <c r="AH17" s="297">
        <v>24.597998011143048</v>
      </c>
    </row>
    <row r="18" spans="1:35" x14ac:dyDescent="0.25">
      <c r="A18" s="299" t="s">
        <v>2215</v>
      </c>
      <c r="B18" s="148">
        <f>B17-SUM(B6:B7,B9:B10,B11,B13:B16)</f>
        <v>0</v>
      </c>
      <c r="C18" s="148">
        <f t="shared" ref="C18:AH18" si="0">C17-SUM(C6:C7,C9:C10,C11,C13:C16)</f>
        <v>0</v>
      </c>
      <c r="D18" s="148">
        <f t="shared" si="0"/>
        <v>0</v>
      </c>
      <c r="E18" s="148">
        <f t="shared" si="0"/>
        <v>0</v>
      </c>
      <c r="F18" s="148">
        <f t="shared" si="0"/>
        <v>0</v>
      </c>
      <c r="G18" s="148">
        <f t="shared" si="0"/>
        <v>0</v>
      </c>
      <c r="H18" s="148">
        <f t="shared" si="0"/>
        <v>0</v>
      </c>
      <c r="I18" s="148">
        <f t="shared" si="0"/>
        <v>0</v>
      </c>
      <c r="J18" s="148">
        <f t="shared" si="0"/>
        <v>0</v>
      </c>
      <c r="K18" s="148">
        <f t="shared" si="0"/>
        <v>0</v>
      </c>
      <c r="L18" s="148">
        <f t="shared" si="0"/>
        <v>0</v>
      </c>
      <c r="M18" s="148">
        <f t="shared" si="0"/>
        <v>0</v>
      </c>
      <c r="N18" s="148">
        <f t="shared" si="0"/>
        <v>0</v>
      </c>
      <c r="O18" s="148">
        <f t="shared" si="0"/>
        <v>0</v>
      </c>
      <c r="P18" s="148">
        <f t="shared" si="0"/>
        <v>0</v>
      </c>
      <c r="Q18" s="148">
        <f t="shared" si="0"/>
        <v>0</v>
      </c>
      <c r="R18" s="148">
        <f t="shared" si="0"/>
        <v>0</v>
      </c>
      <c r="S18" s="148">
        <f t="shared" si="0"/>
        <v>0</v>
      </c>
      <c r="T18" s="148">
        <f t="shared" si="0"/>
        <v>0</v>
      </c>
      <c r="U18" s="148">
        <f t="shared" si="0"/>
        <v>0</v>
      </c>
      <c r="V18" s="148">
        <f t="shared" si="0"/>
        <v>0</v>
      </c>
      <c r="W18" s="148">
        <f t="shared" si="0"/>
        <v>0</v>
      </c>
      <c r="X18" s="148">
        <f t="shared" si="0"/>
        <v>0</v>
      </c>
      <c r="Y18" s="148">
        <f t="shared" si="0"/>
        <v>0</v>
      </c>
      <c r="Z18" s="148">
        <f t="shared" si="0"/>
        <v>0</v>
      </c>
      <c r="AA18" s="148">
        <f t="shared" si="0"/>
        <v>0</v>
      </c>
      <c r="AB18" s="148">
        <f t="shared" si="0"/>
        <v>0</v>
      </c>
      <c r="AC18" s="148">
        <f t="shared" si="0"/>
        <v>0</v>
      </c>
      <c r="AD18" s="148">
        <f t="shared" si="0"/>
        <v>0</v>
      </c>
      <c r="AE18" s="148">
        <f t="shared" si="0"/>
        <v>0</v>
      </c>
      <c r="AF18" s="148">
        <f t="shared" si="0"/>
        <v>0</v>
      </c>
      <c r="AG18" s="148">
        <f t="shared" si="0"/>
        <v>0</v>
      </c>
      <c r="AH18" s="148">
        <f t="shared" si="0"/>
        <v>0</v>
      </c>
    </row>
    <row r="19" spans="1:35" x14ac:dyDescent="0.25">
      <c r="A19" s="337" t="s">
        <v>2218</v>
      </c>
      <c r="B19" s="338">
        <f>'NE RCI Emit'!B4-'MA RCI compare'!B17</f>
        <v>-0.98544148964811384</v>
      </c>
      <c r="C19" s="338">
        <f>'NE RCI Emit'!C4-'MA RCI compare'!C17</f>
        <v>-0.73940122299191557</v>
      </c>
      <c r="D19" s="338">
        <f>'NE RCI Emit'!D4-'MA RCI compare'!D17</f>
        <v>-0.97457108599194697</v>
      </c>
      <c r="E19" s="338">
        <f>'NE RCI Emit'!E4-'MA RCI compare'!E17</f>
        <v>-0.82594886313758309</v>
      </c>
      <c r="F19" s="338">
        <f>'NE RCI Emit'!F4-'MA RCI compare'!F17</f>
        <v>-0.45906498372832161</v>
      </c>
      <c r="G19" s="338">
        <f>'NE RCI Emit'!G4-'MA RCI compare'!G17</f>
        <v>-0.44977594917338592</v>
      </c>
      <c r="H19" s="338">
        <f>'NE RCI Emit'!H4-'MA RCI compare'!H17</f>
        <v>-0.42473362989773022</v>
      </c>
      <c r="I19" s="338">
        <f>'NE RCI Emit'!I4-'MA RCI compare'!I17</f>
        <v>-0.31434650046683288</v>
      </c>
      <c r="J19" s="338">
        <f>'NE RCI Emit'!J4-'MA RCI compare'!J17</f>
        <v>-7.2492070162816447E-2</v>
      </c>
      <c r="K19" s="338">
        <f>'NE RCI Emit'!K4-'MA RCI compare'!K17</f>
        <v>-0.71285693732097144</v>
      </c>
      <c r="L19" s="338">
        <f>'NE RCI Emit'!L4-'MA RCI compare'!L17</f>
        <v>-0.66609913723931768</v>
      </c>
      <c r="M19" s="338">
        <f>'NE RCI Emit'!M4-'MA RCI compare'!M17</f>
        <v>-0.50259236689177555</v>
      </c>
      <c r="N19" s="338">
        <f>'NE RCI Emit'!N4-'MA RCI compare'!N17</f>
        <v>-0.61539954300751631</v>
      </c>
      <c r="O19" s="338">
        <f>'NE RCI Emit'!O4-'MA RCI compare'!O17</f>
        <v>-0.75725858645474275</v>
      </c>
      <c r="P19" s="338">
        <f>'NE RCI Emit'!P4-'MA RCI compare'!P17</f>
        <v>-0.77768231302986379</v>
      </c>
      <c r="Q19" s="338">
        <f>'NE RCI Emit'!Q4-'MA RCI compare'!Q17</f>
        <v>-0.50654131458956186</v>
      </c>
      <c r="R19" s="338">
        <f>'NE RCI Emit'!R4-'MA RCI compare'!R17</f>
        <v>-0.23725848601240074</v>
      </c>
      <c r="S19" s="338">
        <f>'NE RCI Emit'!S4-'MA RCI compare'!S17</f>
        <v>-0.27023043779056621</v>
      </c>
      <c r="T19" s="338">
        <f>'NE RCI Emit'!T4-'MA RCI compare'!T17</f>
        <v>-0.30155732476030295</v>
      </c>
      <c r="U19" s="338">
        <f>'NE RCI Emit'!U4-'MA RCI compare'!U17</f>
        <v>-0.48941029063507813</v>
      </c>
      <c r="V19" s="338">
        <f>'NE RCI Emit'!V4-'MA RCI compare'!V17</f>
        <v>-0.55676073309006924</v>
      </c>
      <c r="W19" s="338">
        <f>'NE RCI Emit'!W4-'MA RCI compare'!W17</f>
        <v>-0.34560308041415411</v>
      </c>
      <c r="X19" s="338">
        <f>'NE RCI Emit'!X4-'MA RCI compare'!X17</f>
        <v>-0.3307588296657471</v>
      </c>
      <c r="Y19" s="338">
        <f>'NE RCI Emit'!Y4-'MA RCI compare'!Y17</f>
        <v>-0.35878258452606104</v>
      </c>
      <c r="Z19" s="338">
        <f>'NE RCI Emit'!Z4-'MA RCI compare'!Z17</f>
        <v>-0.25758300636015008</v>
      </c>
      <c r="AA19" s="338">
        <f>'NE RCI Emit'!AA4-'MA RCI compare'!AA17</f>
        <v>-0.23758863843824329</v>
      </c>
      <c r="AB19" s="338">
        <f>'NE RCI Emit'!AB4-'MA RCI compare'!AB17</f>
        <v>3.0922482315361322E-2</v>
      </c>
      <c r="AC19" s="338">
        <f>'NE RCI Emit'!AC4-'MA RCI compare'!AC17</f>
        <v>8.696797668682521E-2</v>
      </c>
      <c r="AD19" s="338">
        <f>'NE RCI Emit'!AD4-'MA RCI compare'!AD17</f>
        <v>-3.1161971558287149E-2</v>
      </c>
      <c r="AE19" s="338">
        <f>'NE RCI Emit'!AE4-'MA RCI compare'!AE17</f>
        <v>-0.10057640745078089</v>
      </c>
      <c r="AF19" s="338">
        <f>'NE RCI Emit'!AF4-'MA RCI compare'!AF17</f>
        <v>1.5181342423694844E-2</v>
      </c>
      <c r="AG19" s="338">
        <f>'NE RCI Emit'!AG4-'MA RCI compare'!AG17</f>
        <v>-7.9135800153551372E-3</v>
      </c>
      <c r="AH19" s="338">
        <f>'NE RCI Emit'!AH4-'MA RCI compare'!AH17</f>
        <v>-9.5838783956381235E-2</v>
      </c>
    </row>
    <row r="20" spans="1:35" x14ac:dyDescent="0.25">
      <c r="A20" s="299" t="s">
        <v>2226</v>
      </c>
      <c r="B20" cm="1">
        <f t="array" ref="B20:AH20">ABS(B19:AH19)</f>
        <v>0.98544148964811384</v>
      </c>
      <c r="C20">
        <v>0.73940122299191557</v>
      </c>
      <c r="D20">
        <v>0.97457108599194697</v>
      </c>
      <c r="E20">
        <v>0.82594886313758309</v>
      </c>
      <c r="F20">
        <v>0.45906498372832161</v>
      </c>
      <c r="G20">
        <v>0.44977594917338592</v>
      </c>
      <c r="H20">
        <v>0.42473362989773022</v>
      </c>
      <c r="I20">
        <v>0.31434650046683288</v>
      </c>
      <c r="J20">
        <v>7.2492070162816447E-2</v>
      </c>
      <c r="K20">
        <v>0.71285693732097144</v>
      </c>
      <c r="L20">
        <v>0.66609913723931768</v>
      </c>
      <c r="M20">
        <v>0.50259236689177555</v>
      </c>
      <c r="N20">
        <v>0.61539954300751631</v>
      </c>
      <c r="O20">
        <v>0.75725858645474275</v>
      </c>
      <c r="P20">
        <v>0.77768231302986379</v>
      </c>
      <c r="Q20">
        <v>0.50654131458956186</v>
      </c>
      <c r="R20">
        <v>0.23725848601240074</v>
      </c>
      <c r="S20">
        <v>0.27023043779056621</v>
      </c>
      <c r="T20">
        <v>0.30155732476030295</v>
      </c>
      <c r="U20">
        <v>0.48941029063507813</v>
      </c>
      <c r="V20">
        <v>0.55676073309006924</v>
      </c>
      <c r="W20">
        <v>0.34560308041415411</v>
      </c>
      <c r="X20">
        <v>0.3307588296657471</v>
      </c>
      <c r="Y20">
        <v>0.35878258452606104</v>
      </c>
      <c r="Z20">
        <v>0.25758300636015008</v>
      </c>
      <c r="AA20">
        <v>0.23758863843824329</v>
      </c>
      <c r="AB20">
        <v>3.0922482315361322E-2</v>
      </c>
      <c r="AC20">
        <v>8.696797668682521E-2</v>
      </c>
      <c r="AD20">
        <v>3.1161971558287149E-2</v>
      </c>
      <c r="AE20">
        <v>0.10057640745078089</v>
      </c>
      <c r="AF20">
        <v>1.5181342423694844E-2</v>
      </c>
      <c r="AG20">
        <v>7.9135800153551372E-3</v>
      </c>
      <c r="AH20">
        <v>9.5838783956381235E-2</v>
      </c>
    </row>
    <row r="21" spans="1:35" x14ac:dyDescent="0.25">
      <c r="A21" s="347" t="s">
        <v>2227</v>
      </c>
      <c r="B21">
        <f>AVERAGE(_xlfn.ANCHORARRAY(B20))</f>
        <v>0.41025157423732894</v>
      </c>
    </row>
    <row r="22" spans="1:35" ht="15.75" thickBot="1" x14ac:dyDescent="0.3">
      <c r="A22" s="307"/>
      <c r="B22" s="300"/>
      <c r="C22" s="308"/>
      <c r="D22" s="309"/>
      <c r="E22" s="309"/>
      <c r="F22" s="309"/>
      <c r="G22" s="309"/>
      <c r="H22" s="309"/>
      <c r="I22" s="309"/>
      <c r="J22" s="309"/>
      <c r="K22" s="309"/>
      <c r="L22" s="309"/>
      <c r="M22" s="309"/>
      <c r="N22" s="309"/>
      <c r="O22" s="309"/>
      <c r="P22" s="309"/>
      <c r="Q22" s="309"/>
      <c r="R22" s="309"/>
      <c r="S22" s="309"/>
      <c r="T22" s="309"/>
      <c r="U22" s="301"/>
      <c r="V22" s="301"/>
      <c r="W22" s="301"/>
      <c r="X22" s="301"/>
      <c r="Y22" s="309"/>
      <c r="Z22" s="309"/>
      <c r="AA22" s="308"/>
      <c r="AB22" s="308"/>
      <c r="AC22" s="308"/>
      <c r="AD22" s="308"/>
      <c r="AE22" s="308"/>
      <c r="AF22" s="308"/>
      <c r="AG22" s="308"/>
      <c r="AH22" s="308" t="s">
        <v>2216</v>
      </c>
      <c r="AI22" s="308" t="s">
        <v>2216</v>
      </c>
    </row>
    <row r="23" spans="1:35" ht="16.5" thickBot="1" x14ac:dyDescent="0.35">
      <c r="A23" s="310" t="s">
        <v>1884</v>
      </c>
      <c r="B23" s="311">
        <v>1990</v>
      </c>
      <c r="C23" s="312">
        <v>1991</v>
      </c>
      <c r="D23" s="312">
        <v>1992</v>
      </c>
      <c r="E23" s="312">
        <v>1993</v>
      </c>
      <c r="F23" s="312">
        <v>1994</v>
      </c>
      <c r="G23" s="312">
        <v>1995</v>
      </c>
      <c r="H23" s="312">
        <v>1996</v>
      </c>
      <c r="I23" s="312">
        <v>1997</v>
      </c>
      <c r="J23" s="312">
        <v>1998</v>
      </c>
      <c r="K23" s="312">
        <v>1999</v>
      </c>
      <c r="L23" s="312">
        <v>2000</v>
      </c>
      <c r="M23" s="312">
        <v>2001</v>
      </c>
      <c r="N23" s="312">
        <v>2002</v>
      </c>
      <c r="O23" s="312">
        <v>2003</v>
      </c>
      <c r="P23" s="312">
        <v>2004</v>
      </c>
      <c r="Q23" s="312">
        <v>2005</v>
      </c>
      <c r="R23" s="312">
        <v>2006</v>
      </c>
      <c r="S23" s="312">
        <v>2007</v>
      </c>
      <c r="T23" s="312">
        <v>2008</v>
      </c>
      <c r="U23" s="312">
        <v>2009</v>
      </c>
      <c r="V23" s="312">
        <v>2010</v>
      </c>
      <c r="W23" s="312">
        <v>2011</v>
      </c>
      <c r="X23" s="312">
        <v>2012</v>
      </c>
      <c r="Y23" s="312">
        <v>2013</v>
      </c>
      <c r="Z23" s="312">
        <v>2014</v>
      </c>
      <c r="AA23" s="312">
        <v>2015</v>
      </c>
      <c r="AB23" s="312">
        <v>2016</v>
      </c>
      <c r="AC23" s="312">
        <v>2017</v>
      </c>
      <c r="AD23" s="313">
        <v>2018</v>
      </c>
      <c r="AE23" s="312">
        <v>2019</v>
      </c>
      <c r="AF23" s="312">
        <v>2020</v>
      </c>
      <c r="AG23" s="312">
        <v>2021</v>
      </c>
      <c r="AH23" s="312">
        <v>2022</v>
      </c>
      <c r="AI23" s="312">
        <v>2023</v>
      </c>
    </row>
    <row r="24" spans="1:35" x14ac:dyDescent="0.25">
      <c r="A24" s="314" t="s">
        <v>1885</v>
      </c>
      <c r="B24" s="315">
        <v>15.09218729035536</v>
      </c>
      <c r="C24" s="316">
        <v>14.295364882071034</v>
      </c>
      <c r="D24" s="316">
        <v>16.396053585147097</v>
      </c>
      <c r="E24" s="316">
        <v>16.518072434056432</v>
      </c>
      <c r="F24" s="316">
        <v>16.3428113958593</v>
      </c>
      <c r="G24" s="316">
        <v>14.751248409471906</v>
      </c>
      <c r="H24" s="316">
        <v>14.548991126703285</v>
      </c>
      <c r="I24" s="316">
        <v>14.378872297176233</v>
      </c>
      <c r="J24" s="316">
        <v>13.187544748996457</v>
      </c>
      <c r="K24" s="316">
        <v>14.010791823643141</v>
      </c>
      <c r="L24" s="316">
        <v>15.683527402244092</v>
      </c>
      <c r="M24" s="316">
        <v>16.029000961089942</v>
      </c>
      <c r="N24" s="316">
        <v>15.947597736625315</v>
      </c>
      <c r="O24" s="316">
        <v>16.424354633887898</v>
      </c>
      <c r="P24" s="316">
        <v>15.02439042499277</v>
      </c>
      <c r="Q24" s="316">
        <v>14.929934686615209</v>
      </c>
      <c r="R24" s="316">
        <v>12.846312302684595</v>
      </c>
      <c r="S24" s="316">
        <v>13.524855771139288</v>
      </c>
      <c r="T24" s="316">
        <v>14.39714565392285</v>
      </c>
      <c r="U24" s="316">
        <v>13.852964375083578</v>
      </c>
      <c r="V24" s="316">
        <v>13.589313015564603</v>
      </c>
      <c r="W24" s="316">
        <v>13.624708631879612</v>
      </c>
      <c r="X24" s="316">
        <v>11.798985827009325</v>
      </c>
      <c r="Y24" s="316">
        <v>12.279880650460056</v>
      </c>
      <c r="Z24" s="316">
        <v>13.581589984107024</v>
      </c>
      <c r="AA24" s="316">
        <v>13.492417678538322</v>
      </c>
      <c r="AB24" s="316">
        <v>11.274433436984273</v>
      </c>
      <c r="AC24" s="316">
        <v>12.235011797173529</v>
      </c>
      <c r="AD24" s="316">
        <v>13.276887897527338</v>
      </c>
      <c r="AE24" s="316">
        <v>13.60200809288772</v>
      </c>
      <c r="AF24" s="316">
        <v>12.102936422079161</v>
      </c>
      <c r="AG24" s="316">
        <v>12.480073656420144</v>
      </c>
      <c r="AH24" s="316">
        <v>12.883270641350757</v>
      </c>
      <c r="AI24" s="317"/>
    </row>
    <row r="25" spans="1:35" x14ac:dyDescent="0.25">
      <c r="A25" s="318" t="s">
        <v>1886</v>
      </c>
      <c r="B25" s="319">
        <v>3.03486653913911E-2</v>
      </c>
      <c r="C25" s="320">
        <v>1.1558770081251947E-2</v>
      </c>
      <c r="D25" s="320">
        <v>2.5059396449863026E-2</v>
      </c>
      <c r="E25" s="320">
        <v>1.8514947762586775E-2</v>
      </c>
      <c r="F25" s="320">
        <v>7.9416925179722382E-3</v>
      </c>
      <c r="G25" s="320">
        <v>8.3353150486474466E-3</v>
      </c>
      <c r="H25" s="320">
        <v>9.3535092005508254E-3</v>
      </c>
      <c r="I25" s="320">
        <v>7.5009665665182745E-3</v>
      </c>
      <c r="J25" s="320">
        <v>7.4530151221721694E-3</v>
      </c>
      <c r="K25" s="320">
        <v>1.1620227577947674E-2</v>
      </c>
      <c r="L25" s="320">
        <v>4.5765940200198259E-3</v>
      </c>
      <c r="M25" s="320">
        <v>4.2892444550980255E-3</v>
      </c>
      <c r="N25" s="320">
        <v>2.4756980392554646E-2</v>
      </c>
      <c r="O25" s="320">
        <v>1.5844497901523053E-2</v>
      </c>
      <c r="P25" s="320">
        <v>8.1640089319647106E-3</v>
      </c>
      <c r="Q25" s="320">
        <v>8.2114346337846898E-3</v>
      </c>
      <c r="R25" s="320">
        <v>3.4671576570533048E-3</v>
      </c>
      <c r="S25" s="320">
        <v>5.51199431803737E-3</v>
      </c>
      <c r="T25" s="320">
        <v>0</v>
      </c>
      <c r="U25" s="320">
        <v>0</v>
      </c>
      <c r="V25" s="320">
        <v>0</v>
      </c>
      <c r="W25" s="320">
        <v>0</v>
      </c>
      <c r="X25" s="320">
        <v>0</v>
      </c>
      <c r="Y25" s="320">
        <v>0</v>
      </c>
      <c r="Z25" s="320">
        <v>0</v>
      </c>
      <c r="AA25" s="320">
        <v>0</v>
      </c>
      <c r="AB25" s="320">
        <v>0</v>
      </c>
      <c r="AC25" s="320">
        <v>0</v>
      </c>
      <c r="AD25" s="320">
        <v>0</v>
      </c>
      <c r="AE25" s="320">
        <v>0</v>
      </c>
      <c r="AF25" s="320">
        <v>0</v>
      </c>
      <c r="AG25" s="320">
        <v>0</v>
      </c>
      <c r="AH25" s="320">
        <v>0</v>
      </c>
      <c r="AI25" s="321"/>
    </row>
    <row r="26" spans="1:35" x14ac:dyDescent="0.25">
      <c r="A26" s="318" t="s">
        <v>1755</v>
      </c>
      <c r="B26" s="319">
        <v>9.2133819337067262</v>
      </c>
      <c r="C26" s="320">
        <v>8.6110750892354933</v>
      </c>
      <c r="D26" s="320">
        <v>9.7797402402144034</v>
      </c>
      <c r="E26" s="320">
        <v>9.8092758593574167</v>
      </c>
      <c r="F26" s="320">
        <v>9.8374448107216708</v>
      </c>
      <c r="G26" s="320">
        <v>8.9857307823908155</v>
      </c>
      <c r="H26" s="320">
        <v>8.315103321014611</v>
      </c>
      <c r="I26" s="320">
        <v>8.2981296402132632</v>
      </c>
      <c r="J26" s="320">
        <v>7.689775364631215</v>
      </c>
      <c r="K26" s="320">
        <v>8.0553129805163</v>
      </c>
      <c r="L26" s="320">
        <v>9.357037558100906</v>
      </c>
      <c r="M26" s="320">
        <v>10.11398988538207</v>
      </c>
      <c r="N26" s="320">
        <v>9.9202799728060178</v>
      </c>
      <c r="O26" s="320">
        <v>9.5462317625474213</v>
      </c>
      <c r="P26" s="320">
        <v>8.863731165530778</v>
      </c>
      <c r="Q26" s="320">
        <v>8.5400482719658264</v>
      </c>
      <c r="R26" s="320">
        <v>7.281016774578573</v>
      </c>
      <c r="S26" s="320">
        <v>7.3143378749236136</v>
      </c>
      <c r="T26" s="320">
        <v>7.2618953567049509</v>
      </c>
      <c r="U26" s="320">
        <v>6.5862608060937013</v>
      </c>
      <c r="V26" s="320">
        <v>6.698250448966844</v>
      </c>
      <c r="W26" s="320">
        <v>6.5663731652380308</v>
      </c>
      <c r="X26" s="320">
        <v>5.4716739853798444</v>
      </c>
      <c r="Y26" s="320">
        <v>5.8792794617926853</v>
      </c>
      <c r="Z26" s="320">
        <v>6.6982480946413077</v>
      </c>
      <c r="AA26" s="320">
        <v>6.5938733706189225</v>
      </c>
      <c r="AB26" s="320">
        <v>5.1645179430465324</v>
      </c>
      <c r="AC26" s="320">
        <v>5.6297452588484385</v>
      </c>
      <c r="AD26" s="320">
        <v>6.1698831916783146</v>
      </c>
      <c r="AE26" s="322">
        <v>6.2303980351860373</v>
      </c>
      <c r="AF26" s="322">
        <v>5.5461630152270951</v>
      </c>
      <c r="AG26" s="322">
        <v>5.7858828428376441</v>
      </c>
      <c r="AH26" s="322">
        <v>5.7137013210042209</v>
      </c>
      <c r="AI26" s="323"/>
    </row>
    <row r="27" spans="1:35" x14ac:dyDescent="0.25">
      <c r="A27" s="318" t="s">
        <v>1664</v>
      </c>
      <c r="B27" s="319">
        <v>5.8484566912572449</v>
      </c>
      <c r="C27" s="320">
        <v>5.6727310227542871</v>
      </c>
      <c r="D27" s="320">
        <v>6.5912539484828301</v>
      </c>
      <c r="E27" s="320">
        <v>6.6902816269364269</v>
      </c>
      <c r="F27" s="320">
        <v>6.4974248926196569</v>
      </c>
      <c r="G27" s="320">
        <v>5.7571823120324437</v>
      </c>
      <c r="H27" s="320">
        <v>6.2245342964881214</v>
      </c>
      <c r="I27" s="320">
        <v>6.0732416903964541</v>
      </c>
      <c r="J27" s="320">
        <v>5.490316369243069</v>
      </c>
      <c r="K27" s="320">
        <v>5.9438586155488924</v>
      </c>
      <c r="L27" s="320">
        <v>6.3219132501231661</v>
      </c>
      <c r="M27" s="320">
        <v>5.9107218312527738</v>
      </c>
      <c r="N27" s="320">
        <v>6.0025607834267412</v>
      </c>
      <c r="O27" s="320">
        <v>6.8622783734389534</v>
      </c>
      <c r="P27" s="320">
        <v>6.152495250530027</v>
      </c>
      <c r="Q27" s="320">
        <v>6.3816749800155987</v>
      </c>
      <c r="R27" s="320">
        <v>5.5618283704489695</v>
      </c>
      <c r="S27" s="320">
        <v>6.2050059018976373</v>
      </c>
      <c r="T27" s="320">
        <v>7.1352502972178993</v>
      </c>
      <c r="U27" s="320">
        <v>7.2667035689898762</v>
      </c>
      <c r="V27" s="320">
        <v>6.8910625665977587</v>
      </c>
      <c r="W27" s="320">
        <v>7.058335466641581</v>
      </c>
      <c r="X27" s="320">
        <v>6.3273118416294825</v>
      </c>
      <c r="Y27" s="320">
        <v>6.4006011886673706</v>
      </c>
      <c r="Z27" s="320">
        <v>6.8833418894657168</v>
      </c>
      <c r="AA27" s="320">
        <v>6.8985443079193987</v>
      </c>
      <c r="AB27" s="320">
        <v>6.1099154939377405</v>
      </c>
      <c r="AC27" s="320">
        <v>6.6052665383250915</v>
      </c>
      <c r="AD27" s="320">
        <v>7.1070047058490236</v>
      </c>
      <c r="AE27" s="320">
        <v>7.371610057701683</v>
      </c>
      <c r="AF27" s="320">
        <v>6.5567734068520656</v>
      </c>
      <c r="AG27" s="320">
        <v>6.694190813582499</v>
      </c>
      <c r="AH27" s="320">
        <v>7.169569320346536</v>
      </c>
      <c r="AI27" s="321"/>
    </row>
    <row r="28" spans="1:35" ht="15.75" thickBot="1" x14ac:dyDescent="0.3">
      <c r="A28" s="324" t="s">
        <v>2082</v>
      </c>
      <c r="B28" s="319">
        <v>0</v>
      </c>
      <c r="C28" s="320">
        <v>0</v>
      </c>
      <c r="D28" s="320">
        <v>0</v>
      </c>
      <c r="E28" s="320">
        <v>0</v>
      </c>
      <c r="F28" s="320">
        <v>0</v>
      </c>
      <c r="G28" s="320">
        <v>0</v>
      </c>
      <c r="H28" s="320">
        <v>0</v>
      </c>
      <c r="I28" s="320">
        <v>0</v>
      </c>
      <c r="J28" s="320">
        <v>0</v>
      </c>
      <c r="K28" s="320">
        <v>0</v>
      </c>
      <c r="L28" s="320">
        <v>0</v>
      </c>
      <c r="M28" s="320">
        <v>0</v>
      </c>
      <c r="N28" s="320">
        <v>0</v>
      </c>
      <c r="O28" s="320">
        <v>0</v>
      </c>
      <c r="P28" s="320">
        <v>0</v>
      </c>
      <c r="Q28" s="320">
        <v>0</v>
      </c>
      <c r="R28" s="320">
        <v>0</v>
      </c>
      <c r="S28" s="320">
        <v>0</v>
      </c>
      <c r="T28" s="320">
        <v>0</v>
      </c>
      <c r="U28" s="320">
        <v>0</v>
      </c>
      <c r="V28" s="320">
        <v>0</v>
      </c>
      <c r="W28" s="320">
        <v>0</v>
      </c>
      <c r="X28" s="320">
        <v>0</v>
      </c>
      <c r="Y28" s="320">
        <v>0</v>
      </c>
      <c r="Z28" s="320">
        <v>0</v>
      </c>
      <c r="AA28" s="320">
        <v>0</v>
      </c>
      <c r="AB28" s="320">
        <v>0</v>
      </c>
      <c r="AC28" s="320">
        <v>0</v>
      </c>
      <c r="AD28" s="320">
        <v>0</v>
      </c>
      <c r="AE28" s="320">
        <v>0</v>
      </c>
      <c r="AF28" s="320">
        <v>0</v>
      </c>
      <c r="AG28" s="320">
        <v>0</v>
      </c>
      <c r="AH28" s="320">
        <v>0</v>
      </c>
      <c r="AI28" s="321"/>
    </row>
    <row r="29" spans="1:35" x14ac:dyDescent="0.25">
      <c r="A29" s="325" t="s">
        <v>2081</v>
      </c>
      <c r="B29" s="326">
        <v>8.393199905810599</v>
      </c>
      <c r="C29" s="327">
        <v>9.1714074410264725</v>
      </c>
      <c r="D29" s="327">
        <v>8.9309955359805997</v>
      </c>
      <c r="E29" s="327">
        <v>7.9899165283760158</v>
      </c>
      <c r="F29" s="327">
        <v>8.8622762327746258</v>
      </c>
      <c r="G29" s="327">
        <v>8.9583234115736357</v>
      </c>
      <c r="H29" s="327">
        <v>9.0613426494264484</v>
      </c>
      <c r="I29" s="327">
        <v>9.452356588049005</v>
      </c>
      <c r="J29" s="327">
        <v>8.0754548915353475</v>
      </c>
      <c r="K29" s="327">
        <v>6.1959925594355161</v>
      </c>
      <c r="L29" s="327">
        <v>6.7932535616058303</v>
      </c>
      <c r="M29" s="327">
        <v>5.7670060508675824</v>
      </c>
      <c r="N29" s="327">
        <v>5.8880337932122524</v>
      </c>
      <c r="O29" s="327">
        <v>7.1132084080597151</v>
      </c>
      <c r="P29" s="327">
        <v>6.5373600288097871</v>
      </c>
      <c r="Q29" s="327">
        <v>6.6865712143985894</v>
      </c>
      <c r="R29" s="327">
        <v>5.0160944446169093</v>
      </c>
      <c r="S29" s="327">
        <v>5.3484329327599989</v>
      </c>
      <c r="T29" s="327">
        <v>5.5954704389832877</v>
      </c>
      <c r="U29" s="327">
        <v>5.7930992378099821</v>
      </c>
      <c r="V29" s="327">
        <v>6.7205520029870893</v>
      </c>
      <c r="W29" s="327">
        <v>6.3331977627934153</v>
      </c>
      <c r="X29" s="327">
        <v>5.2380301223549299</v>
      </c>
      <c r="Y29" s="327">
        <v>6.7611893496847895</v>
      </c>
      <c r="Z29" s="327">
        <v>7.1448860839636392</v>
      </c>
      <c r="AA29" s="327">
        <v>7.545627367910976</v>
      </c>
      <c r="AB29" s="327">
        <v>6.9641016411483267</v>
      </c>
      <c r="AC29" s="327">
        <v>7.3076283203949952</v>
      </c>
      <c r="AD29" s="327">
        <v>7.8481931426451901</v>
      </c>
      <c r="AE29" s="327">
        <v>8.0254561539310512</v>
      </c>
      <c r="AF29" s="327">
        <v>7.2205112279485109</v>
      </c>
      <c r="AG29" s="327">
        <v>7.3492946038554301</v>
      </c>
      <c r="AH29" s="327">
        <v>8.0910568216766663</v>
      </c>
      <c r="AI29" s="328"/>
    </row>
    <row r="30" spans="1:35" x14ac:dyDescent="0.25">
      <c r="A30" s="318" t="s">
        <v>1886</v>
      </c>
      <c r="B30" s="319">
        <v>0.1213946615655644</v>
      </c>
      <c r="C30" s="320">
        <v>5.2785050037717225E-2</v>
      </c>
      <c r="D30" s="320">
        <v>0.11436373206076487</v>
      </c>
      <c r="E30" s="329">
        <v>8.4516419579476434E-2</v>
      </c>
      <c r="F30" s="320">
        <v>4.4779663836277198E-2</v>
      </c>
      <c r="G30" s="320">
        <v>5.5856191647832877E-2</v>
      </c>
      <c r="H30" s="320">
        <v>6.8719659432618291E-2</v>
      </c>
      <c r="I30" s="320">
        <v>6.0577426195426075E-2</v>
      </c>
      <c r="J30" s="320">
        <v>6.0484084260704916E-2</v>
      </c>
      <c r="K30" s="320">
        <v>8.5437247028025118E-2</v>
      </c>
      <c r="L30" s="320">
        <v>3.6803443577659432E-2</v>
      </c>
      <c r="M30" s="320">
        <v>3.4504588727677442E-2</v>
      </c>
      <c r="N30" s="320">
        <v>0.18167814841920868</v>
      </c>
      <c r="O30" s="320">
        <v>0.10585269983607871</v>
      </c>
      <c r="P30" s="320">
        <v>7.3191289378427796E-2</v>
      </c>
      <c r="Q30" s="320">
        <v>9.4336016490456656E-2</v>
      </c>
      <c r="R30" s="320">
        <v>3.5153126245123782E-2</v>
      </c>
      <c r="S30" s="320">
        <v>4.9702983247130073E-2</v>
      </c>
      <c r="T30" s="320">
        <v>0</v>
      </c>
      <c r="U30" s="320">
        <v>0</v>
      </c>
      <c r="V30" s="320">
        <v>0</v>
      </c>
      <c r="W30" s="320">
        <v>0</v>
      </c>
      <c r="X30" s="320">
        <v>0</v>
      </c>
      <c r="Y30" s="320">
        <v>0</v>
      </c>
      <c r="Z30" s="320">
        <v>0</v>
      </c>
      <c r="AA30" s="320">
        <v>0</v>
      </c>
      <c r="AB30" s="320">
        <v>0</v>
      </c>
      <c r="AC30" s="320">
        <v>0</v>
      </c>
      <c r="AD30" s="320">
        <v>0</v>
      </c>
      <c r="AE30" s="320">
        <v>0</v>
      </c>
      <c r="AF30" s="320">
        <v>0</v>
      </c>
      <c r="AG30" s="320">
        <v>0</v>
      </c>
      <c r="AH30" s="320">
        <v>0</v>
      </c>
      <c r="AI30" s="321"/>
    </row>
    <row r="31" spans="1:35" x14ac:dyDescent="0.25">
      <c r="A31" s="318" t="s">
        <v>1755</v>
      </c>
      <c r="B31" s="319">
        <v>5.5001724703188071</v>
      </c>
      <c r="C31" s="320">
        <v>6.1879984396249865</v>
      </c>
      <c r="D31" s="320">
        <v>5.2722282666774518</v>
      </c>
      <c r="E31" s="329">
        <v>4.2945244297210179</v>
      </c>
      <c r="F31" s="320">
        <v>4.2266842999635532</v>
      </c>
      <c r="G31" s="320">
        <v>4.4254898387524841</v>
      </c>
      <c r="H31" s="320">
        <v>3.7574319977166502</v>
      </c>
      <c r="I31" s="320">
        <v>3.6697676064265958</v>
      </c>
      <c r="J31" s="320">
        <v>3.168548051232515</v>
      </c>
      <c r="K31" s="320">
        <v>2.4480229605245616</v>
      </c>
      <c r="L31" s="320">
        <v>3.2211536244051677</v>
      </c>
      <c r="M31" s="320">
        <v>2.3138227561634204</v>
      </c>
      <c r="N31" s="320">
        <v>2.1490073968418533</v>
      </c>
      <c r="O31" s="320">
        <v>3.5953049175359779</v>
      </c>
      <c r="P31" s="320">
        <v>3.3611849733983923</v>
      </c>
      <c r="Q31" s="320">
        <v>3.5436062583373853</v>
      </c>
      <c r="R31" s="320">
        <v>2.1817340869501405</v>
      </c>
      <c r="S31" s="320">
        <v>1.9859143332480593</v>
      </c>
      <c r="T31" s="320">
        <v>1.7111962503367328</v>
      </c>
      <c r="U31" s="320">
        <v>1.8805976236195598</v>
      </c>
      <c r="V31" s="320">
        <v>2.7674224987085783</v>
      </c>
      <c r="W31" s="320">
        <v>1.9049327883520382</v>
      </c>
      <c r="X31" s="320">
        <v>1.2301488243819914</v>
      </c>
      <c r="Y31" s="320">
        <v>1.2963482585676289</v>
      </c>
      <c r="Z31" s="320">
        <v>1.4060573164101322</v>
      </c>
      <c r="AA31" s="320">
        <v>1.8175385997979567</v>
      </c>
      <c r="AB31" s="320">
        <v>1.2483947263949233</v>
      </c>
      <c r="AC31" s="320">
        <v>1.3407018705199198</v>
      </c>
      <c r="AD31" s="320">
        <v>1.3740698302743068</v>
      </c>
      <c r="AE31" s="320">
        <v>1.4048561007690061</v>
      </c>
      <c r="AF31" s="322">
        <v>1.2675134722255061</v>
      </c>
      <c r="AG31" s="322">
        <v>1.7490464101547694</v>
      </c>
      <c r="AH31" s="322">
        <v>1.762191399495761</v>
      </c>
      <c r="AI31" s="330"/>
    </row>
    <row r="32" spans="1:35" x14ac:dyDescent="0.25">
      <c r="A32" s="318" t="s">
        <v>1664</v>
      </c>
      <c r="B32" s="319">
        <v>2.7716327739262279</v>
      </c>
      <c r="C32" s="320">
        <v>2.9306239513637697</v>
      </c>
      <c r="D32" s="320">
        <v>3.544403537242383</v>
      </c>
      <c r="E32" s="320">
        <v>3.6108756790755212</v>
      </c>
      <c r="F32" s="320">
        <v>4.5908122689747959</v>
      </c>
      <c r="G32" s="320">
        <v>4.4769773811733193</v>
      </c>
      <c r="H32" s="320">
        <v>5.2351909922771789</v>
      </c>
      <c r="I32" s="320">
        <v>5.7220115554269819</v>
      </c>
      <c r="J32" s="320">
        <v>4.8464227560421289</v>
      </c>
      <c r="K32" s="320">
        <v>3.6625323518829296</v>
      </c>
      <c r="L32" s="320">
        <v>3.5352964936230031</v>
      </c>
      <c r="M32" s="320">
        <v>3.4186787059764838</v>
      </c>
      <c r="N32" s="320">
        <v>3.5573482479511904</v>
      </c>
      <c r="O32" s="320">
        <v>3.4120507906876578</v>
      </c>
      <c r="P32" s="320">
        <v>3.1029837660329664</v>
      </c>
      <c r="Q32" s="320">
        <v>3.0486289395707473</v>
      </c>
      <c r="R32" s="320">
        <v>2.799207231421645</v>
      </c>
      <c r="S32" s="320">
        <v>3.3128156162648099</v>
      </c>
      <c r="T32" s="320">
        <v>3.8842741886465557</v>
      </c>
      <c r="U32" s="320">
        <v>3.9125016141904223</v>
      </c>
      <c r="V32" s="320">
        <v>3.9531295042785106</v>
      </c>
      <c r="W32" s="320">
        <v>4.4282649744413778</v>
      </c>
      <c r="X32" s="320">
        <v>4.0078812979729381</v>
      </c>
      <c r="Y32" s="320">
        <v>5.4648410911171599</v>
      </c>
      <c r="Z32" s="320">
        <v>5.7388287675535068</v>
      </c>
      <c r="AA32" s="320">
        <v>5.728088768113019</v>
      </c>
      <c r="AB32" s="320">
        <v>5.7157069147534036</v>
      </c>
      <c r="AC32" s="320">
        <v>5.9669264498750749</v>
      </c>
      <c r="AD32" s="322">
        <v>6.4741233123708817</v>
      </c>
      <c r="AE32" s="322">
        <v>6.620600053162045</v>
      </c>
      <c r="AF32" s="322">
        <v>5.952997755723004</v>
      </c>
      <c r="AG32" s="322">
        <v>5.6002481937006605</v>
      </c>
      <c r="AH32" s="322">
        <v>6.3288654221809066</v>
      </c>
      <c r="AI32" s="323"/>
    </row>
    <row r="33" spans="1:35" ht="15.75" thickBot="1" x14ac:dyDescent="0.3">
      <c r="A33" s="324" t="s">
        <v>2082</v>
      </c>
      <c r="B33" s="331">
        <v>0</v>
      </c>
      <c r="C33" s="322">
        <v>0</v>
      </c>
      <c r="D33" s="322">
        <v>0</v>
      </c>
      <c r="E33" s="322">
        <v>0</v>
      </c>
      <c r="F33" s="322">
        <v>0</v>
      </c>
      <c r="G33" s="322">
        <v>0</v>
      </c>
      <c r="H33" s="322">
        <v>0</v>
      </c>
      <c r="I33" s="322">
        <v>0</v>
      </c>
      <c r="J33" s="322">
        <v>0</v>
      </c>
      <c r="K33" s="322">
        <v>0</v>
      </c>
      <c r="L33" s="322">
        <v>0</v>
      </c>
      <c r="M33" s="322">
        <v>0</v>
      </c>
      <c r="N33" s="322">
        <v>0</v>
      </c>
      <c r="O33" s="322">
        <v>0</v>
      </c>
      <c r="P33" s="322">
        <v>0</v>
      </c>
      <c r="Q33" s="322">
        <v>0</v>
      </c>
      <c r="R33" s="322">
        <v>0</v>
      </c>
      <c r="S33" s="322">
        <v>0</v>
      </c>
      <c r="T33" s="322">
        <v>0</v>
      </c>
      <c r="U33" s="322">
        <v>0</v>
      </c>
      <c r="V33" s="322">
        <v>0</v>
      </c>
      <c r="W33" s="322">
        <v>0</v>
      </c>
      <c r="X33" s="322">
        <v>0</v>
      </c>
      <c r="Y33" s="322">
        <v>0</v>
      </c>
      <c r="Z33" s="322">
        <v>0</v>
      </c>
      <c r="AA33" s="322">
        <v>0</v>
      </c>
      <c r="AB33" s="322">
        <v>0</v>
      </c>
      <c r="AC33" s="322">
        <v>0</v>
      </c>
      <c r="AD33" s="322">
        <v>0</v>
      </c>
      <c r="AE33" s="322">
        <v>0</v>
      </c>
      <c r="AF33" s="322">
        <v>0</v>
      </c>
      <c r="AG33" s="322">
        <v>0</v>
      </c>
      <c r="AH33" s="322">
        <v>0</v>
      </c>
      <c r="AI33" s="323"/>
    </row>
    <row r="34" spans="1:35" x14ac:dyDescent="0.25">
      <c r="A34" s="332" t="s">
        <v>2219</v>
      </c>
      <c r="B34" s="101">
        <v>5.4029918486572228</v>
      </c>
      <c r="C34" s="103">
        <v>4.5228229539407057</v>
      </c>
      <c r="D34" s="103">
        <v>6.1983455467103985</v>
      </c>
      <c r="E34" s="103">
        <v>6.3617694551449189</v>
      </c>
      <c r="F34" s="103">
        <v>5.4902460675242688</v>
      </c>
      <c r="G34" s="103">
        <v>4.8083305710321991</v>
      </c>
      <c r="H34" s="103">
        <v>4.7613870758922374</v>
      </c>
      <c r="I34" s="103">
        <v>4.8463383639798963</v>
      </c>
      <c r="J34" s="103">
        <v>4.6464592213513232</v>
      </c>
      <c r="K34" s="103">
        <v>5.3356945217852427</v>
      </c>
      <c r="L34" s="103">
        <v>5.2142643450296333</v>
      </c>
      <c r="M34" s="103">
        <v>6.3077104169447518</v>
      </c>
      <c r="N34" s="103">
        <v>6.1681683456848448</v>
      </c>
      <c r="O34" s="103">
        <v>4.1408561850813221</v>
      </c>
      <c r="P34" s="103">
        <v>4.0150771427307745</v>
      </c>
      <c r="Q34" s="103">
        <v>4.2678692488388226</v>
      </c>
      <c r="R34" s="103">
        <v>4.0644835806137136</v>
      </c>
      <c r="S34" s="103">
        <v>3.9613641488613593</v>
      </c>
      <c r="T34" s="103">
        <v>3.6787495408304318</v>
      </c>
      <c r="U34" s="103">
        <v>2.9634075377400251</v>
      </c>
      <c r="V34" s="103">
        <v>3.4573603275871352</v>
      </c>
      <c r="W34" s="103">
        <v>3.6499889938515082</v>
      </c>
      <c r="X34" s="103">
        <v>3.161272181995046</v>
      </c>
      <c r="Y34" s="103">
        <v>3.3348772974235161</v>
      </c>
      <c r="Z34" s="103">
        <v>3.2325052712513571</v>
      </c>
      <c r="AA34" s="103">
        <v>3.2415437997505472</v>
      </c>
      <c r="AB34" s="103">
        <v>3.1253277558171089</v>
      </c>
      <c r="AC34" s="103">
        <v>3.2402989292975919</v>
      </c>
      <c r="AD34" s="103">
        <v>3.2104718469933418</v>
      </c>
      <c r="AE34" s="103">
        <v>3.2576214499376914</v>
      </c>
      <c r="AF34" s="103">
        <v>3.0524355227076456</v>
      </c>
      <c r="AG34" s="103">
        <v>3.2261720807727956</v>
      </c>
      <c r="AH34" s="104">
        <v>3.3479002685233925</v>
      </c>
      <c r="AI34" s="104"/>
    </row>
    <row r="35" spans="1:35" x14ac:dyDescent="0.25">
      <c r="A35" s="318" t="s">
        <v>1886</v>
      </c>
      <c r="B35" s="331">
        <v>0.14071996204620343</v>
      </c>
      <c r="C35" s="320">
        <v>0.18261868066240247</v>
      </c>
      <c r="D35" s="320">
        <v>0.34370839280361198</v>
      </c>
      <c r="E35" s="320">
        <v>0.25927217777183115</v>
      </c>
      <c r="F35" s="320">
        <v>0.13691634093585056</v>
      </c>
      <c r="G35" s="320">
        <v>5.6958888629196867E-2</v>
      </c>
      <c r="H35" s="320">
        <v>4.3208759455908893E-2</v>
      </c>
      <c r="I35" s="320">
        <v>6.7411593398209263E-2</v>
      </c>
      <c r="J35" s="320">
        <v>7.1340767719259179E-2</v>
      </c>
      <c r="K35" s="320">
        <v>6.1436102890526853E-2</v>
      </c>
      <c r="L35" s="320">
        <v>0.12944929407095898</v>
      </c>
      <c r="M35" s="320">
        <v>0.12825148657170191</v>
      </c>
      <c r="N35" s="320">
        <v>9.1534353377311778E-2</v>
      </c>
      <c r="O35" s="320">
        <v>0.10433318021388831</v>
      </c>
      <c r="P35" s="320">
        <v>0.12120012629417244</v>
      </c>
      <c r="Q35" s="320">
        <v>0.16162712791805536</v>
      </c>
      <c r="R35" s="320">
        <v>0.17519944256202688</v>
      </c>
      <c r="S35" s="320">
        <v>0.19493614377967811</v>
      </c>
      <c r="T35" s="320">
        <v>0.1949794044077941</v>
      </c>
      <c r="U35" s="320">
        <v>0.11630084244052327</v>
      </c>
      <c r="V35" s="320">
        <v>0.15481118238039673</v>
      </c>
      <c r="W35" s="320">
        <v>0.14243930031123045</v>
      </c>
      <c r="X35" s="320">
        <v>0.14333997686254105</v>
      </c>
      <c r="Y35" s="320">
        <v>0.13935898409394426</v>
      </c>
      <c r="Z35" s="320">
        <v>0.12335519063149798</v>
      </c>
      <c r="AA35" s="320">
        <v>9.6524521372259586E-2</v>
      </c>
      <c r="AB35" s="320">
        <v>3.0393573071249361E-3</v>
      </c>
      <c r="AC35" s="320">
        <v>3.4596461524501196E-3</v>
      </c>
      <c r="AD35" s="320">
        <v>9.4067987790331009E-4</v>
      </c>
      <c r="AE35" s="320">
        <v>2.4827882489683118E-3</v>
      </c>
      <c r="AF35" s="320">
        <v>0</v>
      </c>
      <c r="AG35" s="320">
        <v>0</v>
      </c>
      <c r="AH35" s="321">
        <v>0</v>
      </c>
      <c r="AI35" s="321"/>
    </row>
    <row r="36" spans="1:35" x14ac:dyDescent="0.25">
      <c r="A36" s="318" t="s">
        <v>1755</v>
      </c>
      <c r="B36" s="319">
        <v>2.8823046573615909</v>
      </c>
      <c r="C36" s="320">
        <v>1.5395344847195833</v>
      </c>
      <c r="D36" s="320">
        <v>2.2384317660060349</v>
      </c>
      <c r="E36" s="320">
        <v>2.4645906731735252</v>
      </c>
      <c r="F36" s="320">
        <v>2.0681959340228748</v>
      </c>
      <c r="G36" s="320">
        <v>1.554643559572346</v>
      </c>
      <c r="H36" s="320">
        <v>1.6027132238532289</v>
      </c>
      <c r="I36" s="320">
        <v>1.5319603464006903</v>
      </c>
      <c r="J36" s="320">
        <v>1.4521599115436445</v>
      </c>
      <c r="K36" s="320">
        <v>1.2496010990571416</v>
      </c>
      <c r="L36" s="320">
        <v>1.2410315958914973</v>
      </c>
      <c r="M36" s="320">
        <v>1.9839006799180861</v>
      </c>
      <c r="N36" s="320">
        <v>1.6805593547885904</v>
      </c>
      <c r="O36" s="320">
        <v>1.7747406455330048</v>
      </c>
      <c r="P36" s="320">
        <v>1.6619708829045368</v>
      </c>
      <c r="Q36" s="320">
        <v>1.6921630559261416</v>
      </c>
      <c r="R36" s="320">
        <v>1.7060035607657367</v>
      </c>
      <c r="S36" s="320">
        <v>1.4223794586831764</v>
      </c>
      <c r="T36" s="320">
        <v>1.2199682499554605</v>
      </c>
      <c r="U36" s="320">
        <v>0.81945371009051204</v>
      </c>
      <c r="V36" s="320">
        <v>1.0213509248734156</v>
      </c>
      <c r="W36" s="320">
        <v>1.0652959781141105</v>
      </c>
      <c r="X36" s="320">
        <v>0.75278501009706156</v>
      </c>
      <c r="Y36" s="320">
        <v>0.78392175286952237</v>
      </c>
      <c r="Z36" s="320">
        <v>0.77506433237989736</v>
      </c>
      <c r="AA36" s="320">
        <v>0.86838660543547797</v>
      </c>
      <c r="AB36" s="320">
        <v>0.79894071035056202</v>
      </c>
      <c r="AC36" s="320">
        <v>0.87354698966266753</v>
      </c>
      <c r="AD36" s="320">
        <v>0.82357152728692118</v>
      </c>
      <c r="AE36" s="320">
        <v>0.80168524214533043</v>
      </c>
      <c r="AF36" s="320">
        <v>0.76185920833437704</v>
      </c>
      <c r="AG36" s="320">
        <v>0.8294372943428403</v>
      </c>
      <c r="AH36" s="321">
        <v>0.8495208189539829</v>
      </c>
      <c r="AI36" s="321"/>
    </row>
    <row r="37" spans="1:35" x14ac:dyDescent="0.25">
      <c r="A37" s="318" t="s">
        <v>1664</v>
      </c>
      <c r="B37" s="319">
        <v>2.3799672292494285</v>
      </c>
      <c r="C37" s="320">
        <v>2.8006697885587202</v>
      </c>
      <c r="D37" s="320">
        <v>3.6162053879007519</v>
      </c>
      <c r="E37" s="320">
        <v>3.637906604199562</v>
      </c>
      <c r="F37" s="320">
        <v>3.2851337925655431</v>
      </c>
      <c r="G37" s="320">
        <v>3.1967281228306561</v>
      </c>
      <c r="H37" s="320">
        <v>3.1154650925830993</v>
      </c>
      <c r="I37" s="320">
        <v>3.246966424180997</v>
      </c>
      <c r="J37" s="320">
        <v>3.1229585420884196</v>
      </c>
      <c r="K37" s="320">
        <v>4.0246573198375737</v>
      </c>
      <c r="L37" s="320">
        <v>3.843783455067177</v>
      </c>
      <c r="M37" s="320">
        <v>4.1955582504549636</v>
      </c>
      <c r="N37" s="320">
        <v>4.396074637518943</v>
      </c>
      <c r="O37" s="320">
        <v>2.2617823593344291</v>
      </c>
      <c r="P37" s="320">
        <v>2.2319061335320654</v>
      </c>
      <c r="Q37" s="320">
        <v>2.4140790649946258</v>
      </c>
      <c r="R37" s="320">
        <v>2.18328057728595</v>
      </c>
      <c r="S37" s="320">
        <v>2.344048546398505</v>
      </c>
      <c r="T37" s="320">
        <v>2.2638018864671774</v>
      </c>
      <c r="U37" s="320">
        <v>2.0276529852089902</v>
      </c>
      <c r="V37" s="320">
        <v>2.2811982203333225</v>
      </c>
      <c r="W37" s="320">
        <v>2.4422537154261676</v>
      </c>
      <c r="X37" s="320">
        <v>2.2651471950354432</v>
      </c>
      <c r="Y37" s="320">
        <v>2.4115965604600493</v>
      </c>
      <c r="Z37" s="320">
        <v>2.3340857482399615</v>
      </c>
      <c r="AA37" s="320">
        <v>2.2766326729428097</v>
      </c>
      <c r="AB37" s="320">
        <v>2.3233476881594219</v>
      </c>
      <c r="AC37" s="320">
        <v>2.3632922934824743</v>
      </c>
      <c r="AD37" s="320">
        <v>2.385959639828517</v>
      </c>
      <c r="AE37" s="320">
        <v>2.4534534195433926</v>
      </c>
      <c r="AF37" s="320">
        <v>2.2905763143732685</v>
      </c>
      <c r="AG37" s="320">
        <v>2.3967347864299553</v>
      </c>
      <c r="AH37" s="321">
        <v>2.4983794495694092</v>
      </c>
      <c r="AI37" s="321"/>
    </row>
    <row r="38" spans="1:35" ht="15.75" thickBot="1" x14ac:dyDescent="0.3">
      <c r="A38" s="324" t="s">
        <v>2082</v>
      </c>
      <c r="B38" s="333">
        <v>0</v>
      </c>
      <c r="C38" s="334">
        <v>0</v>
      </c>
      <c r="D38" s="334">
        <v>0</v>
      </c>
      <c r="E38" s="334">
        <v>0</v>
      </c>
      <c r="F38" s="334">
        <v>0</v>
      </c>
      <c r="G38" s="334">
        <v>0</v>
      </c>
      <c r="H38" s="334">
        <v>0</v>
      </c>
      <c r="I38" s="334">
        <v>0</v>
      </c>
      <c r="J38" s="334">
        <v>0</v>
      </c>
      <c r="K38" s="334">
        <v>0</v>
      </c>
      <c r="L38" s="334">
        <v>0</v>
      </c>
      <c r="M38" s="334">
        <v>0</v>
      </c>
      <c r="N38" s="335">
        <v>0</v>
      </c>
      <c r="O38" s="335">
        <v>0</v>
      </c>
      <c r="P38" s="335">
        <v>0</v>
      </c>
      <c r="Q38" s="335">
        <v>0</v>
      </c>
      <c r="R38" s="335">
        <v>0</v>
      </c>
      <c r="S38" s="335">
        <v>0</v>
      </c>
      <c r="T38" s="335">
        <v>0</v>
      </c>
      <c r="U38" s="335">
        <v>0</v>
      </c>
      <c r="V38" s="335">
        <v>0</v>
      </c>
      <c r="W38" s="335">
        <v>0</v>
      </c>
      <c r="X38" s="335">
        <v>0</v>
      </c>
      <c r="Y38" s="335">
        <v>0</v>
      </c>
      <c r="Z38" s="335">
        <v>0</v>
      </c>
      <c r="AA38" s="335">
        <v>0</v>
      </c>
      <c r="AB38" s="335">
        <v>0</v>
      </c>
      <c r="AC38" s="335">
        <v>0</v>
      </c>
      <c r="AD38" s="335">
        <v>0</v>
      </c>
      <c r="AE38" s="335">
        <v>0</v>
      </c>
      <c r="AF38" s="335">
        <v>0</v>
      </c>
      <c r="AG38" s="335">
        <v>0</v>
      </c>
      <c r="AH38" s="336">
        <v>0</v>
      </c>
      <c r="AI38" s="336"/>
    </row>
    <row r="39" spans="1:35" x14ac:dyDescent="0.25">
      <c r="A39" s="299" t="s">
        <v>2220</v>
      </c>
      <c r="B39" s="102">
        <f>+B34+B29+B24</f>
        <v>28.888379044823182</v>
      </c>
      <c r="C39" s="102">
        <f t="shared" ref="C39:AH39" si="1">+C34+C29+C24</f>
        <v>27.989595277038212</v>
      </c>
      <c r="D39" s="102">
        <f t="shared" si="1"/>
        <v>31.525394667838096</v>
      </c>
      <c r="E39" s="102">
        <f t="shared" si="1"/>
        <v>30.869758417577366</v>
      </c>
      <c r="F39" s="102">
        <f t="shared" si="1"/>
        <v>30.695333696158194</v>
      </c>
      <c r="G39" s="102">
        <f t="shared" si="1"/>
        <v>28.51790239207774</v>
      </c>
      <c r="H39" s="102">
        <f t="shared" si="1"/>
        <v>28.371720852021973</v>
      </c>
      <c r="I39" s="102">
        <f t="shared" si="1"/>
        <v>28.677567249205133</v>
      </c>
      <c r="J39" s="102">
        <f t="shared" si="1"/>
        <v>25.909458861883127</v>
      </c>
      <c r="K39" s="102">
        <f t="shared" si="1"/>
        <v>25.542478904863898</v>
      </c>
      <c r="L39" s="102">
        <f t="shared" si="1"/>
        <v>27.691045308879556</v>
      </c>
      <c r="M39" s="102">
        <f t="shared" si="1"/>
        <v>28.103717428902275</v>
      </c>
      <c r="N39" s="102">
        <f t="shared" si="1"/>
        <v>28.003799875522411</v>
      </c>
      <c r="O39" s="102">
        <f t="shared" si="1"/>
        <v>27.678419227028936</v>
      </c>
      <c r="P39" s="102">
        <f t="shared" si="1"/>
        <v>25.576827596533331</v>
      </c>
      <c r="Q39" s="102">
        <f t="shared" si="1"/>
        <v>25.88437514985262</v>
      </c>
      <c r="R39" s="102">
        <f t="shared" si="1"/>
        <v>21.926890327915217</v>
      </c>
      <c r="S39" s="102">
        <f t="shared" si="1"/>
        <v>22.834652852760648</v>
      </c>
      <c r="T39" s="102">
        <f t="shared" si="1"/>
        <v>23.671365633736571</v>
      </c>
      <c r="U39" s="102">
        <f t="shared" si="1"/>
        <v>22.609471150633588</v>
      </c>
      <c r="V39" s="102">
        <f t="shared" si="1"/>
        <v>23.767225346138829</v>
      </c>
      <c r="W39" s="102">
        <f t="shared" si="1"/>
        <v>23.607895388524533</v>
      </c>
      <c r="X39" s="102">
        <f t="shared" si="1"/>
        <v>20.198288131359302</v>
      </c>
      <c r="Y39" s="102">
        <f t="shared" si="1"/>
        <v>22.375947297568359</v>
      </c>
      <c r="Z39" s="102">
        <f t="shared" si="1"/>
        <v>23.958981339322023</v>
      </c>
      <c r="AA39" s="102">
        <f t="shared" si="1"/>
        <v>24.279588846199843</v>
      </c>
      <c r="AB39" s="102">
        <f t="shared" si="1"/>
        <v>21.36386283394971</v>
      </c>
      <c r="AC39" s="102">
        <f t="shared" si="1"/>
        <v>22.782939046866119</v>
      </c>
      <c r="AD39" s="102">
        <f t="shared" si="1"/>
        <v>24.335552887165868</v>
      </c>
      <c r="AE39" s="102">
        <f t="shared" si="1"/>
        <v>24.885085696756462</v>
      </c>
      <c r="AF39" s="102">
        <f t="shared" si="1"/>
        <v>22.375883172735318</v>
      </c>
      <c r="AG39" s="102">
        <f t="shared" si="1"/>
        <v>23.055540341048371</v>
      </c>
      <c r="AH39" s="102">
        <f t="shared" si="1"/>
        <v>24.322227731550818</v>
      </c>
    </row>
    <row r="40" spans="1:35" x14ac:dyDescent="0.25">
      <c r="A40" s="339" t="s">
        <v>2223</v>
      </c>
      <c r="B40" s="102">
        <f>B39-B17</f>
        <v>-0.48065312737767485</v>
      </c>
      <c r="C40" s="102">
        <f t="shared" ref="C40:AI40" si="2">C39-C17</f>
        <v>-0.49452502293439693</v>
      </c>
      <c r="D40" s="102">
        <f t="shared" si="2"/>
        <v>-0.56673180251332056</v>
      </c>
      <c r="E40" s="102">
        <f t="shared" si="2"/>
        <v>-0.56727810365423537</v>
      </c>
      <c r="F40" s="102">
        <f t="shared" si="2"/>
        <v>-0.54488738753465427</v>
      </c>
      <c r="G40" s="102">
        <f t="shared" si="2"/>
        <v>-0.53710362216613206</v>
      </c>
      <c r="H40" s="102">
        <f t="shared" si="2"/>
        <v>-0.56735731933780187</v>
      </c>
      <c r="I40" s="102">
        <f t="shared" si="2"/>
        <v>-0.53345863291984585</v>
      </c>
      <c r="J40" s="102">
        <f t="shared" si="2"/>
        <v>-0.38949316662059985</v>
      </c>
      <c r="K40" s="102">
        <f t="shared" si="2"/>
        <v>-0.40502634868166609</v>
      </c>
      <c r="L40" s="102">
        <f t="shared" si="2"/>
        <v>-0.40886326347514057</v>
      </c>
      <c r="M40" s="102">
        <f t="shared" si="2"/>
        <v>-0.43682156510409698</v>
      </c>
      <c r="N40" s="102">
        <f t="shared" si="2"/>
        <v>-0.48175469807139848</v>
      </c>
      <c r="O40" s="102">
        <f t="shared" si="2"/>
        <v>-0.46659690268004894</v>
      </c>
      <c r="P40" s="102">
        <f t="shared" si="2"/>
        <v>-0.48027295986006635</v>
      </c>
      <c r="Q40" s="102">
        <f t="shared" si="2"/>
        <v>-0.39413760745019033</v>
      </c>
      <c r="R40" s="102">
        <f t="shared" si="2"/>
        <v>-0.44924366113972525</v>
      </c>
      <c r="S40" s="102">
        <f t="shared" si="2"/>
        <v>-0.47398835959415564</v>
      </c>
      <c r="T40" s="102">
        <f t="shared" si="2"/>
        <v>-0.43123628185258411</v>
      </c>
      <c r="U40" s="102">
        <f t="shared" si="2"/>
        <v>-0.49788893454049088</v>
      </c>
      <c r="V40" s="102">
        <f t="shared" si="2"/>
        <v>-0.4419375368627172</v>
      </c>
      <c r="W40" s="102">
        <f t="shared" si="2"/>
        <v>-0.40058133553798214</v>
      </c>
      <c r="X40" s="102">
        <f t="shared" si="2"/>
        <v>-0.31078716995068945</v>
      </c>
      <c r="Y40" s="102">
        <f t="shared" si="2"/>
        <v>-0.35765738454705343</v>
      </c>
      <c r="Z40" s="102">
        <f t="shared" si="2"/>
        <v>-0.39321778135258612</v>
      </c>
      <c r="AA40" s="102">
        <f t="shared" si="2"/>
        <v>-0.3900680759834998</v>
      </c>
      <c r="AB40" s="102">
        <f t="shared" si="2"/>
        <v>-0.26178519466471073</v>
      </c>
      <c r="AC40" s="102">
        <f t="shared" si="2"/>
        <v>-0.23313291863351182</v>
      </c>
      <c r="AD40" s="102">
        <f t="shared" si="2"/>
        <v>-0.30023542347554155</v>
      </c>
      <c r="AE40" s="102">
        <f t="shared" si="2"/>
        <v>-0.36153849901666035</v>
      </c>
      <c r="AF40" s="102">
        <f t="shared" si="2"/>
        <v>-0.27826223018098872</v>
      </c>
      <c r="AG40" s="102">
        <f t="shared" si="2"/>
        <v>-0.28209870141698445</v>
      </c>
      <c r="AH40" s="102">
        <f t="shared" si="2"/>
        <v>-0.27577027959222988</v>
      </c>
      <c r="AI40" s="102">
        <f t="shared" si="2"/>
        <v>0</v>
      </c>
    </row>
    <row r="41" spans="1:35" x14ac:dyDescent="0.25">
      <c r="A41" s="339" t="s">
        <v>2221</v>
      </c>
      <c r="B41" s="340">
        <f>'NE RCI Emit'!B4-B39</f>
        <v>-0.50478836227043899</v>
      </c>
      <c r="C41" s="340">
        <f>'NE RCI Emit'!C4-C39</f>
        <v>-0.24487620005751864</v>
      </c>
      <c r="D41" s="340">
        <f>'NE RCI Emit'!D4-D39</f>
        <v>-0.40783928347862641</v>
      </c>
      <c r="E41" s="340">
        <f>'NE RCI Emit'!E4-E39</f>
        <v>-0.25867075948334772</v>
      </c>
      <c r="F41" s="340">
        <f>'NE RCI Emit'!F4-F39</f>
        <v>8.5822403806332659E-2</v>
      </c>
      <c r="G41" s="340">
        <f>'NE RCI Emit'!G4-G39</f>
        <v>8.732767299274613E-2</v>
      </c>
      <c r="H41" s="340">
        <f>'NE RCI Emit'!H4-H39</f>
        <v>0.14262368944007164</v>
      </c>
      <c r="I41" s="340">
        <f>'NE RCI Emit'!I4-I39</f>
        <v>0.21911213245301298</v>
      </c>
      <c r="J41" s="340">
        <f>'NE RCI Emit'!J4-J39</f>
        <v>0.3170010964577834</v>
      </c>
      <c r="K41" s="340">
        <f>'NE RCI Emit'!K4-K39</f>
        <v>-0.30783058863930535</v>
      </c>
      <c r="L41" s="340">
        <f>'NE RCI Emit'!L4-L39</f>
        <v>-0.25723587376417711</v>
      </c>
      <c r="M41" s="340">
        <f>'NE RCI Emit'!M4-M39</f>
        <v>-6.5770801787678579E-2</v>
      </c>
      <c r="N41" s="340">
        <f>'NE RCI Emit'!N4-N39</f>
        <v>-0.13364484493611783</v>
      </c>
      <c r="O41" s="340">
        <f>'NE RCI Emit'!O4-O39</f>
        <v>-0.29066168377469381</v>
      </c>
      <c r="P41" s="340">
        <f>'NE RCI Emit'!P4-P39</f>
        <v>-0.29740935316979744</v>
      </c>
      <c r="Q41" s="340">
        <f>'NE RCI Emit'!Q4-Q39</f>
        <v>-0.11240370713937153</v>
      </c>
      <c r="R41" s="340">
        <f>'NE RCI Emit'!R4-R39</f>
        <v>0.21198517512732451</v>
      </c>
      <c r="S41" s="340">
        <f>'NE RCI Emit'!S4-S39</f>
        <v>0.20375792180358943</v>
      </c>
      <c r="T41" s="340">
        <f>'NE RCI Emit'!T4-T39</f>
        <v>0.12967895709228117</v>
      </c>
      <c r="U41" s="340">
        <f>'NE RCI Emit'!U4-U39</f>
        <v>8.4786439054127527E-3</v>
      </c>
      <c r="V41" s="340">
        <f>'NE RCI Emit'!V4-V39</f>
        <v>-0.11482319622735204</v>
      </c>
      <c r="W41" s="340">
        <f>'NE RCI Emit'!W4-W39</f>
        <v>5.4978255123828035E-2</v>
      </c>
      <c r="X41" s="340">
        <f>'NE RCI Emit'!X4-X39</f>
        <v>-1.9971659715057655E-2</v>
      </c>
      <c r="Y41" s="340">
        <f>'NE RCI Emit'!Y4-Y39</f>
        <v>-1.1251999790076184E-3</v>
      </c>
      <c r="Z41" s="340">
        <f>'NE RCI Emit'!Z4-Z39</f>
        <v>0.13563477499243604</v>
      </c>
      <c r="AA41" s="340">
        <f>'NE RCI Emit'!AA4-AA39</f>
        <v>0.1524794375452565</v>
      </c>
      <c r="AB41" s="340">
        <f>'NE RCI Emit'!AB4-AB39</f>
        <v>0.29270767698007205</v>
      </c>
      <c r="AC41" s="340">
        <f>'NE RCI Emit'!AC4-AC39</f>
        <v>0.32010089532033703</v>
      </c>
      <c r="AD41" s="340">
        <f>'NE RCI Emit'!AD4-AD39</f>
        <v>0.2690734519172544</v>
      </c>
      <c r="AE41" s="340">
        <f>'NE RCI Emit'!AE4-AE39</f>
        <v>0.26096209156587946</v>
      </c>
      <c r="AF41" s="340">
        <f>'NE RCI Emit'!AF4-AF39</f>
        <v>0.29344357260468357</v>
      </c>
      <c r="AG41" s="340">
        <f>'NE RCI Emit'!AG4-AG39</f>
        <v>0.27418512140162932</v>
      </c>
      <c r="AH41" s="340">
        <f>'NE RCI Emit'!AH4-AH39</f>
        <v>0.17993149563584865</v>
      </c>
    </row>
    <row r="42" spans="1:35" x14ac:dyDescent="0.25">
      <c r="A42" s="339" t="s">
        <v>2224</v>
      </c>
      <c r="B42" s="102">
        <f>+B41+B40-B19</f>
        <v>0</v>
      </c>
      <c r="C42" s="102">
        <f t="shared" ref="C42:AH42" si="3">+C41+C40-C19</f>
        <v>0</v>
      </c>
      <c r="D42" s="102">
        <f t="shared" si="3"/>
        <v>0</v>
      </c>
      <c r="E42" s="102">
        <f t="shared" si="3"/>
        <v>0</v>
      </c>
      <c r="F42" s="102">
        <f t="shared" si="3"/>
        <v>0</v>
      </c>
      <c r="G42" s="102">
        <f t="shared" si="3"/>
        <v>0</v>
      </c>
      <c r="H42" s="102">
        <f t="shared" si="3"/>
        <v>0</v>
      </c>
      <c r="I42" s="102">
        <f t="shared" si="3"/>
        <v>0</v>
      </c>
      <c r="J42" s="102">
        <f t="shared" si="3"/>
        <v>0</v>
      </c>
      <c r="K42" s="102">
        <f t="shared" si="3"/>
        <v>0</v>
      </c>
      <c r="L42" s="102">
        <f t="shared" si="3"/>
        <v>0</v>
      </c>
      <c r="M42" s="102">
        <f t="shared" si="3"/>
        <v>0</v>
      </c>
      <c r="N42" s="102">
        <f t="shared" si="3"/>
        <v>0</v>
      </c>
      <c r="O42" s="102">
        <f t="shared" si="3"/>
        <v>0</v>
      </c>
      <c r="P42" s="102">
        <f t="shared" si="3"/>
        <v>0</v>
      </c>
      <c r="Q42" s="102">
        <f t="shared" si="3"/>
        <v>0</v>
      </c>
      <c r="R42" s="102">
        <f t="shared" si="3"/>
        <v>0</v>
      </c>
      <c r="S42" s="102">
        <f t="shared" si="3"/>
        <v>0</v>
      </c>
      <c r="T42" s="102">
        <f t="shared" si="3"/>
        <v>0</v>
      </c>
      <c r="U42" s="102">
        <f t="shared" si="3"/>
        <v>0</v>
      </c>
      <c r="V42" s="102">
        <f t="shared" si="3"/>
        <v>0</v>
      </c>
      <c r="W42" s="102">
        <f t="shared" si="3"/>
        <v>0</v>
      </c>
      <c r="X42" s="102">
        <f t="shared" si="3"/>
        <v>0</v>
      </c>
      <c r="Y42" s="102">
        <f t="shared" si="3"/>
        <v>0</v>
      </c>
      <c r="Z42" s="102">
        <f t="shared" si="3"/>
        <v>0</v>
      </c>
      <c r="AA42" s="102">
        <f t="shared" si="3"/>
        <v>0</v>
      </c>
      <c r="AB42" s="102">
        <f t="shared" si="3"/>
        <v>0</v>
      </c>
      <c r="AC42" s="102">
        <f t="shared" si="3"/>
        <v>0</v>
      </c>
      <c r="AD42" s="102">
        <f t="shared" si="3"/>
        <v>0</v>
      </c>
      <c r="AE42" s="102">
        <f t="shared" si="3"/>
        <v>0</v>
      </c>
      <c r="AF42" s="102">
        <f t="shared" si="3"/>
        <v>0</v>
      </c>
      <c r="AG42" s="102">
        <f t="shared" si="3"/>
        <v>0</v>
      </c>
      <c r="AH42" s="102">
        <f t="shared" si="3"/>
        <v>0</v>
      </c>
    </row>
    <row r="43" spans="1:35" x14ac:dyDescent="0.25">
      <c r="A43" s="339" t="s">
        <v>2222</v>
      </c>
    </row>
  </sheetData>
  <conditionalFormatting sqref="A22">
    <cfRule type="cellIs" dxfId="7" priority="1" stopIfTrue="1" operator="equal">
      <formula>0</formula>
    </cfRule>
    <cfRule type="cellIs" dxfId="6" priority="2" stopIfTrue="1" operator="not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57edc0-520f-4533-8f0e-2471aabd30f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D407935E43F4149BD27F899D609E5A1" ma:contentTypeVersion="16" ma:contentTypeDescription="Create a new document." ma:contentTypeScope="" ma:versionID="0d98a4a85856e805976a4336218c1f78">
  <xsd:schema xmlns:xsd="http://www.w3.org/2001/XMLSchema" xmlns:xs="http://www.w3.org/2001/XMLSchema" xmlns:p="http://schemas.microsoft.com/office/2006/metadata/properties" xmlns:ns3="e857edc0-520f-4533-8f0e-2471aabd30f4" xmlns:ns4="f3cc449e-d972-460a-b378-179ab45bd9c2" targetNamespace="http://schemas.microsoft.com/office/2006/metadata/properties" ma:root="true" ma:fieldsID="8948dc48abf2f2e76ab2f8f3f3c371d4" ns3:_="" ns4:_="">
    <xsd:import namespace="e857edc0-520f-4533-8f0e-2471aabd30f4"/>
    <xsd:import namespace="f3cc449e-d972-460a-b378-179ab45bd9c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_activity" minOccurs="0"/>
                <xsd:element ref="ns3:MediaServiceObjectDetectorVersions" minOccurs="0"/>
                <xsd:element ref="ns3:MediaServiceSystemTag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57edc0-520f-4533-8f0e-2471aabd30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cc449e-d972-460a-b378-179ab45bd9c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21E2A2-3D0F-4407-AB73-318069839629}">
  <ds:schemaRefs>
    <ds:schemaRef ds:uri="http://purl.org/dc/elements/1.1/"/>
    <ds:schemaRef ds:uri="http://schemas.microsoft.com/office/2006/documentManagement/types"/>
    <ds:schemaRef ds:uri="f3cc449e-d972-460a-b378-179ab45bd9c2"/>
    <ds:schemaRef ds:uri="http://purl.org/dc/terms/"/>
    <ds:schemaRef ds:uri="http://www.w3.org/XML/1998/namespace"/>
    <ds:schemaRef ds:uri="http://purl.org/dc/dcmitype/"/>
    <ds:schemaRef ds:uri="http://schemas.microsoft.com/office/2006/metadata/properties"/>
    <ds:schemaRef ds:uri="http://schemas.microsoft.com/office/infopath/2007/PartnerControls"/>
    <ds:schemaRef ds:uri="http://schemas.openxmlformats.org/package/2006/metadata/core-properties"/>
    <ds:schemaRef ds:uri="e857edc0-520f-4533-8f0e-2471aabd30f4"/>
  </ds:schemaRefs>
</ds:datastoreItem>
</file>

<file path=customXml/itemProps2.xml><?xml version="1.0" encoding="utf-8"?>
<ds:datastoreItem xmlns:ds="http://schemas.openxmlformats.org/officeDocument/2006/customXml" ds:itemID="{3E155E19-921E-4FF9-A874-1F1497DFB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57edc0-520f-4533-8f0e-2471aabd30f4"/>
    <ds:schemaRef ds:uri="f3cc449e-d972-460a-b378-179ab45bd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F2EA63-1D27-4184-9C91-43CAB9733089}">
  <ds:schemaRefs>
    <ds:schemaRef ds:uri="http://schemas.microsoft.com/sharepoint/v3/contenttype/forms"/>
  </ds:schemaRefs>
</ds:datastoreItem>
</file>

<file path=docMetadata/LabelInfo.xml><?xml version="1.0" encoding="utf-8"?>
<clbl:labelList xmlns:clbl="http://schemas.microsoft.com/office/2020/mipLabelMetadata">
  <clbl:label id="{0b947e6b-ff26-4b13-ae1c-573c6750c888}" enabled="0" method="" siteId="{0b947e6b-ff26-4b13-ae1c-573c6750c88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Charts</vt:lpstr>
      </vt:variant>
      <vt:variant>
        <vt:i4>12</vt:i4>
      </vt:variant>
    </vt:vector>
  </HeadingPairs>
  <TitlesOfParts>
    <vt:vector size="35" baseType="lpstr">
      <vt:lpstr>Contents</vt:lpstr>
      <vt:lpstr>Notes</vt:lpstr>
      <vt:lpstr>CO2</vt:lpstr>
      <vt:lpstr>MSN</vt:lpstr>
      <vt:lpstr>NE RES Emit</vt:lpstr>
      <vt:lpstr>NE C Emit</vt:lpstr>
      <vt:lpstr>NE I emit</vt:lpstr>
      <vt:lpstr>NE RCI Emit</vt:lpstr>
      <vt:lpstr>MA RCI compare</vt:lpstr>
      <vt:lpstr>NE BTU</vt:lpstr>
      <vt:lpstr>NE Pop</vt:lpstr>
      <vt:lpstr>NE HDD</vt:lpstr>
      <vt:lpstr>Linest Test</vt:lpstr>
      <vt:lpstr>CT-4</vt:lpstr>
      <vt:lpstr>G CT4 P</vt:lpstr>
      <vt:lpstr>G CT4 B</vt:lpstr>
      <vt:lpstr>G CT-5 P</vt:lpstr>
      <vt:lpstr>G CT7 B</vt:lpstr>
      <vt:lpstr>G MA CO2 B</vt:lpstr>
      <vt:lpstr>G MA CO2 P</vt:lpstr>
      <vt:lpstr>vs. SGIT</vt:lpstr>
      <vt:lpstr>MA Comm Emissions</vt:lpstr>
      <vt:lpstr>MA T Emission</vt:lpstr>
      <vt:lpstr>R1</vt:lpstr>
      <vt:lpstr>R2</vt:lpstr>
      <vt:lpstr>R3</vt:lpstr>
      <vt:lpstr>C1 </vt:lpstr>
      <vt:lpstr>C2</vt:lpstr>
      <vt:lpstr>C3</vt:lpstr>
      <vt:lpstr>I1</vt:lpstr>
      <vt:lpstr>I2</vt:lpstr>
      <vt:lpstr>I3</vt:lpstr>
      <vt:lpstr>RCI 1</vt:lpstr>
      <vt:lpstr>RCI 2</vt:lpstr>
      <vt:lpstr>RCI3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Brownsberger, William (SEN)</dc:creator>
  <cp:lastModifiedBy>Brownsberger, William (SEN)</cp:lastModifiedBy>
  <dcterms:created xsi:type="dcterms:W3CDTF">2025-04-06T17:36:28Z</dcterms:created>
  <dcterms:modified xsi:type="dcterms:W3CDTF">2025-04-12T21:29:31Z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0x010100FD407935E43F4149BD27F899D609E5A1</vt:lpwstr>
  </property>
  <property fmtid="{D5CDD505-2E9C-101B-9397-08002B2CF9AE}" pid="3" name="WorkbookGuid">
    <vt:lpwstr>19277470-f4a2-4297-858f-01bc1eda1da2</vt:lpwstr>
  </property>
</Properties>
</file>