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3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2025 Heat Pump Files\"/>
    </mc:Choice>
  </mc:AlternateContent>
  <xr:revisionPtr revIDLastSave="0" documentId="8_{F33573B5-B1A2-4E0A-973C-E2BEC2EADCCB}" xr6:coauthVersionLast="47" xr6:coauthVersionMax="47" xr10:uidLastSave="{00000000-0000-0000-0000-000000000000}"/>
  <bookViews>
    <workbookView xWindow="32430" yWindow="150" windowWidth="45495" windowHeight="18210" firstSheet="10" activeTab="12" xr2:uid="{9E3F3093-9B5E-4276-8322-8F7842D02A84}"/>
  </bookViews>
  <sheets>
    <sheet name="Gas Summary" sheetId="1" r:id="rId1"/>
    <sheet name="National Grid History" sheetId="11" r:id="rId2"/>
    <sheet name="Eversource vs NGrid" sheetId="12" r:id="rId3"/>
    <sheet name="Boston Gas Res Heat GAF" sheetId="9" r:id="rId4"/>
    <sheet name="Boston Gas Delivery Service" sheetId="10" r:id="rId5"/>
    <sheet name="NSTAR, LDAC 2023" sheetId="3" r:id="rId6"/>
    <sheet name="NSTAR LDAC 25 revision" sheetId="4" r:id="rId7"/>
    <sheet name="NSTAR LDAC 25" sheetId="2" r:id="rId8"/>
    <sheet name="Electric Rates" sheetId="5" r:id="rId9"/>
    <sheet name="Chart Bill Impact " sheetId="8" r:id="rId10"/>
    <sheet name="Efficiency Charge Bill Impact" sheetId="7" r:id="rId11"/>
    <sheet name="Mass Save Budget" sheetId="16" r:id="rId12"/>
    <sheet name="Natural Gas Budget" sheetId="17" r:id="rId13"/>
    <sheet name="Bill ImpactsNG" sheetId="13" r:id="rId14"/>
    <sheet name="Bill Impacts Eversource" sheetId="14" r:id="rId15"/>
    <sheet name="Bill Impacts NSTAR GAs" sheetId="15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17" l="1"/>
  <c r="C68" i="17"/>
  <c r="B71" i="17"/>
  <c r="C70" i="17"/>
  <c r="B70" i="17"/>
  <c r="C69" i="17"/>
  <c r="B69" i="17"/>
  <c r="C71" i="17"/>
  <c r="B68" i="17"/>
  <c r="V57" i="17"/>
  <c r="U57" i="17"/>
  <c r="W57" i="17" s="1"/>
  <c r="T57" i="17"/>
  <c r="U56" i="17"/>
  <c r="W56" i="17" s="1"/>
  <c r="T56" i="17"/>
  <c r="U55" i="17"/>
  <c r="V55" i="17" s="1"/>
  <c r="T55" i="17"/>
  <c r="W55" i="17" s="1"/>
  <c r="U54" i="17"/>
  <c r="W54" i="17" s="1"/>
  <c r="T54" i="17"/>
  <c r="U53" i="17"/>
  <c r="W53" i="17" s="1"/>
  <c r="T53" i="17"/>
  <c r="U52" i="17"/>
  <c r="W52" i="17" s="1"/>
  <c r="T52" i="17"/>
  <c r="V51" i="17"/>
  <c r="U51" i="17"/>
  <c r="W51" i="17" s="1"/>
  <c r="T51" i="17"/>
  <c r="U45" i="17"/>
  <c r="W45" i="17" s="1"/>
  <c r="T45" i="17"/>
  <c r="U44" i="17"/>
  <c r="V44" i="17" s="1"/>
  <c r="T44" i="17"/>
  <c r="W44" i="17" s="1"/>
  <c r="U43" i="17"/>
  <c r="W43" i="17" s="1"/>
  <c r="T43" i="17"/>
  <c r="U42" i="17"/>
  <c r="W42" i="17" s="1"/>
  <c r="T42" i="17"/>
  <c r="U41" i="17"/>
  <c r="W41" i="17" s="1"/>
  <c r="T41" i="17"/>
  <c r="V40" i="17"/>
  <c r="U40" i="17"/>
  <c r="W40" i="17" s="1"/>
  <c r="T40" i="17"/>
  <c r="U39" i="17"/>
  <c r="W39" i="17" s="1"/>
  <c r="T39" i="17"/>
  <c r="U33" i="17"/>
  <c r="V33" i="17" s="1"/>
  <c r="T33" i="17"/>
  <c r="W33" i="17" s="1"/>
  <c r="U32" i="17"/>
  <c r="W32" i="17" s="1"/>
  <c r="T32" i="17"/>
  <c r="U31" i="17"/>
  <c r="W31" i="17" s="1"/>
  <c r="T31" i="17"/>
  <c r="U30" i="17"/>
  <c r="W30" i="17" s="1"/>
  <c r="T30" i="17"/>
  <c r="V29" i="17"/>
  <c r="U29" i="17"/>
  <c r="W29" i="17" s="1"/>
  <c r="T29" i="17"/>
  <c r="U28" i="17"/>
  <c r="W28" i="17" s="1"/>
  <c r="T28" i="17"/>
  <c r="U27" i="17"/>
  <c r="V27" i="17" s="1"/>
  <c r="T27" i="17"/>
  <c r="W27" i="17" s="1"/>
  <c r="U21" i="17"/>
  <c r="V21" i="17" s="1"/>
  <c r="T21" i="17"/>
  <c r="W21" i="17" s="1"/>
  <c r="U20" i="17"/>
  <c r="W20" i="17" s="1"/>
  <c r="T20" i="17"/>
  <c r="U19" i="17"/>
  <c r="W19" i="17" s="1"/>
  <c r="T19" i="17"/>
  <c r="V18" i="17"/>
  <c r="U18" i="17"/>
  <c r="T18" i="17"/>
  <c r="W18" i="17" s="1"/>
  <c r="U17" i="17"/>
  <c r="W17" i="17" s="1"/>
  <c r="T17" i="17"/>
  <c r="U16" i="17"/>
  <c r="V16" i="17" s="1"/>
  <c r="T16" i="17"/>
  <c r="W16" i="17" s="1"/>
  <c r="U15" i="17"/>
  <c r="V15" i="17" s="1"/>
  <c r="T15" i="17"/>
  <c r="W15" i="17" s="1"/>
  <c r="C66" i="16"/>
  <c r="C63" i="16"/>
  <c r="C65" i="16"/>
  <c r="C64" i="16"/>
  <c r="B66" i="16"/>
  <c r="B65" i="16"/>
  <c r="B64" i="16"/>
  <c r="B63" i="16"/>
  <c r="U52" i="16"/>
  <c r="W52" i="16" s="1"/>
  <c r="T52" i="16"/>
  <c r="U51" i="16"/>
  <c r="W51" i="16" s="1"/>
  <c r="T51" i="16"/>
  <c r="W50" i="16"/>
  <c r="V50" i="16"/>
  <c r="U50" i="16"/>
  <c r="T50" i="16"/>
  <c r="U49" i="16"/>
  <c r="W49" i="16" s="1"/>
  <c r="T49" i="16"/>
  <c r="U48" i="16"/>
  <c r="W48" i="16" s="1"/>
  <c r="T48" i="16"/>
  <c r="U47" i="16"/>
  <c r="W47" i="16" s="1"/>
  <c r="T47" i="16"/>
  <c r="U46" i="16"/>
  <c r="W46" i="16" s="1"/>
  <c r="T46" i="16"/>
  <c r="U40" i="16"/>
  <c r="W40" i="16" s="1"/>
  <c r="T40" i="16"/>
  <c r="U39" i="16"/>
  <c r="W39" i="16" s="1"/>
  <c r="T39" i="16"/>
  <c r="U38" i="16"/>
  <c r="W38" i="16" s="1"/>
  <c r="T38" i="16"/>
  <c r="U37" i="16"/>
  <c r="T37" i="16"/>
  <c r="W37" i="16" s="1"/>
  <c r="U36" i="16"/>
  <c r="W36" i="16" s="1"/>
  <c r="T36" i="16"/>
  <c r="U35" i="16"/>
  <c r="V35" i="16" s="1"/>
  <c r="T35" i="16"/>
  <c r="U34" i="16"/>
  <c r="W34" i="16" s="1"/>
  <c r="T34" i="16"/>
  <c r="U28" i="16"/>
  <c r="W28" i="16" s="1"/>
  <c r="T28" i="16"/>
  <c r="U27" i="16"/>
  <c r="V27" i="16" s="1"/>
  <c r="T27" i="16"/>
  <c r="W26" i="16"/>
  <c r="V26" i="16"/>
  <c r="U26" i="16"/>
  <c r="T26" i="16"/>
  <c r="U25" i="16"/>
  <c r="W25" i="16" s="1"/>
  <c r="T25" i="16"/>
  <c r="U24" i="16"/>
  <c r="W24" i="16" s="1"/>
  <c r="T24" i="16"/>
  <c r="U23" i="16"/>
  <c r="V23" i="16" s="1"/>
  <c r="T23" i="16"/>
  <c r="U22" i="16"/>
  <c r="W22" i="16" s="1"/>
  <c r="T22" i="16"/>
  <c r="U16" i="16"/>
  <c r="W16" i="16" s="1"/>
  <c r="T16" i="16"/>
  <c r="U15" i="16"/>
  <c r="V15" i="16" s="1"/>
  <c r="T15" i="16"/>
  <c r="W15" i="16" s="1"/>
  <c r="W14" i="16"/>
  <c r="V14" i="16"/>
  <c r="U14" i="16"/>
  <c r="T14" i="16"/>
  <c r="U13" i="16"/>
  <c r="W13" i="16" s="1"/>
  <c r="T13" i="16"/>
  <c r="U12" i="16"/>
  <c r="W12" i="16" s="1"/>
  <c r="T12" i="16"/>
  <c r="U11" i="16"/>
  <c r="W11" i="16" s="1"/>
  <c r="T11" i="16"/>
  <c r="W10" i="16"/>
  <c r="V10" i="16"/>
  <c r="U10" i="16"/>
  <c r="T10" i="16"/>
  <c r="V19" i="17" l="1"/>
  <c r="V30" i="17"/>
  <c r="V41" i="17"/>
  <c r="V52" i="17"/>
  <c r="V20" i="17"/>
  <c r="V31" i="17"/>
  <c r="V42" i="17"/>
  <c r="V53" i="17"/>
  <c r="V32" i="17"/>
  <c r="V43" i="17"/>
  <c r="V54" i="17"/>
  <c r="V17" i="17"/>
  <c r="V28" i="17"/>
  <c r="V39" i="17"/>
  <c r="V45" i="17"/>
  <c r="V56" i="17"/>
  <c r="V47" i="16"/>
  <c r="V48" i="16"/>
  <c r="V49" i="16"/>
  <c r="V51" i="16"/>
  <c r="V46" i="16"/>
  <c r="V52" i="16"/>
  <c r="W35" i="16"/>
  <c r="V36" i="16"/>
  <c r="V37" i="16"/>
  <c r="V38" i="16"/>
  <c r="V39" i="16"/>
  <c r="V34" i="16"/>
  <c r="V40" i="16"/>
  <c r="W27" i="16"/>
  <c r="V24" i="16"/>
  <c r="V25" i="16"/>
  <c r="W23" i="16"/>
  <c r="V22" i="16"/>
  <c r="V28" i="16"/>
  <c r="V11" i="16"/>
  <c r="V12" i="16"/>
  <c r="V13" i="16"/>
  <c r="V16" i="16"/>
  <c r="D15" i="7" l="1"/>
  <c r="D29" i="7"/>
  <c r="D14" i="7"/>
  <c r="B29" i="7"/>
  <c r="H61" i="14"/>
  <c r="H60" i="14"/>
  <c r="P57" i="14"/>
  <c r="L57" i="14"/>
  <c r="J61" i="14" s="1"/>
  <c r="J57" i="14"/>
  <c r="L61" i="14" s="1"/>
  <c r="I57" i="14"/>
  <c r="I61" i="14" s="1"/>
  <c r="L56" i="14"/>
  <c r="P56" i="14" s="1"/>
  <c r="J56" i="14"/>
  <c r="O56" i="14" s="1"/>
  <c r="I56" i="14"/>
  <c r="M56" i="14" s="1"/>
  <c r="P55" i="14"/>
  <c r="O55" i="14"/>
  <c r="L55" i="14"/>
  <c r="J55" i="14"/>
  <c r="I55" i="14"/>
  <c r="M55" i="14" s="1"/>
  <c r="P54" i="14"/>
  <c r="O54" i="14"/>
  <c r="M54" i="14"/>
  <c r="L53" i="14"/>
  <c r="P53" i="14" s="1"/>
  <c r="J53" i="14"/>
  <c r="O53" i="14" s="1"/>
  <c r="I53" i="14"/>
  <c r="M53" i="14" s="1"/>
  <c r="L52" i="14"/>
  <c r="P52" i="14" s="1"/>
  <c r="J52" i="14"/>
  <c r="O52" i="14" s="1"/>
  <c r="I52" i="14"/>
  <c r="M52" i="14" s="1"/>
  <c r="P51" i="14"/>
  <c r="L51" i="14"/>
  <c r="J51" i="14"/>
  <c r="O51" i="14" s="1"/>
  <c r="I51" i="14"/>
  <c r="M51" i="14" s="1"/>
  <c r="O50" i="14"/>
  <c r="M50" i="14"/>
  <c r="L50" i="14"/>
  <c r="P50" i="14" s="1"/>
  <c r="J50" i="14"/>
  <c r="I50" i="14"/>
  <c r="L49" i="14"/>
  <c r="P49" i="14" s="1"/>
  <c r="J49" i="14"/>
  <c r="O49" i="14" s="1"/>
  <c r="I49" i="14"/>
  <c r="M49" i="14" s="1"/>
  <c r="O48" i="14"/>
  <c r="M48" i="14"/>
  <c r="L48" i="14"/>
  <c r="P48" i="14" s="1"/>
  <c r="J48" i="14"/>
  <c r="I48" i="14"/>
  <c r="L47" i="14"/>
  <c r="P47" i="14" s="1"/>
  <c r="J47" i="14"/>
  <c r="O47" i="14" s="1"/>
  <c r="I47" i="14"/>
  <c r="M47" i="14" s="1"/>
  <c r="L46" i="14"/>
  <c r="P46" i="14" s="1"/>
  <c r="J46" i="14"/>
  <c r="O46" i="14" s="1"/>
  <c r="I46" i="14"/>
  <c r="M46" i="14" s="1"/>
  <c r="L45" i="14"/>
  <c r="P45" i="14" s="1"/>
  <c r="J45" i="14"/>
  <c r="O45" i="14" s="1"/>
  <c r="I45" i="14"/>
  <c r="M45" i="14" s="1"/>
  <c r="L44" i="14"/>
  <c r="P44" i="14" s="1"/>
  <c r="J44" i="14"/>
  <c r="O44" i="14" s="1"/>
  <c r="I44" i="14"/>
  <c r="M44" i="14" s="1"/>
  <c r="P43" i="14"/>
  <c r="O43" i="14"/>
  <c r="L43" i="14"/>
  <c r="J43" i="14"/>
  <c r="I43" i="14"/>
  <c r="M43" i="14" s="1"/>
  <c r="L42" i="14"/>
  <c r="P42" i="14" s="1"/>
  <c r="J42" i="14"/>
  <c r="O42" i="14" s="1"/>
  <c r="I42" i="14"/>
  <c r="M42" i="14" s="1"/>
  <c r="P41" i="14"/>
  <c r="O41" i="14"/>
  <c r="M41" i="14"/>
  <c r="L41" i="14"/>
  <c r="J41" i="14"/>
  <c r="I41" i="14"/>
  <c r="L40" i="14"/>
  <c r="P40" i="14" s="1"/>
  <c r="J40" i="14"/>
  <c r="O40" i="14" s="1"/>
  <c r="I40" i="14"/>
  <c r="M40" i="14" s="1"/>
  <c r="L39" i="14"/>
  <c r="P39" i="14" s="1"/>
  <c r="J39" i="14"/>
  <c r="O39" i="14" s="1"/>
  <c r="I39" i="14"/>
  <c r="M39" i="14" s="1"/>
  <c r="L38" i="14"/>
  <c r="P38" i="14" s="1"/>
  <c r="J38" i="14"/>
  <c r="O38" i="14" s="1"/>
  <c r="I38" i="14"/>
  <c r="H13" i="14" s="1"/>
  <c r="J13" i="14" s="1"/>
  <c r="L37" i="14"/>
  <c r="P37" i="14" s="1"/>
  <c r="J37" i="14"/>
  <c r="O37" i="14" s="1"/>
  <c r="I37" i="14"/>
  <c r="M37" i="14" s="1"/>
  <c r="P36" i="14"/>
  <c r="L36" i="14"/>
  <c r="J36" i="14"/>
  <c r="O36" i="14" s="1"/>
  <c r="I36" i="14"/>
  <c r="M36" i="14" s="1"/>
  <c r="L35" i="14"/>
  <c r="P35" i="14" s="1"/>
  <c r="J35" i="14"/>
  <c r="O35" i="14" s="1"/>
  <c r="I35" i="14"/>
  <c r="H16" i="14" s="1"/>
  <c r="J16" i="14" s="1"/>
  <c r="P34" i="14"/>
  <c r="O34" i="14"/>
  <c r="L34" i="14"/>
  <c r="J34" i="14"/>
  <c r="I34" i="14"/>
  <c r="M34" i="14" s="1"/>
  <c r="M33" i="14"/>
  <c r="L33" i="14"/>
  <c r="P33" i="14" s="1"/>
  <c r="J33" i="14"/>
  <c r="O33" i="14" s="1"/>
  <c r="I33" i="14"/>
  <c r="L32" i="14"/>
  <c r="P32" i="14" s="1"/>
  <c r="J32" i="14"/>
  <c r="O32" i="14" s="1"/>
  <c r="I32" i="14"/>
  <c r="H15" i="14" s="1"/>
  <c r="J15" i="14" s="1"/>
  <c r="M31" i="14"/>
  <c r="L31" i="14"/>
  <c r="V12" i="14" s="1"/>
  <c r="X12" i="14" s="1"/>
  <c r="J31" i="14"/>
  <c r="O16" i="14" s="1"/>
  <c r="Q16" i="14" s="1"/>
  <c r="I31" i="14"/>
  <c r="I60" i="14" s="1"/>
  <c r="L30" i="14"/>
  <c r="P30" i="14" s="1"/>
  <c r="J30" i="14"/>
  <c r="O21" i="14" s="1"/>
  <c r="Q21" i="14" s="1"/>
  <c r="I30" i="14"/>
  <c r="H20" i="14" s="1"/>
  <c r="J20" i="14" s="1"/>
  <c r="W25" i="14"/>
  <c r="P25" i="14"/>
  <c r="O25" i="14"/>
  <c r="Q25" i="14" s="1"/>
  <c r="E25" i="14"/>
  <c r="D25" i="14"/>
  <c r="F25" i="14" s="1"/>
  <c r="W24" i="14"/>
  <c r="P24" i="14"/>
  <c r="I24" i="14"/>
  <c r="H24" i="14"/>
  <c r="J24" i="14" s="1"/>
  <c r="L24" i="14" s="1"/>
  <c r="M24" i="14" s="1"/>
  <c r="F24" i="14"/>
  <c r="E24" i="14"/>
  <c r="D24" i="14"/>
  <c r="W23" i="14"/>
  <c r="P23" i="14"/>
  <c r="I23" i="14"/>
  <c r="E23" i="14"/>
  <c r="D23" i="14"/>
  <c r="F23" i="14" s="1"/>
  <c r="W22" i="14"/>
  <c r="P22" i="14"/>
  <c r="I22" i="14"/>
  <c r="E22" i="14"/>
  <c r="D22" i="14"/>
  <c r="F22" i="14" s="1"/>
  <c r="W21" i="14"/>
  <c r="P21" i="14"/>
  <c r="I21" i="14"/>
  <c r="F21" i="14"/>
  <c r="E21" i="14"/>
  <c r="D21" i="14"/>
  <c r="W20" i="14"/>
  <c r="P20" i="14"/>
  <c r="I20" i="14"/>
  <c r="E20" i="14"/>
  <c r="D20" i="14"/>
  <c r="F20" i="14" s="1"/>
  <c r="W19" i="14"/>
  <c r="P19" i="14"/>
  <c r="I19" i="14"/>
  <c r="F19" i="14"/>
  <c r="E19" i="14"/>
  <c r="D19" i="14"/>
  <c r="W18" i="14"/>
  <c r="P18" i="14"/>
  <c r="I18" i="14"/>
  <c r="E18" i="14"/>
  <c r="D18" i="14"/>
  <c r="F18" i="14" s="1"/>
  <c r="W17" i="14"/>
  <c r="P17" i="14"/>
  <c r="I17" i="14"/>
  <c r="E17" i="14"/>
  <c r="D17" i="14"/>
  <c r="F17" i="14" s="1"/>
  <c r="W16" i="14"/>
  <c r="P16" i="14"/>
  <c r="I16" i="14"/>
  <c r="E16" i="14"/>
  <c r="D16" i="14"/>
  <c r="F16" i="14" s="1"/>
  <c r="W15" i="14"/>
  <c r="P15" i="14"/>
  <c r="I15" i="14"/>
  <c r="E15" i="14"/>
  <c r="D15" i="14"/>
  <c r="F15" i="14" s="1"/>
  <c r="W14" i="14"/>
  <c r="P14" i="14"/>
  <c r="I14" i="14"/>
  <c r="E14" i="14"/>
  <c r="F14" i="14" s="1"/>
  <c r="D14" i="14"/>
  <c r="W13" i="14"/>
  <c r="P13" i="14"/>
  <c r="I13" i="14"/>
  <c r="E13" i="14"/>
  <c r="D13" i="14"/>
  <c r="F13" i="14" s="1"/>
  <c r="W12" i="14"/>
  <c r="P12" i="14"/>
  <c r="I12" i="14"/>
  <c r="E12" i="14"/>
  <c r="D12" i="14"/>
  <c r="F12" i="14" s="1"/>
  <c r="A4" i="14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3" i="14"/>
  <c r="A2" i="14"/>
  <c r="L16" i="14" l="1"/>
  <c r="M16" i="14" s="1"/>
  <c r="L20" i="14"/>
  <c r="M20" i="14" s="1"/>
  <c r="S16" i="14"/>
  <c r="T16" i="14" s="1"/>
  <c r="L13" i="14"/>
  <c r="M13" i="14" s="1"/>
  <c r="L15" i="14"/>
  <c r="M15" i="14" s="1"/>
  <c r="H19" i="14"/>
  <c r="J19" i="14" s="1"/>
  <c r="L19" i="14" s="1"/>
  <c r="M19" i="14" s="1"/>
  <c r="O20" i="14"/>
  <c r="Q20" i="14" s="1"/>
  <c r="S20" i="14" s="1"/>
  <c r="T20" i="14" s="1"/>
  <c r="V21" i="14"/>
  <c r="X21" i="14" s="1"/>
  <c r="Z21" i="14" s="1"/>
  <c r="AA21" i="14" s="1"/>
  <c r="H14" i="14"/>
  <c r="J14" i="14" s="1"/>
  <c r="L14" i="14" s="1"/>
  <c r="M14" i="14" s="1"/>
  <c r="O15" i="14"/>
  <c r="Q15" i="14" s="1"/>
  <c r="S15" i="14" s="1"/>
  <c r="T15" i="14" s="1"/>
  <c r="V16" i="14"/>
  <c r="X16" i="14" s="1"/>
  <c r="Z16" i="14" s="1"/>
  <c r="AA16" i="14" s="1"/>
  <c r="O31" i="14"/>
  <c r="M38" i="14"/>
  <c r="P31" i="14"/>
  <c r="H23" i="14"/>
  <c r="J23" i="14" s="1"/>
  <c r="L23" i="14" s="1"/>
  <c r="M23" i="14" s="1"/>
  <c r="O24" i="14"/>
  <c r="Q24" i="14" s="1"/>
  <c r="S24" i="14" s="1"/>
  <c r="T24" i="14" s="1"/>
  <c r="V25" i="14"/>
  <c r="X25" i="14" s="1"/>
  <c r="Z25" i="14" s="1"/>
  <c r="AA25" i="14" s="1"/>
  <c r="M35" i="14"/>
  <c r="H18" i="14"/>
  <c r="J18" i="14" s="1"/>
  <c r="L18" i="14" s="1"/>
  <c r="M18" i="14" s="1"/>
  <c r="O19" i="14"/>
  <c r="Q19" i="14" s="1"/>
  <c r="S19" i="14" s="1"/>
  <c r="T19" i="14" s="1"/>
  <c r="V20" i="14"/>
  <c r="X20" i="14" s="1"/>
  <c r="Z20" i="14" s="1"/>
  <c r="AA20" i="14" s="1"/>
  <c r="O14" i="14"/>
  <c r="Q14" i="14" s="1"/>
  <c r="V15" i="14"/>
  <c r="X15" i="14" s="1"/>
  <c r="M32" i="14"/>
  <c r="H22" i="14"/>
  <c r="J22" i="14" s="1"/>
  <c r="L22" i="14" s="1"/>
  <c r="M22" i="14" s="1"/>
  <c r="O23" i="14"/>
  <c r="Q23" i="14" s="1"/>
  <c r="V24" i="14"/>
  <c r="X24" i="14" s="1"/>
  <c r="H17" i="14"/>
  <c r="J17" i="14" s="1"/>
  <c r="L17" i="14" s="1"/>
  <c r="M17" i="14" s="1"/>
  <c r="O18" i="14"/>
  <c r="Q18" i="14" s="1"/>
  <c r="V19" i="14"/>
  <c r="X19" i="14" s="1"/>
  <c r="H12" i="14"/>
  <c r="J12" i="14" s="1"/>
  <c r="L12" i="14" s="1"/>
  <c r="M12" i="14" s="1"/>
  <c r="O13" i="14"/>
  <c r="Q13" i="14" s="1"/>
  <c r="S13" i="14" s="1"/>
  <c r="T13" i="14" s="1"/>
  <c r="V14" i="14"/>
  <c r="X14" i="14" s="1"/>
  <c r="Z14" i="14" s="1"/>
  <c r="AA14" i="14" s="1"/>
  <c r="M57" i="14"/>
  <c r="O57" i="14"/>
  <c r="H21" i="14"/>
  <c r="J21" i="14" s="1"/>
  <c r="L21" i="14" s="1"/>
  <c r="M21" i="14" s="1"/>
  <c r="O22" i="14"/>
  <c r="Q22" i="14" s="1"/>
  <c r="S22" i="14" s="1"/>
  <c r="T22" i="14" s="1"/>
  <c r="V23" i="14"/>
  <c r="X23" i="14" s="1"/>
  <c r="Z23" i="14" s="1"/>
  <c r="AA23" i="14" s="1"/>
  <c r="O17" i="14"/>
  <c r="Q17" i="14" s="1"/>
  <c r="S17" i="14" s="1"/>
  <c r="T17" i="14" s="1"/>
  <c r="V18" i="14"/>
  <c r="X18" i="14" s="1"/>
  <c r="Z18" i="14" s="1"/>
  <c r="AA18" i="14" s="1"/>
  <c r="O12" i="14"/>
  <c r="Q12" i="14" s="1"/>
  <c r="S12" i="14" s="1"/>
  <c r="T12" i="14" s="1"/>
  <c r="V13" i="14"/>
  <c r="X13" i="14" s="1"/>
  <c r="Z13" i="14" s="1"/>
  <c r="AA13" i="14" s="1"/>
  <c r="J60" i="14"/>
  <c r="M30" i="14"/>
  <c r="L60" i="14"/>
  <c r="H25" i="14"/>
  <c r="J25" i="14" s="1"/>
  <c r="L25" i="14" s="1"/>
  <c r="M25" i="14" s="1"/>
  <c r="O30" i="14"/>
  <c r="V22" i="14"/>
  <c r="X22" i="14" s="1"/>
  <c r="I25" i="14"/>
  <c r="V17" i="14"/>
  <c r="X17" i="14" s="1"/>
  <c r="S18" i="14" l="1"/>
  <c r="T18" i="14" s="1"/>
  <c r="Z24" i="14"/>
  <c r="AA24" i="14" s="1"/>
  <c r="Z12" i="14"/>
  <c r="AA12" i="14" s="1"/>
  <c r="S23" i="14"/>
  <c r="T23" i="14" s="1"/>
  <c r="S21" i="14"/>
  <c r="T21" i="14" s="1"/>
  <c r="Z19" i="14"/>
  <c r="AA19" i="14" s="1"/>
  <c r="Z17" i="14"/>
  <c r="AA17" i="14" s="1"/>
  <c r="Z22" i="14"/>
  <c r="AA22" i="14" s="1"/>
  <c r="Z15" i="14"/>
  <c r="AA15" i="14" s="1"/>
  <c r="S25" i="14"/>
  <c r="T25" i="14" s="1"/>
  <c r="S14" i="14"/>
  <c r="T14" i="14" s="1"/>
  <c r="W21" i="1" l="1"/>
  <c r="W20" i="1"/>
  <c r="W19" i="1"/>
  <c r="W18" i="1"/>
  <c r="W17" i="1"/>
  <c r="W16" i="1"/>
  <c r="W15" i="1"/>
  <c r="W14" i="1"/>
  <c r="W13" i="1"/>
  <c r="W12" i="1"/>
  <c r="W11" i="1"/>
  <c r="W10" i="1"/>
  <c r="P24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K14" i="1"/>
  <c r="L14" i="1" s="1"/>
  <c r="M14" i="1"/>
  <c r="N14" i="1"/>
  <c r="O14" i="1"/>
  <c r="P14" i="1"/>
  <c r="Q14" i="1"/>
  <c r="R14" i="1"/>
  <c r="R21" i="1"/>
  <c r="Q21" i="1"/>
  <c r="P21" i="1"/>
  <c r="O21" i="1"/>
  <c r="R20" i="1"/>
  <c r="Q20" i="1"/>
  <c r="P20" i="1"/>
  <c r="O20" i="1"/>
  <c r="R19" i="1"/>
  <c r="Q19" i="1"/>
  <c r="P19" i="1"/>
  <c r="O19" i="1"/>
  <c r="R18" i="1"/>
  <c r="Q18" i="1"/>
  <c r="P18" i="1"/>
  <c r="O18" i="1"/>
  <c r="R17" i="1"/>
  <c r="Q17" i="1"/>
  <c r="P17" i="1"/>
  <c r="O17" i="1"/>
  <c r="R16" i="1"/>
  <c r="Q16" i="1"/>
  <c r="P16" i="1"/>
  <c r="O16" i="1"/>
  <c r="R15" i="1"/>
  <c r="Q15" i="1"/>
  <c r="P15" i="1"/>
  <c r="O15" i="1"/>
  <c r="R13" i="1"/>
  <c r="Q13" i="1"/>
  <c r="P13" i="1"/>
  <c r="O13" i="1"/>
  <c r="R12" i="1"/>
  <c r="Q12" i="1"/>
  <c r="P12" i="1"/>
  <c r="O12" i="1"/>
  <c r="R11" i="1"/>
  <c r="Q11" i="1"/>
  <c r="P11" i="1"/>
  <c r="O11" i="1"/>
  <c r="R10" i="1"/>
  <c r="R23" i="10"/>
  <c r="R22" i="10"/>
  <c r="R21" i="10"/>
  <c r="R20" i="10"/>
  <c r="R19" i="10"/>
  <c r="R18" i="10"/>
  <c r="R17" i="10"/>
  <c r="R16" i="10"/>
  <c r="R15" i="10"/>
  <c r="R14" i="10"/>
  <c r="R13" i="10"/>
  <c r="R12" i="10"/>
  <c r="Q10" i="1"/>
  <c r="P10" i="1"/>
  <c r="O10" i="1"/>
  <c r="S9" i="1"/>
  <c r="S8" i="1"/>
  <c r="S7" i="1"/>
  <c r="S6" i="1"/>
  <c r="S5" i="1"/>
  <c r="S4" i="1"/>
  <c r="S3" i="1"/>
  <c r="M23" i="10"/>
  <c r="N21" i="1" s="1"/>
  <c r="M22" i="10"/>
  <c r="N20" i="1" s="1"/>
  <c r="M21" i="10"/>
  <c r="N19" i="1" s="1"/>
  <c r="M20" i="10"/>
  <c r="N18" i="1" s="1"/>
  <c r="M19" i="10"/>
  <c r="N17" i="1" s="1"/>
  <c r="M18" i="10"/>
  <c r="N16" i="1" s="1"/>
  <c r="M17" i="10"/>
  <c r="N15" i="1" s="1"/>
  <c r="M16" i="10"/>
  <c r="M15" i="10"/>
  <c r="N13" i="1" s="1"/>
  <c r="M14" i="10"/>
  <c r="N12" i="1" s="1"/>
  <c r="M13" i="10"/>
  <c r="N11" i="1" s="1"/>
  <c r="M12" i="10"/>
  <c r="N10" i="1" s="1"/>
  <c r="M11" i="10"/>
  <c r="N9" i="1" s="1"/>
  <c r="M10" i="10"/>
  <c r="N8" i="1" s="1"/>
  <c r="M9" i="10"/>
  <c r="N7" i="1" s="1"/>
  <c r="M8" i="10"/>
  <c r="N6" i="1" s="1"/>
  <c r="M7" i="10"/>
  <c r="N5" i="1" s="1"/>
  <c r="M6" i="10"/>
  <c r="N4" i="1" s="1"/>
  <c r="M5" i="10"/>
  <c r="N3" i="1" s="1"/>
  <c r="M21" i="1"/>
  <c r="K21" i="1"/>
  <c r="L21" i="1" s="1"/>
  <c r="M20" i="1"/>
  <c r="K20" i="1"/>
  <c r="L20" i="1" s="1"/>
  <c r="M19" i="1"/>
  <c r="K19" i="1"/>
  <c r="L19" i="1" s="1"/>
  <c r="M18" i="1"/>
  <c r="K18" i="1"/>
  <c r="L18" i="1" s="1"/>
  <c r="M17" i="1"/>
  <c r="K17" i="1"/>
  <c r="L17" i="1" s="1"/>
  <c r="M16" i="1"/>
  <c r="K16" i="1"/>
  <c r="L16" i="1" s="1"/>
  <c r="M15" i="1"/>
  <c r="K15" i="1"/>
  <c r="L15" i="1" s="1"/>
  <c r="M13" i="1"/>
  <c r="K13" i="1"/>
  <c r="L13" i="1" s="1"/>
  <c r="M12" i="1"/>
  <c r="K12" i="1"/>
  <c r="L12" i="1" s="1"/>
  <c r="M11" i="1"/>
  <c r="K11" i="1"/>
  <c r="L11" i="1" s="1"/>
  <c r="M10" i="1"/>
  <c r="K10" i="1"/>
  <c r="L10" i="1" s="1"/>
  <c r="M9" i="1"/>
  <c r="K9" i="1"/>
  <c r="L9" i="1" s="1"/>
  <c r="M8" i="1"/>
  <c r="K8" i="1"/>
  <c r="L8" i="1" s="1"/>
  <c r="M7" i="1"/>
  <c r="K7" i="1"/>
  <c r="L7" i="1" s="1"/>
  <c r="M6" i="1"/>
  <c r="K6" i="1"/>
  <c r="L6" i="1" s="1"/>
  <c r="M5" i="1"/>
  <c r="K5" i="1"/>
  <c r="L5" i="1" s="1"/>
  <c r="M4" i="1"/>
  <c r="K4" i="1"/>
  <c r="L4" i="1" s="1"/>
  <c r="M3" i="1"/>
  <c r="K3" i="1"/>
  <c r="L3" i="1" s="1"/>
  <c r="AL22" i="10"/>
  <c r="AK22" i="10"/>
  <c r="AJ22" i="10"/>
  <c r="AL21" i="10"/>
  <c r="AK21" i="10"/>
  <c r="AJ21" i="10"/>
  <c r="AL20" i="10"/>
  <c r="AK20" i="10"/>
  <c r="AJ20" i="10"/>
  <c r="AL19" i="10"/>
  <c r="AK19" i="10"/>
  <c r="AJ19" i="10"/>
  <c r="AL18" i="10"/>
  <c r="AK18" i="10"/>
  <c r="AJ18" i="10"/>
  <c r="AL17" i="10"/>
  <c r="AK17" i="10"/>
  <c r="AJ17" i="10"/>
  <c r="AL16" i="10"/>
  <c r="AK16" i="10"/>
  <c r="AJ16" i="10"/>
  <c r="AL15" i="10"/>
  <c r="AK15" i="10"/>
  <c r="AJ15" i="10"/>
  <c r="AL14" i="10"/>
  <c r="AK14" i="10"/>
  <c r="AJ14" i="10"/>
  <c r="AL13" i="10"/>
  <c r="AK13" i="10"/>
  <c r="AJ13" i="10"/>
  <c r="AL12" i="10"/>
  <c r="AK12" i="10"/>
  <c r="AJ12" i="10"/>
  <c r="AK23" i="10"/>
  <c r="AL23" i="10"/>
  <c r="AJ23" i="10"/>
  <c r="L11" i="10"/>
  <c r="L10" i="10"/>
  <c r="K10" i="10"/>
  <c r="L9" i="10"/>
  <c r="K9" i="10"/>
  <c r="L8" i="10"/>
  <c r="K8" i="10"/>
  <c r="L7" i="10"/>
  <c r="K7" i="10"/>
  <c r="L6" i="10"/>
  <c r="K6" i="10"/>
  <c r="L5" i="10"/>
  <c r="K5" i="10"/>
  <c r="B6" i="10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D4" i="9"/>
  <c r="C5" i="9"/>
  <c r="D5" i="9" s="1"/>
  <c r="T14" i="1" l="1"/>
  <c r="U14" i="1"/>
  <c r="U20" i="1"/>
  <c r="U18" i="1"/>
  <c r="U13" i="1"/>
  <c r="U12" i="1"/>
  <c r="U16" i="1"/>
  <c r="U21" i="1"/>
  <c r="U10" i="1"/>
  <c r="U11" i="1"/>
  <c r="U15" i="1"/>
  <c r="U17" i="1"/>
  <c r="U19" i="1"/>
  <c r="T18" i="1"/>
  <c r="T20" i="1"/>
  <c r="T11" i="1"/>
  <c r="T15" i="1"/>
  <c r="T16" i="1"/>
  <c r="T10" i="1"/>
  <c r="T12" i="1"/>
  <c r="T13" i="1"/>
  <c r="T17" i="1"/>
  <c r="T19" i="1"/>
  <c r="T21" i="1"/>
  <c r="T5" i="1"/>
  <c r="T4" i="1"/>
  <c r="T3" i="1"/>
  <c r="T7" i="1"/>
  <c r="T8" i="1"/>
  <c r="T9" i="1"/>
  <c r="T6" i="1"/>
  <c r="C6" i="9"/>
  <c r="D6" i="9" s="1"/>
  <c r="C7" i="9" l="1"/>
  <c r="D7" i="9" s="1"/>
  <c r="C8" i="9" l="1"/>
  <c r="D8" i="9" s="1"/>
  <c r="C9" i="9" l="1"/>
  <c r="D9" i="9" s="1"/>
  <c r="C10" i="9" l="1"/>
  <c r="D10" i="9" s="1"/>
  <c r="C11" i="9" l="1"/>
  <c r="D11" i="9" s="1"/>
  <c r="C12" i="9" l="1"/>
  <c r="D12" i="9" s="1"/>
  <c r="C13" i="9" l="1"/>
  <c r="D13" i="9" s="1"/>
  <c r="C14" i="9" l="1"/>
  <c r="D14" i="9" s="1"/>
  <c r="C15" i="9" l="1"/>
  <c r="D15" i="9" s="1"/>
  <c r="C16" i="9" l="1"/>
  <c r="D16" i="9" s="1"/>
  <c r="C17" i="9" l="1"/>
  <c r="D17" i="9" s="1"/>
  <c r="C18" i="9" l="1"/>
  <c r="D18" i="9" s="1"/>
  <c r="C19" i="9" l="1"/>
  <c r="D19" i="9" s="1"/>
  <c r="C20" i="9" l="1"/>
  <c r="D20" i="9" s="1"/>
  <c r="C21" i="9" l="1"/>
  <c r="D21" i="9" s="1"/>
  <c r="C22" i="9" l="1"/>
  <c r="D22" i="9" s="1"/>
  <c r="B18" i="7" l="1"/>
  <c r="B4" i="7"/>
  <c r="D4" i="7" s="1"/>
  <c r="B2" i="7"/>
  <c r="B3" i="7"/>
  <c r="C10" i="5"/>
  <c r="F8" i="1"/>
  <c r="F7" i="1"/>
  <c r="F12" i="1"/>
  <c r="F6" i="1"/>
  <c r="F5" i="1"/>
  <c r="F13" i="1"/>
  <c r="E11" i="1"/>
  <c r="D11" i="1"/>
  <c r="C11" i="1"/>
  <c r="B11" i="1"/>
  <c r="D10" i="1"/>
  <c r="B9" i="1"/>
  <c r="B10" i="1" s="1"/>
  <c r="C9" i="1"/>
  <c r="C10" i="1" s="1"/>
  <c r="E9" i="1"/>
  <c r="B74" i="1"/>
  <c r="C3" i="7" l="1"/>
  <c r="D3" i="7"/>
  <c r="C2" i="7"/>
  <c r="D2" i="7"/>
  <c r="B10" i="7" s="1"/>
  <c r="C9" i="7"/>
  <c r="C10" i="7"/>
  <c r="E10" i="1"/>
  <c r="F9" i="1"/>
  <c r="F11" i="1"/>
  <c r="D10" i="7" l="1"/>
  <c r="B8" i="7"/>
  <c r="D8" i="7" s="1"/>
  <c r="B9" i="7"/>
  <c r="D9" i="7" s="1"/>
  <c r="C4" i="7"/>
</calcChain>
</file>

<file path=xl/sharedStrings.xml><?xml version="1.0" encoding="utf-8"?>
<sst xmlns="http://schemas.openxmlformats.org/spreadsheetml/2006/main" count="1721" uniqueCount="528">
  <si>
    <t>Boston Gas Summary from detail pages (R3)</t>
  </si>
  <si>
    <t>Date</t>
  </si>
  <si>
    <t>Alpha Date</t>
  </si>
  <si>
    <t>Gas Supply</t>
  </si>
  <si>
    <t>Base Distribution</t>
  </si>
  <si>
    <t>Energy Efficiency</t>
  </si>
  <si>
    <t>Low Income Assistance</t>
  </si>
  <si>
    <t>Gas System Enhancement</t>
  </si>
  <si>
    <t>All other Policy</t>
  </si>
  <si>
    <t>All policy charges (bulk)*</t>
  </si>
  <si>
    <t>Total</t>
  </si>
  <si>
    <t>Check sum Ex GAF</t>
  </si>
  <si>
    <t>Indexed Total</t>
  </si>
  <si>
    <t>National Grid, Jan 24</t>
  </si>
  <si>
    <t>National Grid, Jan 25</t>
  </si>
  <si>
    <t>Eversource, Jan 24</t>
  </si>
  <si>
    <t>Eversource, Jan 25</t>
  </si>
  <si>
    <t>Low income assistance</t>
  </si>
  <si>
    <t>Gas system enhancement</t>
  </si>
  <si>
    <t>EE%</t>
  </si>
  <si>
    <t>All other policy</t>
  </si>
  <si>
    <t>Total per therm</t>
  </si>
  <si>
    <t>Local Delivery Adjustment Factor</t>
  </si>
  <si>
    <t>Customer Minimum</t>
  </si>
  <si>
    <t>GAF and LDAF Rates</t>
  </si>
  <si>
    <t>https://www.mass.gov/info-details/information-on-gas-supply-and-delivery-charges#peak/winter-2024-2025-rates-revision-2-(effective-2/1/25-through-4/30/25)-</t>
  </si>
  <si>
    <t>Note that there is a jump in NSTAR rate in 2/1/2025</t>
  </si>
  <si>
    <t>Break out of LDAC as of January 1, 2025</t>
  </si>
  <si>
    <t>https://fileservice.eea.comacloud.net/FileService.Api/file/FileRoom/19880973</t>
  </si>
  <si>
    <t>Correspondence from Ryan Earle</t>
  </si>
  <si>
    <t>note that uses .7920 for 11/1 gas supply rate, not consistent with DPU page, but LDAF Is closer at .8755</t>
  </si>
  <si>
    <t>This is consistent with January 1, 2025 rate sheet downloaded on Feb 28 from: https://www.eversource.com/content/docs/default-source/rates-tariffs/summary-rates-gas.pdf</t>
  </si>
  <si>
    <t>Inflationary increase, Jan 2016 to Jan 2015</t>
  </si>
  <si>
    <t>https://www.bls.gov/data/inflation_calculator.htm</t>
  </si>
  <si>
    <t>From National Grid Online Rate page</t>
  </si>
  <si>
    <t>Inflation adjusted increase</t>
  </si>
  <si>
    <t>https://www.nationalgridus.com/MA-Gas-Home/Service-Rates/</t>
  </si>
  <si>
    <t>Delivery Service rates from Ngrid Service Rates Page (R-3B, Boston Gas basic undiscounted heating rate).</t>
  </si>
  <si>
    <t>https://www.nationalgridus.com/media/pdfs/billing-payments/gas-rates/mag/2024/ma-gas-rate-summary-11-24-service-rates.pdf</t>
  </si>
  <si>
    <t>https://www.nationalgridus.com/media/pdfs/billing-payments/gas-rates/mag/2023/ma_gas_rate_summary_11-23_-_service_rates.pdf</t>
  </si>
  <si>
    <t>https://www.nationalgridus.com/media/pdfs/billing-payments/gas-rates/mag/2022/november_1_2022_service_rates.pdf</t>
  </si>
  <si>
    <t>From National Grid Online Gas rate download, same as spreadsheet from DPU</t>
  </si>
  <si>
    <t>NSTAR LDAC Information filing</t>
  </si>
  <si>
    <t>From 2023 Informational filing</t>
  </si>
  <si>
    <t>Total for fully gas home with boiler</t>
  </si>
  <si>
    <t>Extracting from the source to the right, the offpeak and peak rates for residential</t>
  </si>
  <si>
    <t xml:space="preserve">National Grid Boston Gas, Gas Adjustment Factor </t>
  </si>
  <si>
    <t>Downloaded on March 2, 2025 from https://www.nationalgridus.com/MA-Gas-Home/Supply-Costs/</t>
  </si>
  <si>
    <t>Effective Date</t>
  </si>
  <si>
    <t>GAF Residential</t>
  </si>
  <si>
    <t>GAF in effect</t>
  </si>
  <si>
    <t>https://www.nationalgridus.com/media/pdfs/billing-payments/gas-rates/mag/mag-gas-adjustment-factors.pdf</t>
  </si>
  <si>
    <t>Note,apparent typo in rate schedule, 12/1/22 to 1/31/22 should say 1/13/23</t>
  </si>
  <si>
    <t>All</t>
  </si>
  <si>
    <t>G-44B</t>
  </si>
  <si>
    <t>G-17C</t>
  </si>
  <si>
    <t>Boston</t>
  </si>
  <si>
    <t>Division</t>
  </si>
  <si>
    <t>Colonial</t>
  </si>
  <si>
    <t>Effective</t>
  </si>
  <si>
    <t>G-17B</t>
  </si>
  <si>
    <t>G-7B</t>
  </si>
  <si>
    <t>-</t>
  </si>
  <si>
    <t>Gas</t>
  </si>
  <si>
    <t>Adjustment</t>
  </si>
  <si>
    <t>Downloads for each period from: https://www.nationalgridus.com/MA-Gas-Home/Service-Rates/</t>
  </si>
  <si>
    <t>R3 Boston Gas</t>
  </si>
  <si>
    <t>Distribution Charge</t>
  </si>
  <si>
    <t>Total First</t>
  </si>
  <si>
    <t>Check sum</t>
  </si>
  <si>
    <t>Rate sheet date</t>
  </si>
  <si>
    <t>As of</t>
  </si>
  <si>
    <t>Customer Charge</t>
  </si>
  <si>
    <t>Breakpoint</t>
  </si>
  <si>
    <t>First</t>
  </si>
  <si>
    <t>Rest</t>
  </si>
  <si>
    <t>CGA</t>
  </si>
  <si>
    <t>LDAC</t>
  </si>
  <si>
    <t>Total Rest</t>
  </si>
  <si>
    <t>Distribution using "Rest" if not zero, else full base</t>
  </si>
  <si>
    <t>Base Distribution Charge</t>
  </si>
  <si>
    <t>RDM Adjmt Factor</t>
  </si>
  <si>
    <t>Tax Refund</t>
  </si>
  <si>
    <t>Base Distribution Rate</t>
  </si>
  <si>
    <t>All LDAF ex EES, GSEP, Resi Assist</t>
  </si>
  <si>
    <t>Remediation Adjmt Factor</t>
  </si>
  <si>
    <t>Energy Efficiency Surcharge</t>
  </si>
  <si>
    <t>Broker Imbal. Penalty Credit</t>
  </si>
  <si>
    <t>SQI Penalty Factor</t>
  </si>
  <si>
    <t>AG Consult Expense Factor</t>
  </si>
  <si>
    <t>Pension &amp; PBOP Factor</t>
  </si>
  <si>
    <t>Resi Assist Adjmt Factor</t>
  </si>
  <si>
    <t>Targeted Infr. Reinvestment Factor</t>
  </si>
  <si>
    <t>Gas System Enhancement Program Factor</t>
  </si>
  <si>
    <t>Gas System Enhancement Recon Factor</t>
  </si>
  <si>
    <t>Gas Business Enablement Factor</t>
  </si>
  <si>
    <t>Tax Credit Recon Factor</t>
  </si>
  <si>
    <t>Exogenous Cost Adjust Factor</t>
  </si>
  <si>
    <t>Electronic Payment Rercovery Factor</t>
  </si>
  <si>
    <t>System Supply Factor</t>
  </si>
  <si>
    <t>Total LDAF Charg</t>
  </si>
  <si>
    <t>Total Retail Delivery Price Exlcuding Commodity</t>
  </si>
  <si>
    <t>Check Sum Base Dist</t>
  </si>
  <si>
    <t>Check Sum LDAF</t>
  </si>
  <si>
    <t>Check Sum Total</t>
  </si>
  <si>
    <t>May 1, 2016</t>
  </si>
  <si>
    <t>23-pgaf-nstar</t>
  </si>
  <si>
    <t>https://fileservice.eea.comacloud.net/FileService.Api/file/FileRoom/18195606</t>
  </si>
  <si>
    <t>NSTAR Gas Company</t>
  </si>
  <si>
    <t>d/b/a Eversource Energy</t>
  </si>
  <si>
    <t>Local Distribution Adjustment Clause (LDAC)</t>
  </si>
  <si>
    <t>Summary of Local Distribution Adjustment Clause Factors</t>
  </si>
  <si>
    <t>Effective November 1, 2023</t>
  </si>
  <si>
    <t>Line</t>
  </si>
  <si>
    <t>Residential</t>
  </si>
  <si>
    <t>Small C&amp;I</t>
  </si>
  <si>
    <t>Medium C&amp;I</t>
  </si>
  <si>
    <t>Large C&amp;I</t>
  </si>
  <si>
    <t>No.</t>
  </si>
  <si>
    <t>LDAC Rate Component</t>
  </si>
  <si>
    <t>R-1/R-2/R-3/R-4</t>
  </si>
  <si>
    <t>G-41/G-51</t>
  </si>
  <si>
    <t>G-42/G-52</t>
  </si>
  <si>
    <t>G-43/G-53</t>
  </si>
  <si>
    <t>Reference</t>
  </si>
  <si>
    <t>EES =</t>
  </si>
  <si>
    <t xml:space="preserve">Energy Efficiency Surcharge </t>
  </si>
  <si>
    <t>Section III - Schedule C</t>
  </si>
  <si>
    <t>RAF =</t>
  </si>
  <si>
    <t xml:space="preserve">Remediation Adjustment Factor </t>
  </si>
  <si>
    <t xml:space="preserve">Section II, Page 1 </t>
  </si>
  <si>
    <t>PAF=</t>
  </si>
  <si>
    <t xml:space="preserve">Pension/PBOP Factor </t>
  </si>
  <si>
    <t>Approved in D.P.U. 22-145, effective January 1, 2022</t>
  </si>
  <si>
    <t>RAAF=</t>
  </si>
  <si>
    <t xml:space="preserve">Residential Assistance Adjustment Factor </t>
  </si>
  <si>
    <t>Section II, Page 3</t>
  </si>
  <si>
    <t>GSEAF=</t>
  </si>
  <si>
    <t>Gas System Enhancement Adjustment Factor</t>
  </si>
  <si>
    <t>Approved in D.P.U. 22-GSEP-06, effective May 1, 2023</t>
  </si>
  <si>
    <t>GSERAF=</t>
  </si>
  <si>
    <t>Gas System Enhancement Reconciliation Adjustment Factor</t>
  </si>
  <si>
    <t>Per Order D.P.U. 23-GREC-06, October 31, 2023</t>
  </si>
  <si>
    <t>AGCE=</t>
  </si>
  <si>
    <t xml:space="preserve">Attorney General Consultant Expenses </t>
  </si>
  <si>
    <t>Section II, Page 2</t>
  </si>
  <si>
    <t>SQPF=</t>
  </si>
  <si>
    <t>Service Quality Penalty Factor</t>
  </si>
  <si>
    <t>N/A</t>
  </si>
  <si>
    <t>BPC=</t>
  </si>
  <si>
    <t xml:space="preserve">Balancing Penalty Credit </t>
  </si>
  <si>
    <t>NFC=</t>
  </si>
  <si>
    <t xml:space="preserve">Non-Firm Margin Credit </t>
  </si>
  <si>
    <t>TACF=</t>
  </si>
  <si>
    <t>Tax Act Credit Factor</t>
  </si>
  <si>
    <t>Section II, Page 4</t>
  </si>
  <si>
    <t>GEP=</t>
  </si>
  <si>
    <t>Geothermal Energy Provision</t>
  </si>
  <si>
    <t>Section II, Page 5</t>
  </si>
  <si>
    <t>LDAF=</t>
  </si>
  <si>
    <t xml:space="preserve">Total Local Distribution Adjustment Factor </t>
  </si>
  <si>
    <t>Sum of Line 1 through Line 12</t>
  </si>
  <si>
    <t/>
  </si>
  <si>
    <t>GAF</t>
  </si>
  <si>
    <t>Off Peak GAF</t>
  </si>
  <si>
    <t>Approved in D.P.U. 23-OGAF-NSTAR(Interim Rev2), effective August 1, 2023</t>
  </si>
  <si>
    <t>RDM</t>
  </si>
  <si>
    <t>Peak Revenue Decoupling Mechanism</t>
  </si>
  <si>
    <t>D.P.U. 23-69 NSTAR Gas RDM, Filed August 1, 2023</t>
  </si>
  <si>
    <t>Total Peak Rate</t>
  </si>
  <si>
    <t>Line Notes</t>
  </si>
  <si>
    <t>Remediation Adjustment Clause filed on July 31, 2023 in D.P.U. 23-PGAF-NSTAR(RAC)</t>
  </si>
  <si>
    <t>Pension/PBOP Factor filed on November 30, 2022 in D.P.U. 22-145 and approved on December 16, 2022</t>
  </si>
  <si>
    <t>Residential Assistance Adjustment Factor filed on August 3, 2023 in D.P.U. 23-PGAF-NSTAR(RAAF)</t>
  </si>
  <si>
    <t>Gas System Enhancement Adjustment Factor Compliance filed on October 31, 2022 in D.P.U. 22-GSEP-06 and approved on April 28, 2023, for rates effective May 1, 2023</t>
  </si>
  <si>
    <t>Gas System Enhancement Reconciliation Adjustment Factor filed on May 2, 2023 in D.P.U. 22-GREC-06, Exhibit ES-ANB-1, Sch 25 and approved on October 31, 2023, for rates effective November 1, 2023</t>
  </si>
  <si>
    <t>Effective March 1, 2025</t>
  </si>
  <si>
    <t>R-1/R-2</t>
  </si>
  <si>
    <t>R-3/R-4</t>
  </si>
  <si>
    <t>Energy Efficiency Surcharge (Revision2) (02.24.2025)</t>
  </si>
  <si>
    <t>Filed in D.P.U. 24-PGAF-NSTAR (LDAC) (Revision2) on February 24, 2025 effective March 1, 2025</t>
  </si>
  <si>
    <t>Approved in D.P.U. 24-183, effective January 1, 2025</t>
  </si>
  <si>
    <t xml:space="preserve">Approved in D.P.U. 23-GSEP-06, effective May 1, 2024 </t>
  </si>
  <si>
    <t>Per Order D.P.U. 24-GREC-06, approved on October 31, 2024 effective November 1, 2024</t>
  </si>
  <si>
    <t>SSF=</t>
  </si>
  <si>
    <t>System Supply Factor (Corrected)</t>
  </si>
  <si>
    <t xml:space="preserve">EPRF= </t>
  </si>
  <si>
    <t>Electronic Payment Recovery Factor</t>
  </si>
  <si>
    <t>D.P.U. 24-115 NSTAR Gas EPRF, approved on October 30, 2024 efficteive November 1, 2024.</t>
  </si>
  <si>
    <t>Sum of Line 1 through Line 14</t>
  </si>
  <si>
    <t>Peak GAF</t>
  </si>
  <si>
    <t>Approved in D.P.U. 24-PGAF-NSTAR (Interim Rev1), on January 23, 2025 effective February 1, 2025</t>
  </si>
  <si>
    <t>Approved in D.P.U. 24-112 NSTAR Gas RDM on October 29, 2024, effective November 1, 2024</t>
  </si>
  <si>
    <t xml:space="preserve">New residential rates are designed to achieve 10% reduction in March and April average residential customer bill impacts.  </t>
  </si>
  <si>
    <t>Pension/PBOP Factor filed on November 27,2024 in D.P.U. 24-183 and approved on December 24, 2024</t>
  </si>
  <si>
    <t>Residential Assistance Adjustment Factor filed on August 2, 2024 in D.P.U. 24-PGAF-NSTAR(RAAF)</t>
  </si>
  <si>
    <t>Gas System Enhancement Adjustment Factor Compliance filed on October 31, 2023 and Revised on December 15, 2023 in D.P.U. 23-GSEP-06 and approved on April 30, 2024, for rates effective May 1, 2024</t>
  </si>
  <si>
    <t>Gas System Enhancement Reconciliation Adjustment Factor filed on May 1, 2024 in D.P.U. 24-GREC-06, Exhibit ES-ANB-1, Sch. 9 and approved on October 31, 2024, for rates effective November 1, 2024</t>
  </si>
  <si>
    <t>System Supply Factor (Corrected) filed in DPU 24-PGAF-NSTAR LDAC (Corrected) on November 13, 2024 and approved on November 29, 2024.</t>
  </si>
  <si>
    <t>https://eeaonline.eea.state.ma.us/DPU/Fileroom/dockets/bynumber/24-PGAF-NSTAR</t>
  </si>
  <si>
    <t>https://fileservice.eea.comacloud.net/FileService.Api/file/FileRoom/19880974</t>
  </si>
  <si>
    <t>Gas Adjustment Filing</t>
  </si>
  <si>
    <t>NSTAR Gas Company d/b/a Eversource Energy</t>
  </si>
  <si>
    <t>24-PGAF-NSTAR</t>
  </si>
  <si>
    <t>Effective January 1, 2025</t>
  </si>
  <si>
    <t>Energy Efficiency Surcharge Scenerio 2</t>
  </si>
  <si>
    <t>Section III - Schedule C Scenerio 2</t>
  </si>
  <si>
    <t>Approved in D.P.U. 24-PGAF-NSTAR, on october 30,2024, effective November 1, 2024</t>
  </si>
  <si>
    <t xml:space="preserve">The most recent Three-Year Plan budget scenerio 2 for program year 2025 to be filed October 31,2024 under D.P.U. 24-145. Company may revise its propsed EES up to seven business days prior to November 1, 2024 per HO Memo dated June 1, 2024. </t>
  </si>
  <si>
    <t>The adjusted rate is to reverse the November expense based on an allocation and create an effective uniform rate across all rate classes.</t>
  </si>
  <si>
    <t>https://www.eversource.com/content/residential/account-billing/manage-bill/about-your-bill/rates-tariffs/electric-delivery-rates/electric-delivery-rates-archive</t>
  </si>
  <si>
    <t>SUMMARY OF ELECTRIC SERVICE DELIVERY RATES</t>
  </si>
  <si>
    <t>Vew November 24 filing</t>
  </si>
  <si>
    <t>R-1 Residential (not space heating)</t>
  </si>
  <si>
    <r>
      <t>Distribution Energy Charge</t>
    </r>
    <r>
      <rPr>
        <sz val="12"/>
        <color theme="1"/>
        <rFont val="Segoe UI"/>
        <family val="2"/>
      </rPr>
      <t>**</t>
    </r>
  </si>
  <si>
    <t>Boston/Camb</t>
  </si>
  <si>
    <t>Transmission Charge</t>
  </si>
  <si>
    <r>
      <t>Energy Efficiency Charge </t>
    </r>
    <r>
      <rPr>
        <sz val="12"/>
        <color theme="1"/>
        <rFont val="Segoe UI"/>
        <family val="2"/>
      </rPr>
      <t>(Greater Boston, Cambridge and South Shore only)***</t>
    </r>
  </si>
  <si>
    <t>Distribution</t>
  </si>
  <si>
    <t>Net Metering Recovery Surcharge</t>
  </si>
  <si>
    <t>Transmission</t>
  </si>
  <si>
    <t>Distributed Solar Charge</t>
  </si>
  <si>
    <t>Electric Vehicle Program Factor</t>
  </si>
  <si>
    <t>Other charges</t>
  </si>
  <si>
    <t>Renewable Energy Charge</t>
  </si>
  <si>
    <t>Total Delivery Service</t>
  </si>
  <si>
    <t>Revenue Decoupling Charge</t>
  </si>
  <si>
    <t>Transition Energy Charge</t>
  </si>
  <si>
    <t>November 1, 2024 effective</t>
  </si>
  <si>
    <t>https://www.eversource.com/content/residential/account-billing/manage-bill/about-your-bill/rates-tariffs/summary-of-electric-rates</t>
  </si>
  <si>
    <t>Latest, Effective January 1</t>
  </si>
  <si>
    <t>https://www.eversource.com/content/residential/account-billing/manage-bill/about-your-bill/rates-tariffs/electric-tariffs-rules</t>
  </si>
  <si>
    <t>https://www.mass.gov/info-details/rate-cases-electric-companies</t>
  </si>
  <si>
    <t>January 2025 Efficiency Charges</t>
  </si>
  <si>
    <t>Annual from usage study</t>
  </si>
  <si>
    <t>Annual from Bill Impacts</t>
  </si>
  <si>
    <t>Eversource N-Star Gas per therm</t>
  </si>
  <si>
    <t>National Grid Boston per therm</t>
  </si>
  <si>
    <t>Eversource east per kwh</t>
  </si>
  <si>
    <t>Gas Energy Efficiency Charge</t>
  </si>
  <si>
    <t>Electric Energy Efficiency Charge</t>
  </si>
  <si>
    <t>Total Mass Save</t>
  </si>
  <si>
    <t>Belmont Gas Customer</t>
  </si>
  <si>
    <t>Boston or Watertown Gas Customer</t>
  </si>
  <si>
    <t>Cambridge Gas Customer</t>
  </si>
  <si>
    <t>From Phase 7, Table 2.5, Annual Demand per home, therms/yr</t>
  </si>
  <si>
    <t>Gas Boiler</t>
  </si>
  <si>
    <t>Use from Bill Impact Analysis</t>
  </si>
  <si>
    <t>Furnace</t>
  </si>
  <si>
    <t>NGrid R3</t>
  </si>
  <si>
    <t>Water heater</t>
  </si>
  <si>
    <t>Eversource R3</t>
  </si>
  <si>
    <t>Clothes Dryers</t>
  </si>
  <si>
    <t>Round to 900</t>
  </si>
  <si>
    <t>All other</t>
  </si>
  <si>
    <t>Assume Boiler and use all other</t>
  </si>
  <si>
    <t xml:space="preserve">This is a little above 12 month </t>
  </si>
  <si>
    <t xml:space="preserve">Table 2 </t>
  </si>
  <si>
    <t>Room air conditioner</t>
  </si>
  <si>
    <t>Boiler Distribution</t>
  </si>
  <si>
    <t>Water heater natural gas</t>
  </si>
  <si>
    <t>Alt a</t>
  </si>
  <si>
    <t>Primary Fridge</t>
  </si>
  <si>
    <t>Clothes dryer Elec</t>
  </si>
  <si>
    <t>Dishwasher</t>
  </si>
  <si>
    <t>Primary TV</t>
  </si>
  <si>
    <t>Secondary TVB</t>
  </si>
  <si>
    <t>OMITTING LIGHTING AND ALL OTHER, GET</t>
  </si>
  <si>
    <t>Eversource Elect R1</t>
  </si>
  <si>
    <t>Historical EE; see also projected in BillImpacts tabs</t>
  </si>
  <si>
    <t>R1 Total EEC, Bost</t>
  </si>
  <si>
    <t>Jan 1 2023</t>
  </si>
  <si>
    <t>Apr 1 2023</t>
  </si>
  <si>
    <t>Jly 1 2023</t>
  </si>
  <si>
    <t>October 1 2023</t>
  </si>
  <si>
    <t>Jan 1 2024</t>
  </si>
  <si>
    <t>May 1 2024</t>
  </si>
  <si>
    <t>July 12024</t>
  </si>
  <si>
    <t>Aug1 2024</t>
  </si>
  <si>
    <t>Jan 1 2025</t>
  </si>
  <si>
    <t>National Grid Rates, R3B</t>
  </si>
  <si>
    <t>LDAC Unchanged as of Feb 1 rate</t>
  </si>
  <si>
    <t>Residential Building Use and Equipment Characterization Study, Phase 7</t>
  </si>
  <si>
    <t> </t>
  </si>
  <si>
    <t>From DPU File Room</t>
  </si>
  <si>
    <t>https://fileservice.eea.comacloud.net/FileService.Api/file/FileRoom/19842279</t>
  </si>
  <si>
    <t>Docket 24-144</t>
  </si>
  <si>
    <t>https://fileservice.eea.comacloud.net/FileService.Api/file/FileRoom/19842280</t>
  </si>
  <si>
    <t>Bill Impact Scenarios (comparison sets), filed 10/31</t>
  </si>
  <si>
    <t>https://fileservice.eea.comacloud.net/FileService.Api/file/FileRoom/19842278</t>
  </si>
  <si>
    <t>National Grid</t>
  </si>
  <si>
    <t>https://fileservice.eea.comacloud.net/FileService.Api/file/FileRoom/19842281</t>
  </si>
  <si>
    <t>Boston Rate 3B</t>
  </si>
  <si>
    <t>See also three year plan for explanation at page 85</t>
  </si>
  <si>
    <t>Boston Gas Company</t>
  </si>
  <si>
    <t>Monthly Bill Impact for an Average Residential Heating (R3B) Customer</t>
  </si>
  <si>
    <t>Non-Participant, Scenario 1</t>
  </si>
  <si>
    <t>Non-Participant, Scenario 2</t>
  </si>
  <si>
    <t>Non-Participant, Scenario 3</t>
  </si>
  <si>
    <t>2024-2025 EE Budgets</t>
  </si>
  <si>
    <t>2025 EE Budgets</t>
  </si>
  <si>
    <t>2025-2026 EE Budgets</t>
  </si>
  <si>
    <t>2026 EE Budgets</t>
  </si>
  <si>
    <t>2026-2027 EE Budgets</t>
  </si>
  <si>
    <t>2027 EE Budgets</t>
  </si>
  <si>
    <t>November 24 - April 25</t>
  </si>
  <si>
    <t>Avg. Winter</t>
  </si>
  <si>
    <t>May 25-Oct 25</t>
  </si>
  <si>
    <t>Avg. Summer</t>
  </si>
  <si>
    <t>November 25 - April 26</t>
  </si>
  <si>
    <t>May 26 - Oct 26</t>
  </si>
  <si>
    <t>November 26 - April 27</t>
  </si>
  <si>
    <t>May 27 - Oct 27</t>
  </si>
  <si>
    <t>Month</t>
  </si>
  <si>
    <t>Peak Month</t>
  </si>
  <si>
    <t>Average Monthly Use per Customer - Therms</t>
  </si>
  <si>
    <t>Cust. Charge*</t>
  </si>
  <si>
    <t>Volumetric Charge*</t>
  </si>
  <si>
    <t>Volumetric Charge *</t>
  </si>
  <si>
    <t>RDAF</t>
  </si>
  <si>
    <t>LDAF Excl. EE**</t>
  </si>
  <si>
    <t>LDAF EE Only***</t>
  </si>
  <si>
    <t>GAF $</t>
  </si>
  <si>
    <t xml:space="preserve">LDAF $ Excl. EE  </t>
  </si>
  <si>
    <t>LDAF $ EE Only</t>
  </si>
  <si>
    <t>Volumetric Charge $*</t>
  </si>
  <si>
    <t>RDAF $</t>
  </si>
  <si>
    <t>Total Bill</t>
  </si>
  <si>
    <t>Approved 2023-2024 EE Budgets</t>
  </si>
  <si>
    <t>2024 EE Budgets</t>
  </si>
  <si>
    <t>November 23 - April 24</t>
  </si>
  <si>
    <t>May 24 - Oct 24</t>
  </si>
  <si>
    <t>May 25 - Oct 25</t>
  </si>
  <si>
    <t>Variance</t>
  </si>
  <si>
    <t>Increase / (Decrease)</t>
  </si>
  <si>
    <t>Percent Variance</t>
  </si>
  <si>
    <t>Percent Increase / (Decrease)</t>
  </si>
  <si>
    <t>Bill Impact per April 1, 2022 Filing</t>
  </si>
  <si>
    <t>Increase/(Decrease)</t>
  </si>
  <si>
    <t>Percent Change</t>
  </si>
  <si>
    <t>* Distribution Rates approved in D.P.U. 24-69</t>
  </si>
  <si>
    <t>**LDAF excluding Base EE, Low Income EE, and EE Reconciliation</t>
  </si>
  <si>
    <t>***Includes Base EE, Low Income EE, and EE Reconciliation</t>
  </si>
  <si>
    <t>***Includes Base EE, Low Income EE, EE Reconciliation</t>
  </si>
  <si>
    <t>From Eversource Bill Impact (NSTAR, EMA), Docket 24-149, filings on 10-31, Ex 6</t>
  </si>
  <si>
    <t>https://fileservice.eea.comacloud.net/FileService.Api/file/FileRoom/19845663</t>
  </si>
  <si>
    <t>Eastern Massachusetts</t>
  </si>
  <si>
    <t>Illustrative Monthly Bill Impact - Non Participant</t>
  </si>
  <si>
    <t>Rate R-1 Residential</t>
  </si>
  <si>
    <t>Monthly</t>
  </si>
  <si>
    <t>2024 Monthly Bill</t>
  </si>
  <si>
    <t>2025 Illustrative Monthly Bill</t>
  </si>
  <si>
    <t>2025 vs. 2024</t>
  </si>
  <si>
    <t>2026 Illustrative Monthly Bill</t>
  </si>
  <si>
    <t>2026 vs. 2025</t>
  </si>
  <si>
    <t>2027 Illustrative Monthly Bill</t>
  </si>
  <si>
    <t>2027 vs. 2026</t>
  </si>
  <si>
    <t xml:space="preserve">kWh </t>
  </si>
  <si>
    <t>Delivery</t>
  </si>
  <si>
    <t>Supplier</t>
  </si>
  <si>
    <t>Change</t>
  </si>
  <si>
    <t>% Change</t>
  </si>
  <si>
    <t>Avg</t>
  </si>
  <si>
    <t xml:space="preserve"> </t>
  </si>
  <si>
    <t>2025 v 2024</t>
  </si>
  <si>
    <t>2026 v 2025</t>
  </si>
  <si>
    <t>2027 v 2026</t>
  </si>
  <si>
    <t>Rates</t>
  </si>
  <si>
    <t>DIST</t>
  </si>
  <si>
    <t>Distribution Energy</t>
  </si>
  <si>
    <t>Exogenous Cost Adjustment</t>
  </si>
  <si>
    <t>ECA</t>
  </si>
  <si>
    <t>Revenue Decoupling</t>
  </si>
  <si>
    <t>SMART</t>
  </si>
  <si>
    <t>Residential Assistance Adjustment Factor</t>
  </si>
  <si>
    <t>RAAF</t>
  </si>
  <si>
    <t>Pension Adjustment Factor</t>
  </si>
  <si>
    <t>PAF</t>
  </si>
  <si>
    <t>NMRS</t>
  </si>
  <si>
    <t>Long Term Renewable Contract Adjustment</t>
  </si>
  <si>
    <t>LTRCA</t>
  </si>
  <si>
    <t>AG Consulting Expense</t>
  </si>
  <si>
    <t>AGCE</t>
  </si>
  <si>
    <t>Storm Cost Recovery Adjustment Factor</t>
  </si>
  <si>
    <t>SCRA</t>
  </si>
  <si>
    <t>Storm Reserve Adjustment</t>
  </si>
  <si>
    <t>SRA</t>
  </si>
  <si>
    <t>Basic Service Cost True Up Factor</t>
  </si>
  <si>
    <t>BSTF</t>
  </si>
  <si>
    <t>Solar Program Cost Adjustment Factor</t>
  </si>
  <si>
    <t>SPCA</t>
  </si>
  <si>
    <t>Solar Expansion Cost Recovery Factor</t>
  </si>
  <si>
    <t>SECRF</t>
  </si>
  <si>
    <t>Vegetation Management</t>
  </si>
  <si>
    <t>RTWF</t>
  </si>
  <si>
    <t>TACF</t>
  </si>
  <si>
    <t>Grid Modernization</t>
  </si>
  <si>
    <t>GMOD</t>
  </si>
  <si>
    <t>Advanced Metering Infrastructure</t>
  </si>
  <si>
    <t>AMIF</t>
  </si>
  <si>
    <t>Electronic Payment Recovery</t>
  </si>
  <si>
    <t>EPR</t>
  </si>
  <si>
    <t>Provisional System Planning Factor</t>
  </si>
  <si>
    <t>PSPF</t>
  </si>
  <si>
    <t>Electric Vehicle Factor</t>
  </si>
  <si>
    <t>EVF</t>
  </si>
  <si>
    <t>Transition</t>
  </si>
  <si>
    <t>TRNSN</t>
  </si>
  <si>
    <t>Transmission Energy</t>
  </si>
  <si>
    <t>TMKWH</t>
  </si>
  <si>
    <t>Energy Efficiency Reconciliation Factor</t>
  </si>
  <si>
    <t>EERF</t>
  </si>
  <si>
    <t>System Benefits Charge</t>
  </si>
  <si>
    <t>SBC</t>
  </si>
  <si>
    <t>RNEW</t>
  </si>
  <si>
    <t>Basic Service Charge</t>
  </si>
  <si>
    <t>BS</t>
  </si>
  <si>
    <t>Total Energy</t>
  </si>
  <si>
    <t>Total Basic Service</t>
  </si>
  <si>
    <t>Typical Residential Heating (R-3)</t>
  </si>
  <si>
    <t>Illustrative Bill Impacts - Non Participant</t>
  </si>
  <si>
    <t>Peak</t>
  </si>
  <si>
    <t>Off Peak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</si>
  <si>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</si>
  <si>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</si>
  <si>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</si>
  <si>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</si>
  <si>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</si>
  <si>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</si>
  <si>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</si>
  <si>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</si>
  <si>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</si>
  <si>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</si>
  <si>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</si>
  <si>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</si>
  <si>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Annual</t>
  </si>
  <si>
    <t>Off-Peak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</si>
  <si>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</si>
  <si>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</si>
  <si>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</si>
  <si>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</si>
  <si>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</si>
  <si>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</si>
  <si>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</si>
  <si>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</si>
  <si>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</si>
  <si>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</si>
  <si>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</si>
  <si>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</si>
  <si>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</si>
  <si>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</si>
  <si>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</si>
  <si>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</si>
  <si>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</si>
  <si>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</si>
  <si>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-------------</t>
  </si>
  <si>
    <t>Average Therms Use</t>
  </si>
  <si>
    <t>2024 Rates (rates effective 11/1/23, LDAC effective 5/1/24)</t>
  </si>
  <si>
    <t>Customer Charge ($/month)</t>
  </si>
  <si>
    <t>Distribution ($/therm):</t>
  </si>
  <si>
    <t>Revenue Decoupling Adjustment Factor (RDAF) ($/therm)</t>
  </si>
  <si>
    <t>Local Distribution Adjustment Clause ($/therm):</t>
  </si>
  <si>
    <t xml:space="preserve">Remediation Adjustment Clause Factor (RAF) </t>
  </si>
  <si>
    <t>Balancing Penalty Credit (BPC)</t>
  </si>
  <si>
    <t>Non-Firm Margin Credit (NFC)</t>
  </si>
  <si>
    <t>Pension Adjustment Factor (PAF)</t>
  </si>
  <si>
    <t>Energy Efficiency Surcharge (EES)</t>
  </si>
  <si>
    <t>Attorney General Consulting Expense (AGCE)</t>
  </si>
  <si>
    <t>Residential Assistance Adjustment Factor (RAAF)</t>
  </si>
  <si>
    <t>Gas System Enhancement Adjustment Factor (GSEAF)</t>
  </si>
  <si>
    <t>Gas System Enhancement Recon Adjust Factor (GSERAF)</t>
  </si>
  <si>
    <t>Tax Credit Adjustment Factor (TACF)</t>
  </si>
  <si>
    <t>Geothermal Energy Provision Factor (GEP)</t>
  </si>
  <si>
    <t>System Supply Factor (SSF)</t>
  </si>
  <si>
    <t>Electronic Payment Recovery (EPR)</t>
  </si>
  <si>
    <t>Cost of Gas Adjustment Factor (CGA) ($/therm)</t>
  </si>
  <si>
    <t>Total Bill - 2024</t>
  </si>
  <si>
    <t>2025 Illustrative Rates (rates effective 11/1/23, LDAC effective 5/1/24, EE proposed for 11/1/24 to 10/31/25)</t>
  </si>
  <si>
    <t>Total Illustrative Bill - 2025</t>
  </si>
  <si>
    <t>2025 Illustrative vs. 2024</t>
  </si>
  <si>
    <t>Change $</t>
  </si>
  <si>
    <t>Change %</t>
  </si>
  <si>
    <t>2026 Illustrative Rates (rates effective 11/1/23, LDAC effective 5/1/24, EE proposed for 11/1/25 to 10/31/26)</t>
  </si>
  <si>
    <t>Total Illustrative Bill - 2026</t>
  </si>
  <si>
    <t>2026 Illustrative vs. 2025 Illustrative</t>
  </si>
  <si>
    <t>2027 Illustrative Rates (rates effective 11/1/23, LDAC effective 5/1/24, EE proposed for 11/1/26 to 10/31/27)</t>
  </si>
  <si>
    <t>Total Illustrative Bill - 2027</t>
  </si>
  <si>
    <t>2027 Illustrative vs. 2026 Illustrative</t>
  </si>
  <si>
    <t>Performance Incentive</t>
  </si>
  <si>
    <t>Total Program Administrator Budget</t>
  </si>
  <si>
    <t>Program Planning and Administration</t>
  </si>
  <si>
    <t>Marketing and Advertising</t>
  </si>
  <si>
    <t>Participant Incentive</t>
  </si>
  <si>
    <t>Sales, Technical Assistance &amp; Training</t>
  </si>
  <si>
    <t>Evaluation and Market Research</t>
  </si>
  <si>
    <t>Planned</t>
  </si>
  <si>
    <t xml:space="preserve"> -   </t>
  </si>
  <si>
    <t>2022-2027 Residential Program Administrator Budget</t>
  </si>
  <si>
    <t>PA Budget Categories</t>
  </si>
  <si>
    <t>Program Administrator Budget ($)</t>
  </si>
  <si>
    <t>Budget Categories as a Percent of Total Program Administrator Budget (%)</t>
  </si>
  <si>
    <t>Evaluated</t>
  </si>
  <si>
    <t>YTD</t>
  </si>
  <si>
    <t>2022-2027 Low Income Program Administrator Budget</t>
  </si>
  <si>
    <t>2022-2027 Commercial &amp; Industrial Program Administrator Budget</t>
  </si>
  <si>
    <t>2022-2027 Total Program Administrator Budget</t>
  </si>
  <si>
    <t>Notes:</t>
  </si>
  <si>
    <t>Budgets for each year are represented in nominal dollars (2022$ through 2027$).</t>
  </si>
  <si>
    <t>2022-2024 planned values are from the Program Administrator's 2022-2024 Three-Year Plan, D.P.U. 21-120  - D.P.U. 21-129.</t>
  </si>
  <si>
    <t>2022 evaluated values are from the Program Administrator's 2022 Plan Year Report, D.P.U. 23-60.</t>
  </si>
  <si>
    <t>2023 evaluated values are from the Program Administrator's 2023 Plan Year Report, D.P.U. 24-65.</t>
  </si>
  <si>
    <t>2024 YTD values are estimated actual cost through through June 30, 2024 (Q2).</t>
  </si>
  <si>
    <t>For supporting information on the 2025-2027 values, see Table IV.C.1.</t>
  </si>
  <si>
    <t>Copy of BudgetHistorical Tab from Appendix C, Statewide Tables, Attachment to filing of three year plan</t>
  </si>
  <si>
    <t>DPU 24-140 - DPU 24-149, 25-27 Three Year Plan</t>
  </si>
  <si>
    <t>25-27 Three Year Plan, Statewide Initial Filing</t>
  </si>
  <si>
    <t>Exhibit 1, 2025-2027 Three-Year Plan with Appendices</t>
  </si>
  <si>
    <t>Total 22-24 (Evaluated and 24 planned)</t>
  </si>
  <si>
    <t>Total 25-27 planned</t>
  </si>
  <si>
    <t>Income Eligible (Low-income)</t>
  </si>
  <si>
    <t>Commercial and Industrial</t>
  </si>
  <si>
    <t>*2022-2024 total is as evaluated for 2022 and 2023, planned for 2024</t>
  </si>
  <si>
    <t>2022-2024 (Actual 22, 23; Planned 24)</t>
  </si>
  <si>
    <t>2025-2027 as reduced by DPU</t>
  </si>
  <si>
    <t>IV.C. Program Administrator Budgets</t>
  </si>
  <si>
    <t>2.2  Budget Historical Comparison</t>
  </si>
  <si>
    <t>Statewide Total</t>
  </si>
  <si>
    <t>NATURAL GAS ONLY SELECTED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</si>
</sst>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_);[Red]\(&quot;$&quot;#,##0.0000\)"/>
    <numFmt numFmtId="165" formatCode="_(&quot;$&quot;* #,##0_);_(&quot;$&quot;* \(#,##0\);_(&quot;$&quot;* &quot;-&quot;??_);_(@_)"/>
    <numFmt numFmtId="166" formatCode="_(&quot;$&quot;* #,##0.0000_);_(&quot;$&quot;* \(#,##0.0000\);_(&quot;$&quot;* &quot;-&quot;??_);_(@_)"/>
    <numFmt numFmtId="167" formatCode="&quot;$&quot;#,##0.00"/>
    <numFmt numFmtId="168" formatCode="0.0000"/>
    <numFmt numFmtId="169" formatCode="&quot;$&quot;#,##0.0000_);\(&quot;$&quot;#,##0.0000\)"/>
    <numFmt numFmtId="170" formatCode="0.0%"/>
    <numFmt numFmtId="171" formatCode="&quot;$&quot;#,##0.00000_);\(&quot;$&quot;#,##0.00000\)"/>
    <numFmt numFmtId="172" formatCode="_(&quot;$&quot;* #,##0.00000_);_(&quot;$&quot;* \(#,##0.00000\);_(&quot;$&quot;* &quot;-&quot;??_);_(@_)"/>
    <numFmt numFmtId="173" formatCode="&quot;$&quot;#,##0.00000_);[Red]\(&quot;$&quot;#,##0.00000\)"/>
    <numFmt numFmtId="174" formatCode="_(* #,##0.0000_);_(* \(#,##0.0000\);_(* &quot;-&quot;??_);_(@_)"/>
    <numFmt numFmtId="175" formatCode="_(* #,##0.00000_);_(* \(#,##0.00000\);_(* &quot;-&quot;??_);_(@_)"/>
    <numFmt numFmtId="176" formatCode="0_);\(0\)"/>
    <numFmt numFmtId="177" formatCode="&quot;$&quot;#,##0.00_);\(&quot;$&quot;#,##0.00\);_(&quot;$&quot;\ &quot;-&quot;??_)"/>
    <numFmt numFmtId="178" formatCode="&quot;$&quot;#,##0.00000_);\(&quot;$&quot;#,##0.00000\);_(&quot;$&quot;\ &quot;       -&quot;??_)"/>
    <numFmt numFmtId="179" formatCode="&quot;$&quot;#,##0.0_);[Red]\(&quot;$&quot;#,##0.0\)"/>
  </numFmts>
  <fonts count="6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theme="1"/>
      <name val="Times New Roman"/>
      <family val="2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Segoe UI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0" tint="-0.499984740745262"/>
      <name val="Times New Roman"/>
      <family val="1"/>
    </font>
    <font>
      <u/>
      <sz val="1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color theme="1"/>
      <name val="Calibri"/>
      <family val="2"/>
    </font>
    <font>
      <sz val="11"/>
      <color theme="0"/>
      <name val="Times New Roman"/>
      <family val="1"/>
    </font>
    <font>
      <b/>
      <sz val="12"/>
      <name val="Arial"/>
      <family val="2"/>
    </font>
    <font>
      <b/>
      <sz val="12"/>
      <name val="Arial MT"/>
      <family val="2"/>
    </font>
    <font>
      <b/>
      <sz val="12"/>
      <color rgb="FFFF0000"/>
      <name val="Arial"/>
      <family val="2"/>
    </font>
    <font>
      <b/>
      <u/>
      <sz val="12"/>
      <name val="Arial"/>
      <family val="2"/>
    </font>
    <font>
      <b/>
      <u/>
      <sz val="12"/>
      <name val="Arial MT"/>
      <family val="2"/>
    </font>
    <font>
      <u/>
      <sz val="12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i/>
      <sz val="11"/>
      <color theme="1"/>
      <name val="Aptos Narrow"/>
      <family val="2"/>
      <scheme val="minor"/>
    </font>
    <font>
      <b/>
      <sz val="12"/>
      <name val="Calibri"/>
      <family val="2"/>
    </font>
    <font>
      <sz val="10"/>
      <name val="Calibri"/>
    </font>
    <font>
      <b/>
      <i/>
      <sz val="16"/>
      <color rgb="FF000000"/>
      <name val="Calibri"/>
      <family val="2"/>
    </font>
    <font>
      <b/>
      <i/>
      <sz val="14"/>
      <color rgb="FF000000"/>
      <name val="Calibri"/>
      <family val="2"/>
    </font>
    <font>
      <sz val="14"/>
      <name val="Calibri"/>
      <family val="2"/>
    </font>
    <font>
      <i/>
      <sz val="12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9FAF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7DEE8"/>
        <bgColor rgb="FF000000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0F3F5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F0F3F5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999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4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2" fillId="0" borderId="0"/>
    <xf numFmtId="0" fontId="8" fillId="0" borderId="0"/>
    <xf numFmtId="0" fontId="1" fillId="0" borderId="0"/>
    <xf numFmtId="0" fontId="11" fillId="0" borderId="0"/>
    <xf numFmtId="0" fontId="11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0" borderId="0" applyBorder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8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26" fillId="0" borderId="0"/>
    <xf numFmtId="9" fontId="8" fillId="0" borderId="0" applyFont="0" applyFill="0" applyBorder="0" applyAlignment="0" applyProtection="0"/>
    <xf numFmtId="0" fontId="26" fillId="0" borderId="0"/>
    <xf numFmtId="43" fontId="8" fillId="0" borderId="0" applyFont="0" applyFill="0" applyBorder="0" applyAlignment="0" applyProtection="0"/>
    <xf numFmtId="0" fontId="33" fillId="0" borderId="0"/>
    <xf numFmtId="0" fontId="43" fillId="0" borderId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0" borderId="0" applyNumberFormat="0" applyBorder="0" applyAlignment="0" applyProtection="0"/>
    <xf numFmtId="0" fontId="44" fillId="23" borderId="0" applyNumberFormat="0" applyBorder="0" applyAlignment="0" applyProtection="0"/>
    <xf numFmtId="0" fontId="44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4" borderId="0" applyNumberFormat="0" applyBorder="0" applyAlignment="0" applyProtection="0"/>
    <xf numFmtId="0" fontId="46" fillId="18" borderId="0" applyNumberFormat="0" applyBorder="0" applyAlignment="0" applyProtection="0"/>
    <xf numFmtId="0" fontId="47" fillId="35" borderId="24" applyNumberFormat="0" applyAlignment="0" applyProtection="0"/>
    <xf numFmtId="0" fontId="48" fillId="36" borderId="25" applyNumberFormat="0" applyAlignment="0" applyProtection="0"/>
    <xf numFmtId="0" fontId="47" fillId="35" borderId="46" applyNumberFormat="0" applyAlignment="0" applyProtection="0"/>
    <xf numFmtId="0" fontId="49" fillId="0" borderId="0" applyNumberFormat="0" applyFill="0" applyBorder="0" applyAlignment="0" applyProtection="0"/>
    <xf numFmtId="0" fontId="50" fillId="19" borderId="0" applyNumberFormat="0" applyBorder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3" fillId="0" borderId="28" applyNumberFormat="0" applyFill="0" applyAlignment="0" applyProtection="0"/>
    <xf numFmtId="0" fontId="53" fillId="0" borderId="0" applyNumberFormat="0" applyFill="0" applyBorder="0" applyAlignment="0" applyProtection="0"/>
    <xf numFmtId="0" fontId="54" fillId="22" borderId="24" applyNumberFormat="0" applyAlignment="0" applyProtection="0"/>
    <xf numFmtId="0" fontId="55" fillId="0" borderId="29" applyNumberFormat="0" applyFill="0" applyAlignment="0" applyProtection="0"/>
    <xf numFmtId="0" fontId="56" fillId="37" borderId="0" applyNumberFormat="0" applyBorder="0" applyAlignment="0" applyProtection="0"/>
    <xf numFmtId="0" fontId="44" fillId="38" borderId="30" applyNumberFormat="0" applyFont="0" applyAlignment="0" applyProtection="0"/>
    <xf numFmtId="0" fontId="57" fillId="35" borderId="31" applyNumberFormat="0" applyAlignment="0" applyProtection="0"/>
    <xf numFmtId="0" fontId="58" fillId="0" borderId="0" applyNumberFormat="0" applyFill="0" applyBorder="0" applyAlignment="0" applyProtection="0"/>
    <xf numFmtId="0" fontId="59" fillId="0" borderId="32" applyNumberFormat="0" applyFill="0" applyAlignment="0" applyProtection="0"/>
    <xf numFmtId="0" fontId="60" fillId="0" borderId="0" applyNumberFormat="0" applyFill="0" applyBorder="0" applyAlignment="0" applyProtection="0"/>
    <xf numFmtId="0" fontId="1" fillId="0" borderId="0"/>
    <xf numFmtId="0" fontId="47" fillId="35" borderId="24" applyNumberFormat="0" applyAlignment="0" applyProtection="0"/>
    <xf numFmtId="0" fontId="54" fillId="22" borderId="24" applyNumberFormat="0" applyAlignment="0" applyProtection="0"/>
    <xf numFmtId="0" fontId="44" fillId="38" borderId="30" applyNumberFormat="0" applyFont="0" applyAlignment="0" applyProtection="0"/>
    <xf numFmtId="0" fontId="57" fillId="35" borderId="31" applyNumberFormat="0" applyAlignment="0" applyProtection="0"/>
    <xf numFmtId="0" fontId="59" fillId="0" borderId="32" applyNumberFormat="0" applyFill="0" applyAlignment="0" applyProtection="0"/>
    <xf numFmtId="0" fontId="1" fillId="0" borderId="0"/>
    <xf numFmtId="0" fontId="59" fillId="0" borderId="32" applyNumberFormat="0" applyFill="0" applyAlignment="0" applyProtection="0"/>
    <xf numFmtId="0" fontId="57" fillId="35" borderId="31" applyNumberFormat="0" applyAlignment="0" applyProtection="0"/>
    <xf numFmtId="0" fontId="44" fillId="38" borderId="30" applyNumberFormat="0" applyFont="0" applyAlignment="0" applyProtection="0"/>
    <xf numFmtId="0" fontId="54" fillId="22" borderId="24" applyNumberFormat="0" applyAlignment="0" applyProtection="0"/>
    <xf numFmtId="0" fontId="47" fillId="35" borderId="24" applyNumberFormat="0" applyAlignment="0" applyProtection="0"/>
    <xf numFmtId="0" fontId="44" fillId="38" borderId="30" applyNumberFormat="0" applyFont="0" applyAlignment="0" applyProtection="0"/>
    <xf numFmtId="0" fontId="57" fillId="35" borderId="31" applyNumberFormat="0" applyAlignment="0" applyProtection="0"/>
    <xf numFmtId="0" fontId="59" fillId="0" borderId="32" applyNumberFormat="0" applyFill="0" applyAlignment="0" applyProtection="0"/>
    <xf numFmtId="0" fontId="1" fillId="0" borderId="0"/>
    <xf numFmtId="0" fontId="44" fillId="38" borderId="30" applyNumberFormat="0" applyFont="0" applyAlignment="0" applyProtection="0"/>
    <xf numFmtId="0" fontId="1" fillId="0" borderId="0"/>
    <xf numFmtId="0" fontId="47" fillId="35" borderId="24" applyNumberFormat="0" applyAlignment="0" applyProtection="0"/>
    <xf numFmtId="0" fontId="54" fillId="22" borderId="24" applyNumberFormat="0" applyAlignment="0" applyProtection="0"/>
    <xf numFmtId="0" fontId="44" fillId="38" borderId="30" applyNumberFormat="0" applyFont="0" applyAlignment="0" applyProtection="0"/>
    <xf numFmtId="0" fontId="57" fillId="35" borderId="31" applyNumberFormat="0" applyAlignment="0" applyProtection="0"/>
    <xf numFmtId="0" fontId="59" fillId="0" borderId="32" applyNumberFormat="0" applyFill="0" applyAlignment="0" applyProtection="0"/>
    <xf numFmtId="0" fontId="47" fillId="35" borderId="49" applyNumberFormat="0" applyAlignment="0" applyProtection="0"/>
    <xf numFmtId="0" fontId="47" fillId="35" borderId="39" applyNumberFormat="0" applyAlignment="0" applyProtection="0"/>
    <xf numFmtId="0" fontId="47" fillId="35" borderId="43" applyNumberFormat="0" applyAlignment="0" applyProtection="0"/>
    <xf numFmtId="0" fontId="54" fillId="22" borderId="43" applyNumberFormat="0" applyAlignment="0" applyProtection="0"/>
    <xf numFmtId="0" fontId="47" fillId="35" borderId="35" applyNumberFormat="0" applyAlignment="0" applyProtection="0"/>
    <xf numFmtId="0" fontId="57" fillId="35" borderId="44" applyNumberFormat="0" applyAlignment="0" applyProtection="0"/>
    <xf numFmtId="0" fontId="59" fillId="0" borderId="45" applyNumberFormat="0" applyFill="0" applyAlignment="0" applyProtection="0"/>
    <xf numFmtId="0" fontId="54" fillId="22" borderId="49" applyNumberFormat="0" applyAlignment="0" applyProtection="0"/>
    <xf numFmtId="0" fontId="54" fillId="22" borderId="35" applyNumberFormat="0" applyAlignment="0" applyProtection="0"/>
    <xf numFmtId="0" fontId="44" fillId="38" borderId="36" applyNumberFormat="0" applyFont="0" applyAlignment="0" applyProtection="0"/>
    <xf numFmtId="0" fontId="57" fillId="35" borderId="37" applyNumberFormat="0" applyAlignment="0" applyProtection="0"/>
    <xf numFmtId="0" fontId="59" fillId="0" borderId="38" applyNumberFormat="0" applyFill="0" applyAlignment="0" applyProtection="0"/>
    <xf numFmtId="0" fontId="54" fillId="22" borderId="39" applyNumberFormat="0" applyAlignment="0" applyProtection="0"/>
    <xf numFmtId="0" fontId="44" fillId="38" borderId="40" applyNumberFormat="0" applyFont="0" applyAlignment="0" applyProtection="0"/>
    <xf numFmtId="0" fontId="57" fillId="35" borderId="41" applyNumberFormat="0" applyAlignment="0" applyProtection="0"/>
    <xf numFmtId="0" fontId="59" fillId="0" borderId="48" applyNumberFormat="0" applyFill="0" applyAlignment="0" applyProtection="0"/>
    <xf numFmtId="0" fontId="59" fillId="0" borderId="42" applyNumberFormat="0" applyFill="0" applyAlignment="0" applyProtection="0"/>
    <xf numFmtId="0" fontId="47" fillId="35" borderId="39" applyNumberFormat="0" applyAlignment="0" applyProtection="0"/>
    <xf numFmtId="0" fontId="54" fillId="22" borderId="39" applyNumberFormat="0" applyAlignment="0" applyProtection="0"/>
    <xf numFmtId="0" fontId="44" fillId="38" borderId="40" applyNumberFormat="0" applyFont="0" applyAlignment="0" applyProtection="0"/>
    <xf numFmtId="0" fontId="57" fillId="35" borderId="41" applyNumberFormat="0" applyAlignment="0" applyProtection="0"/>
    <xf numFmtId="0" fontId="59" fillId="0" borderId="42" applyNumberFormat="0" applyFill="0" applyAlignment="0" applyProtection="0"/>
    <xf numFmtId="0" fontId="54" fillId="22" borderId="46" applyNumberFormat="0" applyAlignment="0" applyProtection="0"/>
    <xf numFmtId="0" fontId="59" fillId="0" borderId="42" applyNumberFormat="0" applyFill="0" applyAlignment="0" applyProtection="0"/>
    <xf numFmtId="0" fontId="57" fillId="35" borderId="41" applyNumberFormat="0" applyAlignment="0" applyProtection="0"/>
    <xf numFmtId="0" fontId="44" fillId="38" borderId="40" applyNumberFormat="0" applyFont="0" applyAlignment="0" applyProtection="0"/>
    <xf numFmtId="0" fontId="54" fillId="22" borderId="39" applyNumberFormat="0" applyAlignment="0" applyProtection="0"/>
    <xf numFmtId="0" fontId="47" fillId="35" borderId="39" applyNumberFormat="0" applyAlignment="0" applyProtection="0"/>
    <xf numFmtId="0" fontId="44" fillId="38" borderId="40" applyNumberFormat="0" applyFont="0" applyAlignment="0" applyProtection="0"/>
    <xf numFmtId="0" fontId="57" fillId="35" borderId="41" applyNumberFormat="0" applyAlignment="0" applyProtection="0"/>
    <xf numFmtId="0" fontId="59" fillId="0" borderId="42" applyNumberFormat="0" applyFill="0" applyAlignment="0" applyProtection="0"/>
    <xf numFmtId="0" fontId="57" fillId="35" borderId="51" applyNumberFormat="0" applyAlignment="0" applyProtection="0"/>
    <xf numFmtId="0" fontId="44" fillId="38" borderId="40" applyNumberFormat="0" applyFont="0" applyAlignment="0" applyProtection="0"/>
    <xf numFmtId="0" fontId="44" fillId="38" borderId="50" applyNumberFormat="0" applyFont="0" applyAlignment="0" applyProtection="0"/>
    <xf numFmtId="0" fontId="47" fillId="35" borderId="39" applyNumberFormat="0" applyAlignment="0" applyProtection="0"/>
    <xf numFmtId="0" fontId="54" fillId="22" borderId="39" applyNumberFormat="0" applyAlignment="0" applyProtection="0"/>
    <xf numFmtId="0" fontId="44" fillId="38" borderId="40" applyNumberFormat="0" applyFont="0" applyAlignment="0" applyProtection="0"/>
    <xf numFmtId="0" fontId="57" fillId="35" borderId="41" applyNumberFormat="0" applyAlignment="0" applyProtection="0"/>
    <xf numFmtId="0" fontId="59" fillId="0" borderId="42" applyNumberFormat="0" applyFill="0" applyAlignment="0" applyProtection="0"/>
    <xf numFmtId="0" fontId="59" fillId="0" borderId="52" applyNumberFormat="0" applyFill="0" applyAlignment="0" applyProtection="0"/>
    <xf numFmtId="0" fontId="57" fillId="35" borderId="47" applyNumberFormat="0" applyAlignment="0" applyProtection="0"/>
  </cellStyleXfs>
  <cellXfs count="298">
    <xf numFmtId="0" fontId="0" fillId="0" borderId="0" xfId="0"/>
    <xf numFmtId="15" fontId="0" fillId="0" borderId="0" xfId="0" applyNumberFormat="1"/>
    <xf numFmtId="16" fontId="0" fillId="0" borderId="0" xfId="0" applyNumberFormat="1"/>
    <xf numFmtId="0" fontId="0" fillId="0" borderId="1" xfId="0" quotePrefix="1" applyBorder="1"/>
    <xf numFmtId="8" fontId="0" fillId="0" borderId="0" xfId="0" applyNumberFormat="1"/>
    <xf numFmtId="164" fontId="5" fillId="0" borderId="0" xfId="0" applyNumberFormat="1" applyFont="1"/>
    <xf numFmtId="0" fontId="4" fillId="0" borderId="0" xfId="5"/>
    <xf numFmtId="0" fontId="3" fillId="0" borderId="1" xfId="0" applyFont="1" applyBorder="1"/>
    <xf numFmtId="0" fontId="3" fillId="0" borderId="0" xfId="0" applyFon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169" fontId="13" fillId="3" borderId="0" xfId="8" applyNumberFormat="1" applyFont="1" applyFill="1" applyAlignment="1">
      <alignment horizontal="right" vertical="top"/>
    </xf>
    <xf numFmtId="0" fontId="13" fillId="3" borderId="0" xfId="8" applyFont="1" applyFill="1" applyAlignment="1">
      <alignment vertical="center"/>
    </xf>
    <xf numFmtId="0" fontId="12" fillId="0" borderId="0" xfId="6"/>
    <xf numFmtId="0" fontId="16" fillId="0" borderId="0" xfId="8" applyFont="1"/>
    <xf numFmtId="0" fontId="13" fillId="0" borderId="0" xfId="8" applyFont="1"/>
    <xf numFmtId="0" fontId="17" fillId="0" borderId="0" xfId="8" applyFont="1"/>
    <xf numFmtId="0" fontId="13" fillId="3" borderId="0" xfId="8" applyFont="1" applyFill="1"/>
    <xf numFmtId="0" fontId="15" fillId="0" borderId="0" xfId="9" applyFont="1"/>
    <xf numFmtId="168" fontId="13" fillId="0" borderId="0" xfId="8" applyNumberFormat="1" applyFont="1"/>
    <xf numFmtId="0" fontId="13" fillId="0" borderId="0" xfId="16" applyFont="1" applyAlignment="1">
      <alignment horizontal="center"/>
    </xf>
    <xf numFmtId="0" fontId="16" fillId="0" borderId="0" xfId="16" applyFont="1" applyAlignment="1">
      <alignment horizontal="left"/>
    </xf>
    <xf numFmtId="169" fontId="13" fillId="0" borderId="0" xfId="16" applyNumberFormat="1" applyFont="1" applyAlignment="1">
      <alignment horizontal="right"/>
    </xf>
    <xf numFmtId="169" fontId="13" fillId="0" borderId="0" xfId="17" applyNumberFormat="1" applyFont="1" applyAlignment="1">
      <alignment horizontal="right" vertical="top"/>
    </xf>
    <xf numFmtId="0" fontId="13" fillId="0" borderId="0" xfId="16" applyFont="1" applyAlignment="1">
      <alignment vertical="center"/>
    </xf>
    <xf numFmtId="169" fontId="13" fillId="0" borderId="0" xfId="16" applyNumberFormat="1" applyFont="1" applyAlignment="1">
      <alignment horizontal="right" vertical="center"/>
    </xf>
    <xf numFmtId="169" fontId="16" fillId="0" borderId="0" xfId="16" applyNumberFormat="1" applyFont="1" applyAlignment="1">
      <alignment horizontal="right"/>
    </xf>
    <xf numFmtId="169" fontId="17" fillId="0" borderId="6" xfId="16" applyNumberFormat="1" applyFont="1" applyBorder="1" applyAlignment="1">
      <alignment horizontal="right"/>
    </xf>
    <xf numFmtId="169" fontId="17" fillId="0" borderId="0" xfId="16" applyNumberFormat="1" applyFont="1" applyAlignment="1">
      <alignment horizontal="right"/>
    </xf>
    <xf numFmtId="169" fontId="13" fillId="0" borderId="0" xfId="16" applyNumberFormat="1" applyFont="1" applyAlignment="1">
      <alignment horizontal="center"/>
    </xf>
    <xf numFmtId="0" fontId="13" fillId="0" borderId="0" xfId="16" quotePrefix="1" applyFont="1" applyAlignment="1">
      <alignment horizontal="center"/>
    </xf>
    <xf numFmtId="0" fontId="13" fillId="0" borderId="0" xfId="17" applyFont="1" applyAlignment="1">
      <alignment vertical="top"/>
    </xf>
    <xf numFmtId="169" fontId="13" fillId="3" borderId="0" xfId="17" applyNumberFormat="1" applyFont="1" applyFill="1" applyAlignment="1">
      <alignment horizontal="right" vertical="top"/>
    </xf>
    <xf numFmtId="0" fontId="8" fillId="0" borderId="0" xfId="7"/>
    <xf numFmtId="0" fontId="16" fillId="0" borderId="0" xfId="16" applyFont="1"/>
    <xf numFmtId="0" fontId="13" fillId="0" borderId="0" xfId="16" applyFont="1"/>
    <xf numFmtId="0" fontId="13" fillId="3" borderId="0" xfId="17" applyFont="1" applyFill="1" applyAlignment="1">
      <alignment vertical="top"/>
    </xf>
    <xf numFmtId="0" fontId="17" fillId="0" borderId="0" xfId="16" applyFont="1"/>
    <xf numFmtId="168" fontId="13" fillId="0" borderId="0" xfId="16" applyNumberFormat="1" applyFont="1"/>
    <xf numFmtId="0" fontId="0" fillId="10" borderId="0" xfId="0" applyFill="1"/>
    <xf numFmtId="0" fontId="0" fillId="0" borderId="4" xfId="0" applyBorder="1"/>
    <xf numFmtId="164" fontId="0" fillId="0" borderId="0" xfId="0" applyNumberFormat="1"/>
    <xf numFmtId="9" fontId="0" fillId="0" borderId="0" xfId="3" applyFont="1"/>
    <xf numFmtId="170" fontId="0" fillId="0" borderId="1" xfId="3" applyNumberFormat="1" applyFont="1" applyBorder="1"/>
    <xf numFmtId="0" fontId="19" fillId="0" borderId="0" xfId="8" applyFont="1"/>
    <xf numFmtId="0" fontId="14" fillId="0" borderId="0" xfId="8" applyFont="1"/>
    <xf numFmtId="0" fontId="13" fillId="0" borderId="0" xfId="8" applyFont="1" applyAlignment="1">
      <alignment horizontal="center"/>
    </xf>
    <xf numFmtId="0" fontId="13" fillId="0" borderId="0" xfId="8" applyFont="1" applyAlignment="1">
      <alignment vertical="top"/>
    </xf>
    <xf numFmtId="0" fontId="13" fillId="0" borderId="0" xfId="8" quotePrefix="1" applyFont="1" applyAlignment="1">
      <alignment horizontal="center"/>
    </xf>
    <xf numFmtId="169" fontId="13" fillId="0" borderId="0" xfId="8" applyNumberFormat="1" applyFont="1" applyAlignment="1">
      <alignment horizontal="center"/>
    </xf>
    <xf numFmtId="0" fontId="15" fillId="0" borderId="0" xfId="10" applyFont="1" applyAlignment="1">
      <alignment horizontal="center"/>
    </xf>
    <xf numFmtId="169" fontId="13" fillId="3" borderId="0" xfId="8" applyNumberFormat="1" applyFont="1" applyFill="1" applyAlignment="1">
      <alignment horizontal="center"/>
    </xf>
    <xf numFmtId="169" fontId="17" fillId="0" borderId="0" xfId="8" applyNumberFormat="1" applyFont="1" applyAlignment="1">
      <alignment horizontal="right"/>
    </xf>
    <xf numFmtId="169" fontId="17" fillId="3" borderId="6" xfId="8" applyNumberFormat="1" applyFont="1" applyFill="1" applyBorder="1" applyAlignment="1">
      <alignment horizontal="right"/>
    </xf>
    <xf numFmtId="169" fontId="17" fillId="3" borderId="0" xfId="8" applyNumberFormat="1" applyFont="1" applyFill="1" applyAlignment="1">
      <alignment horizontal="right"/>
    </xf>
    <xf numFmtId="169" fontId="16" fillId="0" borderId="0" xfId="8" applyNumberFormat="1" applyFont="1" applyAlignment="1">
      <alignment horizontal="right"/>
    </xf>
    <xf numFmtId="169" fontId="13" fillId="0" borderId="0" xfId="8" applyNumberFormat="1" applyFont="1" applyAlignment="1">
      <alignment horizontal="right"/>
    </xf>
    <xf numFmtId="0" fontId="15" fillId="0" borderId="0" xfId="10" applyFont="1" applyAlignment="1">
      <alignment horizontal="center" vertical="center"/>
    </xf>
    <xf numFmtId="169" fontId="13" fillId="0" borderId="0" xfId="8" applyNumberFormat="1" applyFont="1" applyAlignment="1">
      <alignment horizontal="right" vertical="center"/>
    </xf>
    <xf numFmtId="0" fontId="13" fillId="0" borderId="0" xfId="8" applyFont="1" applyAlignment="1">
      <alignment vertical="center"/>
    </xf>
    <xf numFmtId="0" fontId="15" fillId="0" borderId="0" xfId="9" applyFont="1" applyAlignment="1">
      <alignment horizontal="center"/>
    </xf>
    <xf numFmtId="0" fontId="16" fillId="0" borderId="0" xfId="8" applyFont="1" applyAlignment="1">
      <alignment horizontal="left"/>
    </xf>
    <xf numFmtId="0" fontId="13" fillId="3" borderId="0" xfId="8" applyFont="1" applyFill="1" applyAlignment="1">
      <alignment vertical="top"/>
    </xf>
    <xf numFmtId="169" fontId="13" fillId="0" borderId="0" xfId="8" applyNumberFormat="1" applyFont="1" applyAlignment="1">
      <alignment horizontal="right" vertical="top"/>
    </xf>
    <xf numFmtId="169" fontId="13" fillId="3" borderId="0" xfId="8" applyNumberFormat="1" applyFont="1" applyFill="1" applyAlignment="1">
      <alignment horizontal="right"/>
    </xf>
    <xf numFmtId="166" fontId="0" fillId="0" borderId="0" xfId="2" applyNumberFormat="1" applyFont="1"/>
    <xf numFmtId="172" fontId="0" fillId="0" borderId="0" xfId="2" applyNumberFormat="1" applyFont="1"/>
    <xf numFmtId="172" fontId="0" fillId="0" borderId="0" xfId="0" applyNumberFormat="1"/>
    <xf numFmtId="0" fontId="20" fillId="12" borderId="8" xfId="0" applyFont="1" applyFill="1" applyBorder="1" applyAlignment="1">
      <alignment horizontal="left" vertical="top"/>
    </xf>
    <xf numFmtId="8" fontId="20" fillId="12" borderId="9" xfId="0" applyNumberFormat="1" applyFont="1" applyFill="1" applyBorder="1" applyAlignment="1">
      <alignment horizontal="center" vertical="top"/>
    </xf>
    <xf numFmtId="0" fontId="20" fillId="12" borderId="1" xfId="0" applyFont="1" applyFill="1" applyBorder="1" applyAlignment="1">
      <alignment horizontal="left" vertical="top"/>
    </xf>
    <xf numFmtId="8" fontId="20" fillId="12" borderId="1" xfId="0" applyNumberFormat="1" applyFont="1" applyFill="1" applyBorder="1" applyAlignment="1">
      <alignment horizontal="center" vertical="top"/>
    </xf>
    <xf numFmtId="0" fontId="20" fillId="0" borderId="1" xfId="0" applyFont="1" applyBorder="1" applyAlignment="1">
      <alignment horizontal="left" vertical="top"/>
    </xf>
    <xf numFmtId="173" fontId="20" fillId="0" borderId="1" xfId="0" applyNumberFormat="1" applyFont="1" applyBorder="1" applyAlignment="1">
      <alignment horizontal="center" vertical="top"/>
    </xf>
    <xf numFmtId="173" fontId="20" fillId="12" borderId="1" xfId="0" applyNumberFormat="1" applyFont="1" applyFill="1" applyBorder="1" applyAlignment="1">
      <alignment horizontal="center" vertical="top"/>
    </xf>
    <xf numFmtId="14" fontId="0" fillId="0" borderId="0" xfId="0" applyNumberFormat="1"/>
    <xf numFmtId="165" fontId="0" fillId="0" borderId="0" xfId="2" applyNumberFormat="1" applyFont="1"/>
    <xf numFmtId="17" fontId="0" fillId="0" borderId="0" xfId="0" applyNumberFormat="1"/>
    <xf numFmtId="175" fontId="0" fillId="0" borderId="0" xfId="1" applyNumberFormat="1" applyFont="1"/>
    <xf numFmtId="173" fontId="0" fillId="0" borderId="0" xfId="0" applyNumberFormat="1"/>
    <xf numFmtId="174" fontId="21" fillId="13" borderId="0" xfId="4" applyNumberFormat="1" applyFont="1" applyFill="1"/>
    <xf numFmtId="174" fontId="0" fillId="13" borderId="0" xfId="1" applyNumberFormat="1" applyFont="1" applyFill="1"/>
    <xf numFmtId="15" fontId="4" fillId="0" borderId="0" xfId="5" applyNumberFormat="1"/>
    <xf numFmtId="0" fontId="0" fillId="11" borderId="0" xfId="0" applyFill="1"/>
    <xf numFmtId="164" fontId="2" fillId="2" borderId="0" xfId="4" applyNumberFormat="1"/>
    <xf numFmtId="0" fontId="2" fillId="2" borderId="1" xfId="4" applyBorder="1"/>
    <xf numFmtId="0" fontId="2" fillId="2" borderId="1" xfId="4" applyBorder="1" applyAlignment="1">
      <alignment wrapText="1"/>
    </xf>
    <xf numFmtId="14" fontId="2" fillId="2" borderId="1" xfId="4" applyNumberFormat="1" applyBorder="1"/>
    <xf numFmtId="174" fontId="2" fillId="2" borderId="1" xfId="4" applyNumberFormat="1" applyBorder="1"/>
    <xf numFmtId="168" fontId="2" fillId="2" borderId="1" xfId="4" applyNumberFormat="1" applyBorder="1"/>
    <xf numFmtId="8" fontId="21" fillId="0" borderId="1" xfId="0" quotePrefix="1" applyNumberFormat="1" applyFont="1" applyBorder="1"/>
    <xf numFmtId="8" fontId="21" fillId="0" borderId="3" xfId="0" quotePrefix="1" applyNumberFormat="1" applyFont="1" applyBorder="1"/>
    <xf numFmtId="8" fontId="6" fillId="0" borderId="1" xfId="0" applyNumberFormat="1" applyFont="1" applyBorder="1"/>
    <xf numFmtId="8" fontId="6" fillId="0" borderId="3" xfId="0" applyNumberFormat="1" applyFont="1" applyBorder="1"/>
    <xf numFmtId="166" fontId="22" fillId="4" borderId="1" xfId="2" applyNumberFormat="1" applyFont="1" applyFill="1" applyBorder="1"/>
    <xf numFmtId="166" fontId="22" fillId="4" borderId="3" xfId="2" applyNumberFormat="1" applyFont="1" applyFill="1" applyBorder="1"/>
    <xf numFmtId="166" fontId="7" fillId="4" borderId="1" xfId="2" applyNumberFormat="1" applyFont="1" applyFill="1" applyBorder="1"/>
    <xf numFmtId="166" fontId="7" fillId="4" borderId="3" xfId="2" applyNumberFormat="1" applyFont="1" applyFill="1" applyBorder="1"/>
    <xf numFmtId="166" fontId="21" fillId="8" borderId="1" xfId="2" applyNumberFormat="1" applyFont="1" applyFill="1" applyBorder="1"/>
    <xf numFmtId="166" fontId="21" fillId="8" borderId="3" xfId="2" applyNumberFormat="1" applyFont="1" applyFill="1" applyBorder="1"/>
    <xf numFmtId="166" fontId="6" fillId="6" borderId="1" xfId="2" applyNumberFormat="1" applyFont="1" applyFill="1" applyBorder="1"/>
    <xf numFmtId="166" fontId="6" fillId="6" borderId="3" xfId="2" applyNumberFormat="1" applyFont="1" applyFill="1" applyBorder="1"/>
    <xf numFmtId="166" fontId="6" fillId="10" borderId="1" xfId="2" applyNumberFormat="1" applyFont="1" applyFill="1" applyBorder="1"/>
    <xf numFmtId="166" fontId="6" fillId="5" borderId="3" xfId="2" applyNumberFormat="1" applyFont="1" applyFill="1" applyBorder="1"/>
    <xf numFmtId="166" fontId="21" fillId="10" borderId="0" xfId="2" applyNumberFormat="1" applyFont="1" applyFill="1"/>
    <xf numFmtId="166" fontId="21" fillId="5" borderId="3" xfId="2" applyNumberFormat="1" applyFont="1" applyFill="1" applyBorder="1"/>
    <xf numFmtId="166" fontId="21" fillId="10" borderId="1" xfId="2" applyNumberFormat="1" applyFont="1" applyFill="1" applyBorder="1"/>
    <xf numFmtId="166" fontId="21" fillId="0" borderId="0" xfId="2" applyNumberFormat="1" applyFont="1"/>
    <xf numFmtId="9" fontId="0" fillId="0" borderId="0" xfId="0" applyNumberFormat="1"/>
    <xf numFmtId="9" fontId="0" fillId="0" borderId="1" xfId="3" applyFont="1" applyBorder="1"/>
    <xf numFmtId="9" fontId="0" fillId="0" borderId="3" xfId="3" applyFont="1" applyBorder="1"/>
    <xf numFmtId="9" fontId="3" fillId="0" borderId="11" xfId="3" applyFont="1" applyBorder="1"/>
    <xf numFmtId="9" fontId="0" fillId="0" borderId="12" xfId="3" applyFont="1" applyBorder="1"/>
    <xf numFmtId="9" fontId="0" fillId="0" borderId="13" xfId="3" applyFont="1" applyBorder="1"/>
    <xf numFmtId="0" fontId="24" fillId="0" borderId="0" xfId="30" applyFont="1" applyAlignment="1">
      <alignment horizontal="center"/>
    </xf>
    <xf numFmtId="0" fontId="24" fillId="0" borderId="0" xfId="30" applyFont="1"/>
    <xf numFmtId="0" fontId="25" fillId="0" borderId="0" xfId="30" applyFont="1" applyAlignment="1">
      <alignment horizontal="centerContinuous"/>
    </xf>
    <xf numFmtId="0" fontId="24" fillId="0" borderId="0" xfId="30" applyFont="1" applyAlignment="1">
      <alignment horizontal="centerContinuous"/>
    </xf>
    <xf numFmtId="0" fontId="25" fillId="0" borderId="0" xfId="30" quotePrefix="1" applyFont="1" applyAlignment="1">
      <alignment horizontal="left"/>
    </xf>
    <xf numFmtId="0" fontId="25" fillId="0" borderId="0" xfId="30" applyFont="1"/>
    <xf numFmtId="176" fontId="24" fillId="0" borderId="0" xfId="30" applyNumberFormat="1" applyFont="1" applyAlignment="1">
      <alignment horizontal="center"/>
    </xf>
    <xf numFmtId="38" fontId="24" fillId="0" borderId="0" xfId="30" applyNumberFormat="1" applyFont="1"/>
    <xf numFmtId="37" fontId="24" fillId="0" borderId="0" xfId="30" applyNumberFormat="1" applyFont="1"/>
    <xf numFmtId="7" fontId="24" fillId="0" borderId="0" xfId="30" applyNumberFormat="1" applyFont="1"/>
    <xf numFmtId="169" fontId="24" fillId="0" borderId="0" xfId="30" applyNumberFormat="1" applyFont="1"/>
    <xf numFmtId="169" fontId="24" fillId="3" borderId="0" xfId="30" applyNumberFormat="1" applyFont="1" applyFill="1"/>
    <xf numFmtId="7" fontId="24" fillId="0" borderId="0" xfId="0" applyNumberFormat="1" applyFont="1"/>
    <xf numFmtId="0" fontId="23" fillId="0" borderId="0" xfId="30" applyFont="1"/>
    <xf numFmtId="7" fontId="23" fillId="0" borderId="0" xfId="30" applyNumberFormat="1" applyFont="1"/>
    <xf numFmtId="170" fontId="23" fillId="0" borderId="0" xfId="14" applyNumberFormat="1" applyFont="1" applyFill="1"/>
    <xf numFmtId="0" fontId="24" fillId="0" borderId="0" xfId="0" applyFont="1" applyAlignment="1">
      <alignment horizontal="center"/>
    </xf>
    <xf numFmtId="0" fontId="25" fillId="0" borderId="0" xfId="0" quotePrefix="1" applyFont="1" applyAlignment="1">
      <alignment horizontal="left"/>
    </xf>
    <xf numFmtId="0" fontId="24" fillId="0" borderId="0" xfId="0" applyFont="1"/>
    <xf numFmtId="176" fontId="24" fillId="0" borderId="0" xfId="0" applyNumberFormat="1" applyFont="1" applyAlignment="1">
      <alignment horizontal="center"/>
    </xf>
    <xf numFmtId="0" fontId="23" fillId="0" borderId="0" xfId="0" applyFont="1"/>
    <xf numFmtId="7" fontId="23" fillId="0" borderId="0" xfId="12" applyNumberFormat="1" applyFont="1" applyFill="1"/>
    <xf numFmtId="0" fontId="24" fillId="0" borderId="0" xfId="0" quotePrefix="1" applyFont="1"/>
    <xf numFmtId="0" fontId="25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25" fillId="0" borderId="0" xfId="0" applyFont="1"/>
    <xf numFmtId="38" fontId="24" fillId="0" borderId="0" xfId="0" applyNumberFormat="1" applyFont="1"/>
    <xf numFmtId="37" fontId="24" fillId="0" borderId="0" xfId="0" applyNumberFormat="1" applyFont="1"/>
    <xf numFmtId="169" fontId="24" fillId="0" borderId="0" xfId="0" applyNumberFormat="1" applyFont="1"/>
    <xf numFmtId="169" fontId="24" fillId="3" borderId="0" xfId="0" applyNumberFormat="1" applyFont="1" applyFill="1"/>
    <xf numFmtId="167" fontId="23" fillId="0" borderId="0" xfId="12" applyNumberFormat="1" applyFont="1" applyFill="1"/>
    <xf numFmtId="167" fontId="23" fillId="0" borderId="0" xfId="0" applyNumberFormat="1" applyFont="1"/>
    <xf numFmtId="167" fontId="24" fillId="0" borderId="0" xfId="0" applyNumberFormat="1" applyFont="1"/>
    <xf numFmtId="176" fontId="24" fillId="3" borderId="0" xfId="30" applyNumberFormat="1" applyFont="1" applyFill="1" applyAlignment="1">
      <alignment horizontal="center"/>
    </xf>
    <xf numFmtId="0" fontId="24" fillId="3" borderId="0" xfId="30" applyFont="1" applyFill="1"/>
    <xf numFmtId="0" fontId="10" fillId="0" borderId="0" xfId="31" applyFont="1"/>
    <xf numFmtId="0" fontId="27" fillId="0" borderId="0" xfId="11" applyFont="1"/>
    <xf numFmtId="0" fontId="28" fillId="0" borderId="0" xfId="31" applyFont="1" applyAlignment="1">
      <alignment horizontal="center"/>
    </xf>
    <xf numFmtId="0" fontId="29" fillId="0" borderId="0" xfId="31" applyFont="1" applyAlignment="1">
      <alignment horizontal="center"/>
    </xf>
    <xf numFmtId="0" fontId="27" fillId="0" borderId="0" xfId="31" applyFont="1" applyAlignment="1">
      <alignment horizontal="center"/>
    </xf>
    <xf numFmtId="0" fontId="27" fillId="0" borderId="0" xfId="31" applyFont="1"/>
    <xf numFmtId="10" fontId="27" fillId="0" borderId="0" xfId="31" applyNumberFormat="1" applyFont="1" applyAlignment="1">
      <alignment horizontal="right"/>
    </xf>
    <xf numFmtId="10" fontId="27" fillId="0" borderId="0" xfId="31" applyNumberFormat="1" applyFont="1"/>
    <xf numFmtId="0" fontId="27" fillId="0" borderId="0" xfId="10" applyFont="1" applyAlignment="1">
      <alignment horizontal="center"/>
    </xf>
    <xf numFmtId="0" fontId="27" fillId="0" borderId="7" xfId="31" applyFont="1" applyBorder="1" applyAlignment="1">
      <alignment horizontal="centerContinuous"/>
    </xf>
    <xf numFmtId="0" fontId="30" fillId="0" borderId="0" xfId="31" applyFont="1" applyAlignment="1">
      <alignment horizontal="center"/>
    </xf>
    <xf numFmtId="37" fontId="27" fillId="0" borderId="0" xfId="31" applyNumberFormat="1" applyFont="1" applyAlignment="1" applyProtection="1">
      <alignment horizontal="center"/>
      <protection locked="0"/>
    </xf>
    <xf numFmtId="7" fontId="27" fillId="0" borderId="0" xfId="31" applyNumberFormat="1" applyFont="1" applyAlignment="1">
      <alignment horizontal="center"/>
    </xf>
    <xf numFmtId="7" fontId="27" fillId="0" borderId="0" xfId="31" applyNumberFormat="1" applyFont="1"/>
    <xf numFmtId="170" fontId="27" fillId="0" borderId="0" xfId="32" applyNumberFormat="1" applyFont="1" applyFill="1" applyAlignment="1">
      <alignment horizontal="center"/>
    </xf>
    <xf numFmtId="170" fontId="27" fillId="0" borderId="0" xfId="32" applyNumberFormat="1" applyFont="1" applyAlignment="1">
      <alignment horizontal="center"/>
    </xf>
    <xf numFmtId="0" fontId="29" fillId="0" borderId="0" xfId="31" applyFont="1"/>
    <xf numFmtId="37" fontId="28" fillId="0" borderId="0" xfId="31" applyNumberFormat="1" applyFont="1" applyAlignment="1" applyProtection="1">
      <alignment horizontal="center"/>
      <protection locked="0"/>
    </xf>
    <xf numFmtId="7" fontId="28" fillId="0" borderId="0" xfId="31" applyNumberFormat="1" applyFont="1" applyAlignment="1">
      <alignment horizontal="center"/>
    </xf>
    <xf numFmtId="7" fontId="28" fillId="0" borderId="0" xfId="31" applyNumberFormat="1" applyFont="1"/>
    <xf numFmtId="0" fontId="27" fillId="0" borderId="0" xfId="33" applyFont="1"/>
    <xf numFmtId="0" fontId="31" fillId="0" borderId="0" xfId="34" quotePrefix="1" applyNumberFormat="1" applyFont="1" applyAlignment="1">
      <alignment horizontal="right"/>
    </xf>
    <xf numFmtId="43" fontId="27" fillId="0" borderId="0" xfId="34" applyFont="1" applyAlignment="1">
      <alignment horizontal="center"/>
    </xf>
    <xf numFmtId="0" fontId="27" fillId="0" borderId="0" xfId="11" applyFont="1" applyAlignment="1">
      <alignment horizontal="center"/>
    </xf>
    <xf numFmtId="43" fontId="32" fillId="0" borderId="0" xfId="34" applyFont="1" applyAlignment="1">
      <alignment horizontal="right"/>
    </xf>
    <xf numFmtId="43" fontId="32" fillId="0" borderId="0" xfId="34" applyFont="1" applyAlignment="1">
      <alignment horizontal="center"/>
    </xf>
    <xf numFmtId="7" fontId="31" fillId="0" borderId="0" xfId="35" applyNumberFormat="1" applyFont="1"/>
    <xf numFmtId="177" fontId="27" fillId="0" borderId="0" xfId="0" applyNumberFormat="1" applyFont="1"/>
    <xf numFmtId="0" fontId="34" fillId="0" borderId="0" xfId="11" applyFont="1" applyAlignment="1">
      <alignment horizontal="center"/>
    </xf>
    <xf numFmtId="0" fontId="31" fillId="0" borderId="0" xfId="35" applyFont="1" applyAlignment="1">
      <alignment horizontal="left"/>
    </xf>
    <xf numFmtId="171" fontId="31" fillId="0" borderId="0" xfId="35" applyNumberFormat="1" applyFont="1"/>
    <xf numFmtId="178" fontId="27" fillId="0" borderId="0" xfId="11" applyNumberFormat="1" applyFont="1"/>
    <xf numFmtId="171" fontId="31" fillId="3" borderId="0" xfId="35" applyNumberFormat="1" applyFont="1" applyFill="1"/>
    <xf numFmtId="171" fontId="27" fillId="0" borderId="0" xfId="31" applyNumberFormat="1" applyFont="1"/>
    <xf numFmtId="0" fontId="28" fillId="0" borderId="0" xfId="31" applyFont="1"/>
    <xf numFmtId="0" fontId="27" fillId="0" borderId="0" xfId="31" applyFont="1" applyAlignment="1">
      <alignment horizontal="left"/>
    </xf>
    <xf numFmtId="0" fontId="11" fillId="0" borderId="0" xfId="0" applyFont="1"/>
    <xf numFmtId="0" fontId="35" fillId="0" borderId="14" xfId="0" applyFont="1" applyBorder="1"/>
    <xf numFmtId="0" fontId="35" fillId="0" borderId="15" xfId="0" applyFont="1" applyBorder="1"/>
    <xf numFmtId="0" fontId="38" fillId="0" borderId="0" xfId="0" applyFont="1"/>
    <xf numFmtId="0" fontId="35" fillId="0" borderId="16" xfId="0" applyFont="1" applyBorder="1"/>
    <xf numFmtId="0" fontId="35" fillId="0" borderId="17" xfId="0" applyFont="1" applyBorder="1"/>
    <xf numFmtId="0" fontId="11" fillId="0" borderId="16" xfId="0" applyFont="1" applyBorder="1"/>
    <xf numFmtId="0" fontId="11" fillId="0" borderId="17" xfId="0" applyFont="1" applyBorder="1"/>
    <xf numFmtId="0" fontId="11" fillId="0" borderId="16" xfId="0" quotePrefix="1" applyFont="1" applyBorder="1"/>
    <xf numFmtId="0" fontId="11" fillId="0" borderId="17" xfId="0" quotePrefix="1" applyFont="1" applyBorder="1"/>
    <xf numFmtId="0" fontId="38" fillId="14" borderId="0" xfId="0" applyFont="1" applyFill="1"/>
    <xf numFmtId="0" fontId="11" fillId="14" borderId="16" xfId="0" applyFont="1" applyFill="1" applyBorder="1"/>
    <xf numFmtId="0" fontId="11" fillId="14" borderId="17" xfId="0" applyFont="1" applyFill="1" applyBorder="1"/>
    <xf numFmtId="8" fontId="11" fillId="0" borderId="16" xfId="0" applyNumberFormat="1" applyFont="1" applyBorder="1"/>
    <xf numFmtId="8" fontId="11" fillId="0" borderId="17" xfId="0" applyNumberFormat="1" applyFont="1" applyBorder="1"/>
    <xf numFmtId="0" fontId="35" fillId="0" borderId="10" xfId="0" applyFont="1" applyBorder="1"/>
    <xf numFmtId="8" fontId="35" fillId="0" borderId="12" xfId="0" applyNumberFormat="1" applyFont="1" applyBorder="1"/>
    <xf numFmtId="8" fontId="35" fillId="0" borderId="18" xfId="0" applyNumberFormat="1" applyFont="1" applyBorder="1"/>
    <xf numFmtId="0" fontId="35" fillId="0" borderId="19" xfId="0" applyFont="1" applyBorder="1"/>
    <xf numFmtId="0" fontId="35" fillId="0" borderId="20" xfId="0" applyFont="1" applyBorder="1"/>
    <xf numFmtId="0" fontId="35" fillId="0" borderId="21" xfId="0" applyFont="1" applyBorder="1"/>
    <xf numFmtId="8" fontId="35" fillId="0" borderId="16" xfId="0" applyNumberFormat="1" applyFont="1" applyBorder="1"/>
    <xf numFmtId="8" fontId="35" fillId="0" borderId="17" xfId="0" applyNumberFormat="1" applyFont="1" applyBorder="1"/>
    <xf numFmtId="0" fontId="35" fillId="0" borderId="7" xfId="0" applyFont="1" applyBorder="1"/>
    <xf numFmtId="10" fontId="35" fillId="0" borderId="22" xfId="0" applyNumberFormat="1" applyFont="1" applyBorder="1"/>
    <xf numFmtId="10" fontId="35" fillId="0" borderId="23" xfId="0" applyNumberFormat="1" applyFont="1" applyBorder="1"/>
    <xf numFmtId="0" fontId="39" fillId="0" borderId="0" xfId="0" applyFont="1"/>
    <xf numFmtId="0" fontId="40" fillId="0" borderId="0" xfId="0" applyFont="1"/>
    <xf numFmtId="43" fontId="11" fillId="0" borderId="0" xfId="0" applyNumberFormat="1" applyFont="1"/>
    <xf numFmtId="43" fontId="35" fillId="0" borderId="0" xfId="0" applyNumberFormat="1" applyFont="1"/>
    <xf numFmtId="43" fontId="11" fillId="0" borderId="0" xfId="0" quotePrefix="1" applyNumberFormat="1" applyFont="1"/>
    <xf numFmtId="43" fontId="0" fillId="0" borderId="0" xfId="0" applyNumberFormat="1"/>
    <xf numFmtId="174" fontId="11" fillId="0" borderId="0" xfId="0" applyNumberFormat="1" applyFont="1"/>
    <xf numFmtId="174" fontId="11" fillId="14" borderId="0" xfId="0" applyNumberFormat="1" applyFont="1" applyFill="1"/>
    <xf numFmtId="174" fontId="35" fillId="0" borderId="10" xfId="0" applyNumberFormat="1" applyFont="1" applyBorder="1"/>
    <xf numFmtId="174" fontId="38" fillId="14" borderId="0" xfId="0" applyNumberFormat="1" applyFont="1" applyFill="1"/>
    <xf numFmtId="174" fontId="35" fillId="0" borderId="19" xfId="0" applyNumberFormat="1" applyFont="1" applyBorder="1"/>
    <xf numFmtId="174" fontId="35" fillId="0" borderId="0" xfId="0" applyNumberFormat="1" applyFont="1"/>
    <xf numFmtId="174" fontId="35" fillId="0" borderId="7" xfId="0" applyNumberFormat="1" applyFont="1" applyBorder="1"/>
    <xf numFmtId="174" fontId="11" fillId="3" borderId="0" xfId="0" applyNumberFormat="1" applyFont="1" applyFill="1"/>
    <xf numFmtId="0" fontId="11" fillId="3" borderId="0" xfId="0" applyFont="1" applyFill="1"/>
    <xf numFmtId="37" fontId="24" fillId="4" borderId="0" xfId="30" applyNumberFormat="1" applyFont="1" applyFill="1"/>
    <xf numFmtId="37" fontId="24" fillId="4" borderId="0" xfId="0" applyNumberFormat="1" applyFont="1" applyFill="1"/>
    <xf numFmtId="37" fontId="27" fillId="4" borderId="0" xfId="31" applyNumberFormat="1" applyFont="1" applyFill="1" applyAlignment="1" applyProtection="1">
      <alignment horizontal="center"/>
      <protection locked="0"/>
    </xf>
    <xf numFmtId="179" fontId="0" fillId="0" borderId="0" xfId="0" applyNumberFormat="1"/>
    <xf numFmtId="0" fontId="16" fillId="0" borderId="0" xfId="16" applyFont="1" applyAlignment="1">
      <alignment horizontal="center"/>
    </xf>
    <xf numFmtId="0" fontId="16" fillId="0" borderId="0" xfId="8" applyFont="1" applyAlignment="1">
      <alignment horizontal="center"/>
    </xf>
    <xf numFmtId="0" fontId="35" fillId="0" borderId="0" xfId="0" applyFont="1"/>
    <xf numFmtId="0" fontId="36" fillId="0" borderId="0" xfId="0" applyFont="1"/>
    <xf numFmtId="0" fontId="3" fillId="0" borderId="0" xfId="0" applyFont="1" applyAlignment="1">
      <alignment wrapText="1"/>
    </xf>
    <xf numFmtId="0" fontId="0" fillId="15" borderId="0" xfId="0" applyFill="1"/>
    <xf numFmtId="0" fontId="3" fillId="15" borderId="0" xfId="0" applyFont="1" applyFill="1"/>
    <xf numFmtId="0" fontId="2" fillId="2" borderId="3" xfId="4" applyBorder="1" applyAlignment="1">
      <alignment horizontal="center"/>
    </xf>
    <xf numFmtId="0" fontId="2" fillId="2" borderId="10" xfId="4" applyBorder="1" applyAlignment="1">
      <alignment horizontal="center"/>
    </xf>
    <xf numFmtId="0" fontId="2" fillId="2" borderId="2" xfId="4" applyBorder="1" applyAlignment="1">
      <alignment horizontal="center"/>
    </xf>
    <xf numFmtId="0" fontId="13" fillId="3" borderId="0" xfId="17" applyFont="1" applyFill="1" applyAlignment="1">
      <alignment horizontal="left" vertical="top"/>
    </xf>
    <xf numFmtId="1" fontId="18" fillId="0" borderId="0" xfId="9" applyNumberFormat="1" applyFont="1" applyAlignment="1">
      <alignment horizontal="center"/>
    </xf>
    <xf numFmtId="0" fontId="16" fillId="0" borderId="0" xfId="16" applyFont="1" applyAlignment="1">
      <alignment horizontal="center"/>
    </xf>
    <xf numFmtId="0" fontId="16" fillId="0" borderId="0" xfId="8" applyFont="1" applyAlignment="1">
      <alignment horizontal="center"/>
    </xf>
    <xf numFmtId="0" fontId="25" fillId="0" borderId="0" xfId="3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0" xfId="30" applyFont="1" applyAlignment="1">
      <alignment horizontal="center"/>
    </xf>
    <xf numFmtId="0" fontId="27" fillId="0" borderId="7" xfId="31" applyFont="1" applyBorder="1" applyAlignment="1">
      <alignment horizontal="center"/>
    </xf>
    <xf numFmtId="43" fontId="37" fillId="0" borderId="0" xfId="0" applyNumberFormat="1" applyFont="1"/>
    <xf numFmtId="0" fontId="35" fillId="0" borderId="0" xfId="0" applyFont="1"/>
    <xf numFmtId="0" fontId="36" fillId="0" borderId="0" xfId="0" applyFont="1"/>
    <xf numFmtId="3" fontId="0" fillId="0" borderId="0" xfId="0" applyNumberFormat="1"/>
    <xf numFmtId="0" fontId="63" fillId="39" borderId="3" xfId="0" applyFont="1" applyFill="1" applyBorder="1" applyAlignment="1">
      <alignment horizontal="center"/>
    </xf>
    <xf numFmtId="0" fontId="63" fillId="39" borderId="10" xfId="0" applyFont="1" applyFill="1" applyBorder="1" applyAlignment="1">
      <alignment horizontal="center"/>
    </xf>
    <xf numFmtId="0" fontId="63" fillId="39" borderId="2" xfId="0" applyFont="1" applyFill="1" applyBorder="1" applyAlignment="1">
      <alignment horizontal="center"/>
    </xf>
    <xf numFmtId="0" fontId="42" fillId="0" borderId="0" xfId="0" applyFont="1"/>
    <xf numFmtId="0" fontId="63" fillId="39" borderId="3" xfId="0" applyFont="1" applyFill="1" applyBorder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42" fillId="0" borderId="1" xfId="0" applyFont="1" applyBorder="1"/>
    <xf numFmtId="3" fontId="64" fillId="0" borderId="1" xfId="0" applyNumberFormat="1" applyFont="1" applyBorder="1"/>
    <xf numFmtId="9" fontId="42" fillId="0" borderId="1" xfId="0" applyNumberFormat="1" applyFont="1" applyBorder="1" applyAlignment="1">
      <alignment horizontal="center"/>
    </xf>
    <xf numFmtId="3" fontId="64" fillId="0" borderId="34" xfId="0" applyNumberFormat="1" applyFont="1" applyBorder="1"/>
    <xf numFmtId="0" fontId="64" fillId="0" borderId="34" xfId="0" applyFont="1" applyBorder="1"/>
    <xf numFmtId="0" fontId="41" fillId="16" borderId="1" xfId="0" applyFont="1" applyFill="1" applyBorder="1" applyAlignment="1">
      <alignment horizontal="left"/>
    </xf>
    <xf numFmtId="3" fontId="61" fillId="16" borderId="1" xfId="0" applyNumberFormat="1" applyFont="1" applyFill="1" applyBorder="1"/>
    <xf numFmtId="9" fontId="41" fillId="16" borderId="1" xfId="0" applyNumberFormat="1" applyFont="1" applyFill="1" applyBorder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vertical="top"/>
    </xf>
    <xf numFmtId="0" fontId="41" fillId="0" borderId="0" xfId="0" applyFont="1" applyAlignment="1">
      <alignment vertical="top"/>
    </xf>
    <xf numFmtId="0" fontId="42" fillId="0" borderId="0" xfId="0" applyFont="1" applyAlignment="1">
      <alignment horizontal="left" vertical="top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2" fillId="0" borderId="0" xfId="0" applyFont="1"/>
    <xf numFmtId="9" fontId="0" fillId="0" borderId="0" xfId="3" applyNumberFormat="1" applyFont="1"/>
    <xf numFmtId="0" fontId="65" fillId="0" borderId="0" xfId="0" applyFont="1"/>
    <xf numFmtId="0" fontId="6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7" fillId="0" borderId="0" xfId="0" applyFont="1"/>
    <xf numFmtId="0" fontId="68" fillId="0" borderId="0" xfId="0" applyFont="1"/>
    <xf numFmtId="0" fontId="6" fillId="0" borderId="0" xfId="0" applyFont="1" applyAlignment="1">
      <alignment horizontal="right"/>
    </xf>
    <xf numFmtId="15" fontId="6" fillId="0" borderId="0" xfId="0" applyNumberFormat="1" applyFont="1"/>
    <xf numFmtId="0" fontId="6" fillId="0" borderId="0" xfId="0" applyFont="1" applyAlignment="1">
      <alignment horizontal="center"/>
    </xf>
    <xf numFmtId="3" fontId="64" fillId="0" borderId="53" xfId="0" applyNumberFormat="1" applyFont="1" applyBorder="1"/>
    <xf numFmtId="0" fontId="64" fillId="0" borderId="53" xfId="0" applyFont="1" applyBorder="1"/>
    <xf numFmtId="0" fontId="68" fillId="3" borderId="0" xfId="0" applyFont="1" applyFill="1"/>
  </cellXfs>
  <cellStyles count="143">
    <cellStyle name="20% - Accent1 2" xfId="37" xr:uid="{5A52C058-C845-4D31-A2D2-BC94F8286C37}"/>
    <cellStyle name="20% - Accent2 2" xfId="38" xr:uid="{E76BB80C-554B-46F2-8B85-B24A2BD38FFB}"/>
    <cellStyle name="20% - Accent3 2" xfId="39" xr:uid="{DBE994BC-8B23-4863-93A2-9CB5044ECB11}"/>
    <cellStyle name="20% - Accent4 2" xfId="40" xr:uid="{F10F7E06-3CDD-4335-A641-48BC3066D779}"/>
    <cellStyle name="20% - Accent5 2" xfId="41" xr:uid="{B98F8C5F-BA5C-4D8D-86D7-2059B8B5BCAC}"/>
    <cellStyle name="20% - Accent6 2" xfId="42" xr:uid="{6417E23B-6BDF-4860-9240-744CDC7AA77F}"/>
    <cellStyle name="40% - Accent1 2" xfId="43" xr:uid="{F5EC4B00-0104-46C5-A05F-FFC85DFD5881}"/>
    <cellStyle name="40% - Accent2 2" xfId="44" xr:uid="{18B49BD9-8EBD-42EE-A0FB-0805DC267B55}"/>
    <cellStyle name="40% - Accent3 2" xfId="45" xr:uid="{71598E5D-47E3-4F3C-B75F-6F19C0D5672F}"/>
    <cellStyle name="40% - Accent4 2" xfId="46" xr:uid="{B02372AB-DFF7-4485-96B8-ED7BC39FBA4B}"/>
    <cellStyle name="40% - Accent5 2" xfId="47" xr:uid="{2E211E4A-2F72-471D-9924-5EA89D5256B1}"/>
    <cellStyle name="40% - Accent6 2" xfId="48" xr:uid="{47B6AFCF-004C-45A8-BC9A-9B6F647235F4}"/>
    <cellStyle name="60% - Accent1 2" xfId="49" xr:uid="{6F11A27E-B008-48F0-A3A2-91666437AD0D}"/>
    <cellStyle name="60% - Accent2 2" xfId="50" xr:uid="{FA4F6580-0B63-48AA-AFF3-C975CBEC0F0B}"/>
    <cellStyle name="60% - Accent3 2" xfId="51" xr:uid="{E0871B21-6C7A-4B86-8C8B-0F7C3CAEF0CF}"/>
    <cellStyle name="60% - Accent4 2" xfId="52" xr:uid="{F9515E20-DB71-4D59-96F3-792225976658}"/>
    <cellStyle name="60% - Accent5 2" xfId="53" xr:uid="{08C1D295-DEB2-4303-8E44-9430E22185C2}"/>
    <cellStyle name="60% - Accent6 2" xfId="54" xr:uid="{6ECA6D3B-DAC4-4620-805F-6EEC90EDC4B2}"/>
    <cellStyle name="Accent1 2" xfId="55" xr:uid="{7FE98AC3-5599-4DB7-85F0-63E2DC9253B1}"/>
    <cellStyle name="Accent2 2" xfId="56" xr:uid="{27A1F1BD-A3A3-41D7-BCF5-D7B1C2DE0286}"/>
    <cellStyle name="Accent3 2" xfId="57" xr:uid="{F1CBF4F5-039B-4C2B-A188-366B2874C10B}"/>
    <cellStyle name="Accent4 2" xfId="58" xr:uid="{D662C083-A57E-47A8-B21F-7A2F5AD9BCBC}"/>
    <cellStyle name="Accent5 2" xfId="59" xr:uid="{D858FAF1-8949-4B0A-9A9D-7C225735F1A1}"/>
    <cellStyle name="Accent6 2" xfId="60" xr:uid="{C46698C8-45AD-4920-A9FB-438B59C72363}"/>
    <cellStyle name="Bad 2" xfId="61" xr:uid="{5220280A-0E89-4695-AA87-17F1B4C0BA2D}"/>
    <cellStyle name="Calculation 2" xfId="80" xr:uid="{66676EA7-0D47-4E70-8149-456ADD07DD39}"/>
    <cellStyle name="Calculation 2 2" xfId="97" xr:uid="{A70280B8-A410-4139-AC86-273A6B8C47EB}"/>
    <cellStyle name="Calculation 2 2 2" xfId="136" xr:uid="{A98BF4A8-080E-4F26-AA36-D3238046E371}"/>
    <cellStyle name="Calculation 2 3" xfId="119" xr:uid="{6D75F77C-0BAE-479B-A10F-CE10DAF604C0}"/>
    <cellStyle name="Calculation 3" xfId="90" xr:uid="{E72B50B7-88FA-4300-B155-ADA1B07C2D0D}"/>
    <cellStyle name="Calculation 3 2" xfId="129" xr:uid="{27A711A9-6A68-4151-87C9-6D8F6FEFC199}"/>
    <cellStyle name="Calculation 4" xfId="62" xr:uid="{358E7229-E7B5-40FE-93A6-D01AFB21336B}"/>
    <cellStyle name="Calculation 5" xfId="106" xr:uid="{98FE4763-2996-45D5-8A81-4ADF41D83C87}"/>
    <cellStyle name="Calculation 6" xfId="103" xr:uid="{97CA0084-3006-4129-AC92-EE5AB37A13F2}"/>
    <cellStyle name="Calculation 7" xfId="104" xr:uid="{CABFF6D8-FB6D-4E2D-970B-4C540BE729DC}"/>
    <cellStyle name="Calculation 8" xfId="64" xr:uid="{6A4DE77C-9E40-4EA1-83B7-DDB465D71619}"/>
    <cellStyle name="Calculation 9" xfId="102" xr:uid="{4CEDDEA7-FFB0-4C3D-8C94-13C225E789DD}"/>
    <cellStyle name="Check Cell 2" xfId="63" xr:uid="{699F8BCF-398B-4AE5-8389-ABAAC71C0126}"/>
    <cellStyle name="Comma" xfId="1" builtinId="3"/>
    <cellStyle name="Comma 17" xfId="22" xr:uid="{4CC06970-CCA9-4619-9FD0-39EA46E5FD95}"/>
    <cellStyle name="Comma 2" xfId="29" xr:uid="{C30BFB79-0F27-4478-8F76-63A5ABEA615F}"/>
    <cellStyle name="Comma 2 3" xfId="12" xr:uid="{C25ED1D2-7875-489F-AE6E-8C78CB34674D}"/>
    <cellStyle name="Comma 3" xfId="34" xr:uid="{FCC0A153-494A-4B1E-BB5E-54B531BB9373}"/>
    <cellStyle name="Currency" xfId="2" builtinId="4"/>
    <cellStyle name="Currency 14" xfId="23" xr:uid="{8D3E28F1-D599-42AF-9739-1C5588B9CCDD}"/>
    <cellStyle name="Currency 2" xfId="28" xr:uid="{3428DCD9-FDA4-4357-845C-00EC25D85D80}"/>
    <cellStyle name="Currency 2 3" xfId="13" xr:uid="{9076D2FC-D8E8-4C01-A1FB-F920478DDDBD}"/>
    <cellStyle name="Currency 3" xfId="18" xr:uid="{8CFD9B82-B867-491F-94A7-F0DB8015420C}"/>
    <cellStyle name="Explanatory Text 2" xfId="65" xr:uid="{64853AA0-7839-4DF5-9601-D994E581A94F}"/>
    <cellStyle name="Good" xfId="4" builtinId="26"/>
    <cellStyle name="Good 2" xfId="66" xr:uid="{5F43CBAA-EE60-47AF-AEE0-B37AB585E29F}"/>
    <cellStyle name="Heading 1 2" xfId="67" xr:uid="{16DDF5E2-53D9-4185-9062-5900AE057734}"/>
    <cellStyle name="Heading 2 2" xfId="68" xr:uid="{810E7145-F971-4128-9745-CE8AF08CC6F4}"/>
    <cellStyle name="Heading 3 2" xfId="69" xr:uid="{220C415C-AF4D-4D77-89B4-98E963B828D2}"/>
    <cellStyle name="Heading 4 2" xfId="70" xr:uid="{AA76D9D0-F1D7-4D8D-A228-F94BBCD011FE}"/>
    <cellStyle name="Hyperlink" xfId="5" builtinId="8"/>
    <cellStyle name="Hyperlink 3" xfId="24" xr:uid="{A2A5DBE2-B5D7-4D38-AF1C-B7278319222E}"/>
    <cellStyle name="Input 2" xfId="81" xr:uid="{F355D29B-83DE-47DA-9531-4220EBB86A1A}"/>
    <cellStyle name="Input 2 2" xfId="98" xr:uid="{4AD7E6BD-6B92-4838-8E84-0BB254FECDD3}"/>
    <cellStyle name="Input 2 2 2" xfId="137" xr:uid="{91D5F711-FFA9-49E2-B169-FB923FAB22A7}"/>
    <cellStyle name="Input 2 3" xfId="120" xr:uid="{C2C39823-A45E-491D-9899-246644BBB640}"/>
    <cellStyle name="Input 3" xfId="89" xr:uid="{6A850174-92CB-41D6-A3A3-088F5E0AEDD3}"/>
    <cellStyle name="Input 3 2" xfId="128" xr:uid="{CE58EDA5-E023-44C3-A3BF-B18E489EA67F}"/>
    <cellStyle name="Input 4" xfId="71" xr:uid="{561C0AF5-FE06-4D2F-A94C-E2FBF7FA7959}"/>
    <cellStyle name="Input 5" xfId="110" xr:uid="{43241C86-061A-4C87-878D-9F7D9E6CD963}"/>
    <cellStyle name="Input 6" xfId="114" xr:uid="{D0EF5AD9-0CE0-4BD0-AFBE-01829B1F2371}"/>
    <cellStyle name="Input 7" xfId="105" xr:uid="{FC0A1560-F3FA-4FFD-A6A3-C1A0A0032E14}"/>
    <cellStyle name="Input 8" xfId="124" xr:uid="{BEBB9712-196F-4607-B4DA-8C70CF301C78}"/>
    <cellStyle name="Input 9" xfId="109" xr:uid="{4633EBA4-58F6-4B8F-988C-83CB7D9117F5}"/>
    <cellStyle name="Linked Cell 2" xfId="72" xr:uid="{389628B1-3A9B-4D1A-992D-63EFAC77E5F6}"/>
    <cellStyle name="Neutral 2" xfId="73" xr:uid="{C45F10C3-D26C-45B9-BD04-D3D8D9E23B96}"/>
    <cellStyle name="Normal" xfId="0" builtinId="0"/>
    <cellStyle name="Normal 10 2 3" xfId="30" xr:uid="{A22EE8B5-B577-4351-8E27-64658554F625}"/>
    <cellStyle name="Normal 12 2" xfId="35" xr:uid="{74253F82-C234-410C-A1D6-FB0752CD7301}"/>
    <cellStyle name="Normal 16" xfId="20" xr:uid="{EF452F04-BBCC-4CD0-A7AA-6A52A6953A5F}"/>
    <cellStyle name="Normal 2" xfId="7" xr:uid="{6B8CA381-DC33-4C83-8C11-7FB78DA495CD}"/>
    <cellStyle name="Normal 2 2" xfId="15" xr:uid="{FC33C43A-BF60-41F9-850A-4FE2735D196E}"/>
    <cellStyle name="Normal 2 2 2" xfId="11" xr:uid="{B780BEF6-F474-4D53-A119-F514EC074EBA}"/>
    <cellStyle name="Normal 21" xfId="21" xr:uid="{EBD90A87-F130-44F2-87D3-7E31BEE0A0A3}"/>
    <cellStyle name="Normal 3" xfId="6" xr:uid="{720E6DA7-B557-48C4-AF6D-7359A2733B7D}"/>
    <cellStyle name="Normal 3 2" xfId="19" xr:uid="{3FADD6FC-C486-4818-A26F-6F7EC421275A}"/>
    <cellStyle name="Normal 4" xfId="79" xr:uid="{7BE77898-EF50-499E-97D8-9B5D0356D870}"/>
    <cellStyle name="Normal 4 12" xfId="25" xr:uid="{CFEA4E88-2B44-42A1-A839-508A15EAA7A9}"/>
    <cellStyle name="Normal 4 2" xfId="85" xr:uid="{D87099A7-28B1-47AB-B755-7EF14DC31CAB}"/>
    <cellStyle name="Normal 4 2 2" xfId="96" xr:uid="{8C750CDA-CE7E-46D1-8148-8C65B72587B1}"/>
    <cellStyle name="Normal 4 3" xfId="94" xr:uid="{09D8C2D2-8AFF-40B7-8768-4AFF77700F16}"/>
    <cellStyle name="Normal 5" xfId="36" xr:uid="{127AB755-8670-4A2E-982F-42845A2B9D58}"/>
    <cellStyle name="Normal 9" xfId="16" xr:uid="{8985EE2B-4C1C-4B88-8CB4-C8AF3BEB6CF7}"/>
    <cellStyle name="Normal 9 2" xfId="17" xr:uid="{23BB54DF-1CBD-4A6B-BE22-9DE171FFEA6C}"/>
    <cellStyle name="Normal 9 2 2" xfId="8" xr:uid="{2358CD37-B97E-4AB8-BA6E-565ACAA7550E}"/>
    <cellStyle name="Normal_CP version DPU 07-GAF-P8 Filing" xfId="9" xr:uid="{B95B21FA-3B7E-4250-8E3C-EF69EFF22A0F}"/>
    <cellStyle name="Normal_REGULAR R-1" xfId="31" xr:uid="{4E775885-FEEB-4090-9783-FF281652EAB1}"/>
    <cellStyle name="Normal_REGULAR R-1_NSTAR Electric - BECo Rate Design Model" xfId="33" xr:uid="{395326A5-FD90-4E62-B442-28CBC788B834}"/>
    <cellStyle name="Normal_Revenue Shift" xfId="10" xr:uid="{912210B9-307B-4ADE-9829-B7CA1F1DC094}"/>
    <cellStyle name="Note 2" xfId="82" xr:uid="{3A2D1D44-2E22-4FE2-A3E3-9AC72B22BBE2}"/>
    <cellStyle name="Note 2 2" xfId="95" xr:uid="{25566A38-EB9D-47BB-85B8-707051D90D98}"/>
    <cellStyle name="Note 2 2 2" xfId="134" xr:uid="{0192DE84-F0F5-48EF-8498-D82B2E8CD87A}"/>
    <cellStyle name="Note 2 3" xfId="99" xr:uid="{4DBA9051-1950-491F-A0E9-57E5CC5370FD}"/>
    <cellStyle name="Note 2 3 2" xfId="138" xr:uid="{CEB20D92-9180-4E8A-8E21-AA91CCA271D0}"/>
    <cellStyle name="Note 2 4" xfId="121" xr:uid="{53F39A3E-1AA8-45C3-9170-07CA65A238B2}"/>
    <cellStyle name="Note 3" xfId="91" xr:uid="{6B08CC98-9CDA-49EE-947C-CB86C448831B}"/>
    <cellStyle name="Note 3 2" xfId="130" xr:uid="{E4E1A26B-E469-4C48-8FC3-85B22B4C6E28}"/>
    <cellStyle name="Note 4" xfId="88" xr:uid="{12234B2E-832C-424B-9180-EF6EA27C0474}"/>
    <cellStyle name="Note 4 2" xfId="127" xr:uid="{CBAD3771-DF9D-4D8E-8DAD-8F7769E7BF8D}"/>
    <cellStyle name="Note 5" xfId="74" xr:uid="{4CCF37D8-04AB-4B1D-901F-78BD71A75F70}"/>
    <cellStyle name="Note 6" xfId="111" xr:uid="{CBD3CC40-FFEF-48A6-9C36-C99293E07B7D}"/>
    <cellStyle name="Note 7" xfId="115" xr:uid="{9FC11005-E6FA-4A96-AC79-B91EBC32612F}"/>
    <cellStyle name="Note 8" xfId="135" xr:uid="{BED1CD71-1DBA-4AC3-B7A2-4E493EAAEFDE}"/>
    <cellStyle name="Output 10" xfId="133" xr:uid="{B45C0CD8-E148-41E9-A6BD-15D5C3EA9EAC}"/>
    <cellStyle name="Output 2" xfId="83" xr:uid="{54FFA8B2-FF2C-4023-84DF-8CCCA15F2A1B}"/>
    <cellStyle name="Output 2 2" xfId="100" xr:uid="{92E294F5-76E4-4ED5-A04F-7695E0B9AEAE}"/>
    <cellStyle name="Output 2 2 2" xfId="139" xr:uid="{BAF64402-DD45-454D-B615-A68C39675013}"/>
    <cellStyle name="Output 2 3" xfId="122" xr:uid="{70C92F76-749A-4F48-80FC-B5E8CC2D7B74}"/>
    <cellStyle name="Output 3" xfId="92" xr:uid="{4784D92F-8776-4FEF-9E12-345D6E5E2123}"/>
    <cellStyle name="Output 3 2" xfId="131" xr:uid="{07BB96CD-7968-47DC-B908-CF863293C87D}"/>
    <cellStyle name="Output 4" xfId="87" xr:uid="{0AE6175C-A6DB-4DD2-A403-63CF5B68893D}"/>
    <cellStyle name="Output 4 2" xfId="126" xr:uid="{B47A4512-8837-4E71-AE85-F0ABBEB9294F}"/>
    <cellStyle name="Output 5" xfId="75" xr:uid="{0A305F95-C2CC-4921-B5F6-3AEE43EBF5A5}"/>
    <cellStyle name="Output 6" xfId="112" xr:uid="{BE7C538A-0FDE-4280-982A-03487A0B6313}"/>
    <cellStyle name="Output 7" xfId="116" xr:uid="{266B915F-0D47-49E5-BA65-B92C9522E0F4}"/>
    <cellStyle name="Output 8" xfId="107" xr:uid="{016D871C-4D01-4242-B358-F21D546D45F2}"/>
    <cellStyle name="Output 9" xfId="142" xr:uid="{E5F8E38C-162B-4950-8C14-B55F9DD836E9}"/>
    <cellStyle name="Percent" xfId="3" builtinId="5"/>
    <cellStyle name="Percent 13" xfId="26" xr:uid="{BD1E6A2B-C980-4356-BE2E-DCDFE9F44932}"/>
    <cellStyle name="Percent 2" xfId="27" xr:uid="{4F47539D-FAFA-4B1C-9A03-9B7C71021994}"/>
    <cellStyle name="Percent 2 2" xfId="14" xr:uid="{D9AB78AC-3F18-41BB-B5A3-B6D46D2441CC}"/>
    <cellStyle name="Percent 5 2" xfId="32" xr:uid="{8F318C6F-169D-4AF2-91F0-81C64B724146}"/>
    <cellStyle name="Title 2" xfId="76" xr:uid="{43732DA5-9350-45C3-A58D-EF70FB76F035}"/>
    <cellStyle name="Total 10" xfId="141" xr:uid="{198C5511-D2F5-4E06-85DF-2AFD697EE9DA}"/>
    <cellStyle name="Total 2" xfId="84" xr:uid="{2EFDE65B-0B52-44F3-9FB1-8B7977834C5E}"/>
    <cellStyle name="Total 2 2" xfId="101" xr:uid="{3DADE6C8-B50A-43C5-9C1D-0FB1CC3DA27C}"/>
    <cellStyle name="Total 2 2 2" xfId="140" xr:uid="{6AEAF635-79AC-49B1-A685-ED0D07A187E1}"/>
    <cellStyle name="Total 2 3" xfId="123" xr:uid="{D3D8A663-1238-4782-A2C4-1B8A2CF564C7}"/>
    <cellStyle name="Total 3" xfId="93" xr:uid="{90C57789-F02D-4B0F-A095-C24725E57855}"/>
    <cellStyle name="Total 3 2" xfId="132" xr:uid="{2AEE5017-2602-493F-BA4F-A241610CE62D}"/>
    <cellStyle name="Total 4" xfId="86" xr:uid="{ACD00973-8A33-4345-94B7-FB0A8B5A8CA6}"/>
    <cellStyle name="Total 4 2" xfId="125" xr:uid="{64FBD433-59BA-4E99-BC38-4AFA818F57B5}"/>
    <cellStyle name="Total 5" xfId="77" xr:uid="{E1502BF4-7051-495E-B0B1-1077F69A70BD}"/>
    <cellStyle name="Total 6" xfId="113" xr:uid="{71456740-E5E1-482A-8621-A15AD5C5D9B3}"/>
    <cellStyle name="Total 7" xfId="118" xr:uid="{F1F97ACE-44EE-42A1-BF24-C527C38B90E0}"/>
    <cellStyle name="Total 8" xfId="108" xr:uid="{9810EE15-2166-40A1-ABB8-649B9D93FA93}"/>
    <cellStyle name="Total 9" xfId="117" xr:uid="{6DFD81CE-0E07-4FF0-A07E-880AAA1928A1}"/>
    <cellStyle name="Warning Text 2" xfId="78" xr:uid="{A13BF606-C401-47EC-A8C4-1E4FA2749D7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0.xml"/><Relationship Id="rId18" Type="http://schemas.openxmlformats.org/officeDocument/2006/relationships/styles" Target="styles.xml"/><Relationship Id="rId3" Type="http://schemas.openxmlformats.org/officeDocument/2006/relationships/chartsheet" Target="chartsheets/sheet2.xml"/><Relationship Id="rId21" Type="http://schemas.openxmlformats.org/officeDocument/2006/relationships/calcChain" Target="calcChain.xml"/><Relationship Id="rId7" Type="http://schemas.openxmlformats.org/officeDocument/2006/relationships/worksheet" Target="worksheets/sheet5.xml"/><Relationship Id="rId12" Type="http://schemas.openxmlformats.org/officeDocument/2006/relationships/worksheet" Target="worksheets/sheet9.xml"/><Relationship Id="rId17" Type="http://schemas.openxmlformats.org/officeDocument/2006/relationships/theme" Target="theme/theme1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3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8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12.xml"/><Relationship Id="rId23" Type="http://schemas.openxmlformats.org/officeDocument/2006/relationships/customXml" Target="../customXml/item2.xml"/><Relationship Id="rId10" Type="http://schemas.openxmlformats.org/officeDocument/2006/relationships/chartsheet" Target="chartsheets/sheet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1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National Grid (Boston Gas) Rates for Residential Heating Customers -- $ per Therm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1115181401495"/>
          <c:y val="7.4818692418889887E-2"/>
          <c:w val="0.80241349703934906"/>
          <c:h val="0.594021753891844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'Gas Summary'!$M$2</c:f>
              <c:strCache>
                <c:ptCount val="1"/>
                <c:pt idx="0">
                  <c:v>Gas Supply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'Gas Summary'!$L$3:$L$21</c:f>
              <c:strCache>
                <c:ptCount val="19"/>
                <c:pt idx="0">
                  <c:v>2016  Peak (Jan 1)</c:v>
                </c:pt>
                <c:pt idx="1">
                  <c:v>2016 Off   (July 1)</c:v>
                </c:pt>
                <c:pt idx="2">
                  <c:v>2017  Peak (Jan 1)</c:v>
                </c:pt>
                <c:pt idx="3">
                  <c:v>2017 Off   (July 1)</c:v>
                </c:pt>
                <c:pt idx="4">
                  <c:v>2018  Peak (Jan 1)</c:v>
                </c:pt>
                <c:pt idx="5">
                  <c:v>2018 Off   (July 1)</c:v>
                </c:pt>
                <c:pt idx="6">
                  <c:v>2019  Peak (Jan 1)</c:v>
                </c:pt>
                <c:pt idx="7">
                  <c:v>2019 Off   (July 1)</c:v>
                </c:pt>
                <c:pt idx="8">
                  <c:v>2020  Peak (Jan 1)</c:v>
                </c:pt>
                <c:pt idx="9">
                  <c:v>2020 Off   (July 1)</c:v>
                </c:pt>
                <c:pt idx="10">
                  <c:v>2021  Peak (Jan 1)</c:v>
                </c:pt>
                <c:pt idx="11">
                  <c:v>2021 Off   (July 1)</c:v>
                </c:pt>
                <c:pt idx="12">
                  <c:v>2022  Peak (Jan 1)</c:v>
                </c:pt>
                <c:pt idx="13">
                  <c:v>2022 Off   (July 1)</c:v>
                </c:pt>
                <c:pt idx="14">
                  <c:v>2023  Peak (Jan 1)</c:v>
                </c:pt>
                <c:pt idx="15">
                  <c:v>2023 Off   (July 1)</c:v>
                </c:pt>
                <c:pt idx="16">
                  <c:v>2024  Peak (Jan 1)</c:v>
                </c:pt>
                <c:pt idx="17">
                  <c:v>2024 Off   (July 1)</c:v>
                </c:pt>
                <c:pt idx="18">
                  <c:v>2025  Peak (Jan 1)</c:v>
                </c:pt>
              </c:strCache>
            </c:strRef>
          </c:cat>
          <c:val>
            <c:numRef>
              <c:f>'Gas Summary'!$M$3:$M$21</c:f>
              <c:numCache>
                <c:formatCode>_(* #,##0.0000_);_(* \(#,##0.0000\);_(* "-"??_);_(@_)</c:formatCode>
                <c:ptCount val="19"/>
                <c:pt idx="0">
                  <c:v>0.47499999999999998</c:v>
                </c:pt>
                <c:pt idx="1">
                  <c:v>0.28999999999999998</c:v>
                </c:pt>
                <c:pt idx="2">
                  <c:v>0.43540000000000001</c:v>
                </c:pt>
                <c:pt idx="3">
                  <c:v>0.42099999999999999</c:v>
                </c:pt>
                <c:pt idx="4">
                  <c:v>0.626</c:v>
                </c:pt>
                <c:pt idx="5">
                  <c:v>0.35470000000000002</c:v>
                </c:pt>
                <c:pt idx="6">
                  <c:v>0.60250000000000004</c:v>
                </c:pt>
                <c:pt idx="7">
                  <c:v>0.35220000000000001</c:v>
                </c:pt>
                <c:pt idx="8">
                  <c:v>0.60460000000000003</c:v>
                </c:pt>
                <c:pt idx="9">
                  <c:v>0.28420000000000001</c:v>
                </c:pt>
                <c:pt idx="10">
                  <c:v>0.5867</c:v>
                </c:pt>
                <c:pt idx="11">
                  <c:v>0.38950000000000001</c:v>
                </c:pt>
                <c:pt idx="12">
                  <c:v>0.73450000000000004</c:v>
                </c:pt>
                <c:pt idx="13">
                  <c:v>1.0487</c:v>
                </c:pt>
                <c:pt idx="14">
                  <c:v>0.98699999999999999</c:v>
                </c:pt>
                <c:pt idx="15">
                  <c:v>0.2273</c:v>
                </c:pt>
                <c:pt idx="16">
                  <c:v>0.81220000000000003</c:v>
                </c:pt>
                <c:pt idx="17">
                  <c:v>0.38159999999999999</c:v>
                </c:pt>
                <c:pt idx="18">
                  <c:v>0.84670000000000001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9-4DCD-B816-CAE4F235175C}"/>
            </c:ext>
          </c:extLst>
        </c:ser>
        <c:ser>
          <c:idx val="1"/>
          <c:order val="1"/>
          <c:tx>
            <c:strRef>
              <c:f>'Gas Summary'!$N$2</c:f>
              <c:strCache>
                <c:ptCount val="1"/>
                <c:pt idx="0">
                  <c:v>Base Distribution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'Gas Summary'!$L$3:$L$21</c:f>
              <c:strCache>
                <c:ptCount val="19"/>
                <c:pt idx="0">
                  <c:v>2016  Peak (Jan 1)</c:v>
                </c:pt>
                <c:pt idx="1">
                  <c:v>2016 Off   (July 1)</c:v>
                </c:pt>
                <c:pt idx="2">
                  <c:v>2017  Peak (Jan 1)</c:v>
                </c:pt>
                <c:pt idx="3">
                  <c:v>2017 Off   (July 1)</c:v>
                </c:pt>
                <c:pt idx="4">
                  <c:v>2018  Peak (Jan 1)</c:v>
                </c:pt>
                <c:pt idx="5">
                  <c:v>2018 Off   (July 1)</c:v>
                </c:pt>
                <c:pt idx="6">
                  <c:v>2019  Peak (Jan 1)</c:v>
                </c:pt>
                <c:pt idx="7">
                  <c:v>2019 Off   (July 1)</c:v>
                </c:pt>
                <c:pt idx="8">
                  <c:v>2020  Peak (Jan 1)</c:v>
                </c:pt>
                <c:pt idx="9">
                  <c:v>2020 Off   (July 1)</c:v>
                </c:pt>
                <c:pt idx="10">
                  <c:v>2021  Peak (Jan 1)</c:v>
                </c:pt>
                <c:pt idx="11">
                  <c:v>2021 Off   (July 1)</c:v>
                </c:pt>
                <c:pt idx="12">
                  <c:v>2022  Peak (Jan 1)</c:v>
                </c:pt>
                <c:pt idx="13">
                  <c:v>2022 Off   (July 1)</c:v>
                </c:pt>
                <c:pt idx="14">
                  <c:v>2023  Peak (Jan 1)</c:v>
                </c:pt>
                <c:pt idx="15">
                  <c:v>2023 Off   (July 1)</c:v>
                </c:pt>
                <c:pt idx="16">
                  <c:v>2024  Peak (Jan 1)</c:v>
                </c:pt>
                <c:pt idx="17">
                  <c:v>2024 Off   (July 1)</c:v>
                </c:pt>
                <c:pt idx="18">
                  <c:v>2025  Peak (Jan 1)</c:v>
                </c:pt>
              </c:strCache>
            </c:strRef>
          </c:cat>
          <c:val>
            <c:numRef>
              <c:f>'Gas Summary'!$N$3:$N$21</c:f>
              <c:numCache>
                <c:formatCode>_(* #,##0.0000_);_(* \(#,##0.0000\);_(* "-"??_);_(@_)</c:formatCode>
                <c:ptCount val="19"/>
                <c:pt idx="0">
                  <c:v>0.45340000000000003</c:v>
                </c:pt>
                <c:pt idx="1">
                  <c:v>0.25750000000000001</c:v>
                </c:pt>
                <c:pt idx="2">
                  <c:v>0.5242</c:v>
                </c:pt>
                <c:pt idx="3">
                  <c:v>0.26600000000000001</c:v>
                </c:pt>
                <c:pt idx="4">
                  <c:v>0.51600000000000001</c:v>
                </c:pt>
                <c:pt idx="5">
                  <c:v>0.27400000000000002</c:v>
                </c:pt>
                <c:pt idx="6">
                  <c:v>0.59199999999999997</c:v>
                </c:pt>
                <c:pt idx="7">
                  <c:v>0.75949999999999995</c:v>
                </c:pt>
                <c:pt idx="8">
                  <c:v>0.57289999999999996</c:v>
                </c:pt>
                <c:pt idx="9">
                  <c:v>0.27939999999999998</c:v>
                </c:pt>
                <c:pt idx="10">
                  <c:v>0.61409999999999998</c:v>
                </c:pt>
                <c:pt idx="11">
                  <c:v>0.30059999999999998</c:v>
                </c:pt>
                <c:pt idx="12">
                  <c:v>0.69869999999999999</c:v>
                </c:pt>
                <c:pt idx="13">
                  <c:v>0.37669999999999998</c:v>
                </c:pt>
                <c:pt idx="14">
                  <c:v>0.82679999999999998</c:v>
                </c:pt>
                <c:pt idx="15">
                  <c:v>0.47839999999999999</c:v>
                </c:pt>
                <c:pt idx="16">
                  <c:v>0.95369999999999999</c:v>
                </c:pt>
                <c:pt idx="17">
                  <c:v>0.49909999999999999</c:v>
                </c:pt>
                <c:pt idx="18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A9-4DCD-B816-CAE4F235175C}"/>
            </c:ext>
          </c:extLst>
        </c:ser>
        <c:ser>
          <c:idx val="2"/>
          <c:order val="2"/>
          <c:tx>
            <c:strRef>
              <c:f>'Gas Summary'!$O$2</c:f>
              <c:strCache>
                <c:ptCount val="1"/>
                <c:pt idx="0">
                  <c:v>Energy Efficiency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'Gas Summary'!$L$3:$L$21</c:f>
              <c:strCache>
                <c:ptCount val="19"/>
                <c:pt idx="0">
                  <c:v>2016  Peak (Jan 1)</c:v>
                </c:pt>
                <c:pt idx="1">
                  <c:v>2016 Off   (July 1)</c:v>
                </c:pt>
                <c:pt idx="2">
                  <c:v>2017  Peak (Jan 1)</c:v>
                </c:pt>
                <c:pt idx="3">
                  <c:v>2017 Off   (July 1)</c:v>
                </c:pt>
                <c:pt idx="4">
                  <c:v>2018  Peak (Jan 1)</c:v>
                </c:pt>
                <c:pt idx="5">
                  <c:v>2018 Off   (July 1)</c:v>
                </c:pt>
                <c:pt idx="6">
                  <c:v>2019  Peak (Jan 1)</c:v>
                </c:pt>
                <c:pt idx="7">
                  <c:v>2019 Off   (July 1)</c:v>
                </c:pt>
                <c:pt idx="8">
                  <c:v>2020  Peak (Jan 1)</c:v>
                </c:pt>
                <c:pt idx="9">
                  <c:v>2020 Off   (July 1)</c:v>
                </c:pt>
                <c:pt idx="10">
                  <c:v>2021  Peak (Jan 1)</c:v>
                </c:pt>
                <c:pt idx="11">
                  <c:v>2021 Off   (July 1)</c:v>
                </c:pt>
                <c:pt idx="12">
                  <c:v>2022  Peak (Jan 1)</c:v>
                </c:pt>
                <c:pt idx="13">
                  <c:v>2022 Off   (July 1)</c:v>
                </c:pt>
                <c:pt idx="14">
                  <c:v>2023  Peak (Jan 1)</c:v>
                </c:pt>
                <c:pt idx="15">
                  <c:v>2023 Off   (July 1)</c:v>
                </c:pt>
                <c:pt idx="16">
                  <c:v>2024  Peak (Jan 1)</c:v>
                </c:pt>
                <c:pt idx="17">
                  <c:v>2024 Off   (July 1)</c:v>
                </c:pt>
                <c:pt idx="18">
                  <c:v>2025  Peak (Jan 1)</c:v>
                </c:pt>
              </c:strCache>
            </c:strRef>
          </c:cat>
          <c:val>
            <c:numRef>
              <c:f>'Gas Summary'!$O$3:$O$21</c:f>
              <c:numCache>
                <c:formatCode>_(* #,##0.0000_);_(* \(#,##0.0000\);_(* "-"??_);_(@_)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0.1323</c:v>
                </c:pt>
                <c:pt idx="8">
                  <c:v>0.14860000000000001</c:v>
                </c:pt>
                <c:pt idx="9">
                  <c:v>0.14860000000000001</c:v>
                </c:pt>
                <c:pt idx="10">
                  <c:v>0.17929999999999999</c:v>
                </c:pt>
                <c:pt idx="11">
                  <c:v>0.17929999999999999</c:v>
                </c:pt>
                <c:pt idx="12">
                  <c:v>0.23300000000000001</c:v>
                </c:pt>
                <c:pt idx="13">
                  <c:v>0.23300000000000001</c:v>
                </c:pt>
                <c:pt idx="14">
                  <c:v>0.2782</c:v>
                </c:pt>
                <c:pt idx="15">
                  <c:v>0.2782</c:v>
                </c:pt>
                <c:pt idx="16">
                  <c:v>0.30080000000000001</c:v>
                </c:pt>
                <c:pt idx="17">
                  <c:v>0.30080000000000001</c:v>
                </c:pt>
                <c:pt idx="18">
                  <c:v>0.46760000000000002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A9-4DCD-B816-CAE4F235175C}"/>
            </c:ext>
          </c:extLst>
        </c:ser>
        <c:ser>
          <c:idx val="3"/>
          <c:order val="3"/>
          <c:tx>
            <c:strRef>
              <c:f>'Gas Summary'!$P$2</c:f>
              <c:strCache>
                <c:ptCount val="1"/>
                <c:pt idx="0">
                  <c:v>Low Income Assistance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'Gas Summary'!$L$3:$L$21</c:f>
              <c:strCache>
                <c:ptCount val="19"/>
                <c:pt idx="0">
                  <c:v>2016  Peak (Jan 1)</c:v>
                </c:pt>
                <c:pt idx="1">
                  <c:v>2016 Off   (July 1)</c:v>
                </c:pt>
                <c:pt idx="2">
                  <c:v>2017  Peak (Jan 1)</c:v>
                </c:pt>
                <c:pt idx="3">
                  <c:v>2017 Off   (July 1)</c:v>
                </c:pt>
                <c:pt idx="4">
                  <c:v>2018  Peak (Jan 1)</c:v>
                </c:pt>
                <c:pt idx="5">
                  <c:v>2018 Off   (July 1)</c:v>
                </c:pt>
                <c:pt idx="6">
                  <c:v>2019  Peak (Jan 1)</c:v>
                </c:pt>
                <c:pt idx="7">
                  <c:v>2019 Off   (July 1)</c:v>
                </c:pt>
                <c:pt idx="8">
                  <c:v>2020  Peak (Jan 1)</c:v>
                </c:pt>
                <c:pt idx="9">
                  <c:v>2020 Off   (July 1)</c:v>
                </c:pt>
                <c:pt idx="10">
                  <c:v>2021  Peak (Jan 1)</c:v>
                </c:pt>
                <c:pt idx="11">
                  <c:v>2021 Off   (July 1)</c:v>
                </c:pt>
                <c:pt idx="12">
                  <c:v>2022  Peak (Jan 1)</c:v>
                </c:pt>
                <c:pt idx="13">
                  <c:v>2022 Off   (July 1)</c:v>
                </c:pt>
                <c:pt idx="14">
                  <c:v>2023  Peak (Jan 1)</c:v>
                </c:pt>
                <c:pt idx="15">
                  <c:v>2023 Off   (July 1)</c:v>
                </c:pt>
                <c:pt idx="16">
                  <c:v>2024  Peak (Jan 1)</c:v>
                </c:pt>
                <c:pt idx="17">
                  <c:v>2024 Off   (July 1)</c:v>
                </c:pt>
                <c:pt idx="18">
                  <c:v>2025  Peak (Jan 1)</c:v>
                </c:pt>
              </c:strCache>
            </c:strRef>
          </c:cat>
          <c:val>
            <c:numRef>
              <c:f>'Gas Summary'!$P$3:$P$21</c:f>
              <c:numCache>
                <c:formatCode>_(* #,##0.0000_);_(* \(#,##0.0000\);_(* "-"??_);_(@_)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2.76E-2</c:v>
                </c:pt>
                <c:pt idx="8">
                  <c:v>1.8200000000000001E-2</c:v>
                </c:pt>
                <c:pt idx="9">
                  <c:v>1.8200000000000001E-2</c:v>
                </c:pt>
                <c:pt idx="10">
                  <c:v>2.2800000000000001E-2</c:v>
                </c:pt>
                <c:pt idx="11">
                  <c:v>2.2800000000000001E-2</c:v>
                </c:pt>
                <c:pt idx="12">
                  <c:v>3.3799999999999997E-2</c:v>
                </c:pt>
                <c:pt idx="13">
                  <c:v>3.3799999999999997E-2</c:v>
                </c:pt>
                <c:pt idx="14">
                  <c:v>5.0200000000000002E-2</c:v>
                </c:pt>
                <c:pt idx="15">
                  <c:v>5.0200000000000002E-2</c:v>
                </c:pt>
                <c:pt idx="16">
                  <c:v>4.6800000000000001E-2</c:v>
                </c:pt>
                <c:pt idx="17">
                  <c:v>4.6800000000000001E-2</c:v>
                </c:pt>
                <c:pt idx="18">
                  <c:v>6.9900000000000004E-2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A9-4DCD-B816-CAE4F235175C}"/>
            </c:ext>
          </c:extLst>
        </c:ser>
        <c:ser>
          <c:idx val="4"/>
          <c:order val="4"/>
          <c:tx>
            <c:strRef>
              <c:f>'Gas Summary'!$Q$2</c:f>
              <c:strCache>
                <c:ptCount val="1"/>
                <c:pt idx="0">
                  <c:v>Gas System Enhancement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'Gas Summary'!$L$3:$L$21</c:f>
              <c:strCache>
                <c:ptCount val="19"/>
                <c:pt idx="0">
                  <c:v>2016  Peak (Jan 1)</c:v>
                </c:pt>
                <c:pt idx="1">
                  <c:v>2016 Off   (July 1)</c:v>
                </c:pt>
                <c:pt idx="2">
                  <c:v>2017  Peak (Jan 1)</c:v>
                </c:pt>
                <c:pt idx="3">
                  <c:v>2017 Off   (July 1)</c:v>
                </c:pt>
                <c:pt idx="4">
                  <c:v>2018  Peak (Jan 1)</c:v>
                </c:pt>
                <c:pt idx="5">
                  <c:v>2018 Off   (July 1)</c:v>
                </c:pt>
                <c:pt idx="6">
                  <c:v>2019  Peak (Jan 1)</c:v>
                </c:pt>
                <c:pt idx="7">
                  <c:v>2019 Off   (July 1)</c:v>
                </c:pt>
                <c:pt idx="8">
                  <c:v>2020  Peak (Jan 1)</c:v>
                </c:pt>
                <c:pt idx="9">
                  <c:v>2020 Off   (July 1)</c:v>
                </c:pt>
                <c:pt idx="10">
                  <c:v>2021  Peak (Jan 1)</c:v>
                </c:pt>
                <c:pt idx="11">
                  <c:v>2021 Off   (July 1)</c:v>
                </c:pt>
                <c:pt idx="12">
                  <c:v>2022  Peak (Jan 1)</c:v>
                </c:pt>
                <c:pt idx="13">
                  <c:v>2022 Off   (July 1)</c:v>
                </c:pt>
                <c:pt idx="14">
                  <c:v>2023  Peak (Jan 1)</c:v>
                </c:pt>
                <c:pt idx="15">
                  <c:v>2023 Off   (July 1)</c:v>
                </c:pt>
                <c:pt idx="16">
                  <c:v>2024  Peak (Jan 1)</c:v>
                </c:pt>
                <c:pt idx="17">
                  <c:v>2024 Off   (July 1)</c:v>
                </c:pt>
                <c:pt idx="18">
                  <c:v>2025  Peak (Jan 1)</c:v>
                </c:pt>
              </c:strCache>
            </c:strRef>
          </c:cat>
          <c:val>
            <c:numRef>
              <c:f>'Gas Summary'!$Q$3:$Q$21</c:f>
              <c:numCache>
                <c:formatCode>_(* #,##0.0000_);_(* \(#,##0.0000\);_(* "-"??_);_(@_)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4.07E-2</c:v>
                </c:pt>
                <c:pt idx="8">
                  <c:v>4.1700000000000001E-2</c:v>
                </c:pt>
                <c:pt idx="9">
                  <c:v>7.3800000000000004E-2</c:v>
                </c:pt>
                <c:pt idx="10">
                  <c:v>7.6800000000000007E-2</c:v>
                </c:pt>
                <c:pt idx="11">
                  <c:v>9.920000000000001E-2</c:v>
                </c:pt>
                <c:pt idx="12">
                  <c:v>7.3499999999999996E-2</c:v>
                </c:pt>
                <c:pt idx="13">
                  <c:v>7.5399999999999995E-2</c:v>
                </c:pt>
                <c:pt idx="14">
                  <c:v>9.8599999999999993E-2</c:v>
                </c:pt>
                <c:pt idx="15">
                  <c:v>0.14219999999999999</c:v>
                </c:pt>
                <c:pt idx="16">
                  <c:v>0.1187</c:v>
                </c:pt>
                <c:pt idx="17">
                  <c:v>0.1628</c:v>
                </c:pt>
                <c:pt idx="18">
                  <c:v>0.16439999999999999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A9-4DCD-B816-CAE4F235175C}"/>
            </c:ext>
          </c:extLst>
        </c:ser>
        <c:ser>
          <c:idx val="5"/>
          <c:order val="5"/>
          <c:tx>
            <c:strRef>
              <c:f>'Gas Summary'!$R$2</c:f>
              <c:strCache>
                <c:ptCount val="1"/>
                <c:pt idx="0">
                  <c:v>All other Policy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'Gas Summary'!$L$3:$L$21</c:f>
              <c:strCache>
                <c:ptCount val="19"/>
                <c:pt idx="0">
                  <c:v>2016  Peak (Jan 1)</c:v>
                </c:pt>
                <c:pt idx="1">
                  <c:v>2016 Off   (July 1)</c:v>
                </c:pt>
                <c:pt idx="2">
                  <c:v>2017  Peak (Jan 1)</c:v>
                </c:pt>
                <c:pt idx="3">
                  <c:v>2017 Off   (July 1)</c:v>
                </c:pt>
                <c:pt idx="4">
                  <c:v>2018  Peak (Jan 1)</c:v>
                </c:pt>
                <c:pt idx="5">
                  <c:v>2018 Off   (July 1)</c:v>
                </c:pt>
                <c:pt idx="6">
                  <c:v>2019  Peak (Jan 1)</c:v>
                </c:pt>
                <c:pt idx="7">
                  <c:v>2019 Off   (July 1)</c:v>
                </c:pt>
                <c:pt idx="8">
                  <c:v>2020  Peak (Jan 1)</c:v>
                </c:pt>
                <c:pt idx="9">
                  <c:v>2020 Off   (July 1)</c:v>
                </c:pt>
                <c:pt idx="10">
                  <c:v>2021  Peak (Jan 1)</c:v>
                </c:pt>
                <c:pt idx="11">
                  <c:v>2021 Off   (July 1)</c:v>
                </c:pt>
                <c:pt idx="12">
                  <c:v>2022  Peak (Jan 1)</c:v>
                </c:pt>
                <c:pt idx="13">
                  <c:v>2022 Off   (July 1)</c:v>
                </c:pt>
                <c:pt idx="14">
                  <c:v>2023  Peak (Jan 1)</c:v>
                </c:pt>
                <c:pt idx="15">
                  <c:v>2023 Off   (July 1)</c:v>
                </c:pt>
                <c:pt idx="16">
                  <c:v>2024  Peak (Jan 1)</c:v>
                </c:pt>
                <c:pt idx="17">
                  <c:v>2024 Off   (July 1)</c:v>
                </c:pt>
                <c:pt idx="18">
                  <c:v>2025  Peak (Jan 1)</c:v>
                </c:pt>
              </c:strCache>
            </c:strRef>
          </c:cat>
          <c:val>
            <c:numRef>
              <c:f>'Gas Summary'!$R$3:$R$21</c:f>
              <c:numCache>
                <c:formatCode>_(* #,##0.0000_);_(* \(#,##0.0000\);_(* "-"??_);_(@_)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6.9599999999999995E-2</c:v>
                </c:pt>
                <c:pt idx="8">
                  <c:v>9.7999999999999979E-3</c:v>
                </c:pt>
                <c:pt idx="9">
                  <c:v>9.7999999999999979E-3</c:v>
                </c:pt>
                <c:pt idx="10">
                  <c:v>2.0200000000000003E-2</c:v>
                </c:pt>
                <c:pt idx="11">
                  <c:v>2.0200000000000003E-2</c:v>
                </c:pt>
                <c:pt idx="12">
                  <c:v>2.2200000000000001E-2</c:v>
                </c:pt>
                <c:pt idx="13">
                  <c:v>2.2200000000000001E-2</c:v>
                </c:pt>
                <c:pt idx="14">
                  <c:v>8.9999999999999993E-3</c:v>
                </c:pt>
                <c:pt idx="15">
                  <c:v>8.9999999999999993E-3</c:v>
                </c:pt>
                <c:pt idx="16">
                  <c:v>8.2999999999999984E-3</c:v>
                </c:pt>
                <c:pt idx="17">
                  <c:v>-2.4300000000000002E-2</c:v>
                </c:pt>
                <c:pt idx="18">
                  <c:v>-3.39E-2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A9-4DCD-B816-CAE4F235175C}"/>
            </c:ext>
          </c:extLst>
        </c:ser>
        <c:ser>
          <c:idx val="6"/>
          <c:order val="6"/>
          <c:tx>
            <c:strRef>
              <c:f>'Gas Summary'!$S$2</c:f>
              <c:strCache>
                <c:ptCount val="1"/>
                <c:pt idx="0">
                  <c:v>All policy charges (bulk)*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'Gas Summary'!$L$3:$L$21</c:f>
              <c:strCache>
                <c:ptCount val="19"/>
                <c:pt idx="0">
                  <c:v>2016  Peak (Jan 1)</c:v>
                </c:pt>
                <c:pt idx="1">
                  <c:v>2016 Off   (July 1)</c:v>
                </c:pt>
                <c:pt idx="2">
                  <c:v>2017  Peak (Jan 1)</c:v>
                </c:pt>
                <c:pt idx="3">
                  <c:v>2017 Off   (July 1)</c:v>
                </c:pt>
                <c:pt idx="4">
                  <c:v>2018  Peak (Jan 1)</c:v>
                </c:pt>
                <c:pt idx="5">
                  <c:v>2018 Off   (July 1)</c:v>
                </c:pt>
                <c:pt idx="6">
                  <c:v>2019  Peak (Jan 1)</c:v>
                </c:pt>
                <c:pt idx="7">
                  <c:v>2019 Off   (July 1)</c:v>
                </c:pt>
                <c:pt idx="8">
                  <c:v>2020  Peak (Jan 1)</c:v>
                </c:pt>
                <c:pt idx="9">
                  <c:v>2020 Off   (July 1)</c:v>
                </c:pt>
                <c:pt idx="10">
                  <c:v>2021  Peak (Jan 1)</c:v>
                </c:pt>
                <c:pt idx="11">
                  <c:v>2021 Off   (July 1)</c:v>
                </c:pt>
                <c:pt idx="12">
                  <c:v>2022  Peak (Jan 1)</c:v>
                </c:pt>
                <c:pt idx="13">
                  <c:v>2022 Off   (July 1)</c:v>
                </c:pt>
                <c:pt idx="14">
                  <c:v>2023  Peak (Jan 1)</c:v>
                </c:pt>
                <c:pt idx="15">
                  <c:v>2023 Off   (July 1)</c:v>
                </c:pt>
                <c:pt idx="16">
                  <c:v>2024  Peak (Jan 1)</c:v>
                </c:pt>
                <c:pt idx="17">
                  <c:v>2024 Off   (July 1)</c:v>
                </c:pt>
                <c:pt idx="18">
                  <c:v>2025  Peak (Jan 1)</c:v>
                </c:pt>
              </c:strCache>
            </c:strRef>
          </c:cat>
          <c:val>
            <c:numRef>
              <c:f>'Gas Summary'!$S$3:$S$21</c:f>
              <c:numCache>
                <c:formatCode>_(* #,##0.0000_);_(* \(#,##0.0000\);_(* "-"??_);_(@_)</c:formatCode>
                <c:ptCount val="19"/>
                <c:pt idx="0">
                  <c:v>0.28689999999999999</c:v>
                </c:pt>
                <c:pt idx="1">
                  <c:v>0.28920000000000001</c:v>
                </c:pt>
                <c:pt idx="2">
                  <c:v>0.33040000000000003</c:v>
                </c:pt>
                <c:pt idx="3">
                  <c:v>0.34939999999999999</c:v>
                </c:pt>
                <c:pt idx="4">
                  <c:v>0.34179999999999999</c:v>
                </c:pt>
                <c:pt idx="5">
                  <c:v>0.36149999999999999</c:v>
                </c:pt>
                <c:pt idx="6">
                  <c:v>0.31380000000000002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A9-4DCD-B816-CAE4F2351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47238095"/>
        <c:axId val="1747236175"/>
      </c:barChart>
      <c:barChart>
        <c:barDir val="col"/>
        <c:grouping val="stacked"/>
        <c:varyColors val="0"/>
        <c:ser>
          <c:idx val="7"/>
          <c:order val="7"/>
          <c:tx>
            <c:strRef>
              <c:f>'Gas Summary'!$T$2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6350">
              <a:solidFill>
                <a:schemeClr val="accent1"/>
              </a:solidFill>
            </a:ln>
            <a:effectLst/>
          </c:spPr>
          <c:invertIfNegative val="0"/>
          <c:val>
            <c:numRef>
              <c:f>'Gas Summary'!$T$3:$T$21</c:f>
              <c:numCache>
                <c:formatCode>_(* #,##0.0000_);_(* \(#,##0.0000\);_(* "-"??_);_(@_)</c:formatCode>
                <c:ptCount val="19"/>
                <c:pt idx="0">
                  <c:v>1.2153</c:v>
                </c:pt>
                <c:pt idx="1">
                  <c:v>0.8367</c:v>
                </c:pt>
                <c:pt idx="2">
                  <c:v>1.29</c:v>
                </c:pt>
                <c:pt idx="3">
                  <c:v>1.0364</c:v>
                </c:pt>
                <c:pt idx="4">
                  <c:v>1.4838</c:v>
                </c:pt>
                <c:pt idx="5">
                  <c:v>0.99019999999999997</c:v>
                </c:pt>
                <c:pt idx="6">
                  <c:v>1.5083000000000002</c:v>
                </c:pt>
                <c:pt idx="7">
                  <c:v>1.3818999999999999</c:v>
                </c:pt>
                <c:pt idx="8">
                  <c:v>1.3958000000000002</c:v>
                </c:pt>
                <c:pt idx="9">
                  <c:v>0.81399999999999995</c:v>
                </c:pt>
                <c:pt idx="10">
                  <c:v>1.4999</c:v>
                </c:pt>
                <c:pt idx="11">
                  <c:v>1.0116000000000001</c:v>
                </c:pt>
                <c:pt idx="12">
                  <c:v>1.7957000000000001</c:v>
                </c:pt>
                <c:pt idx="13">
                  <c:v>1.7898000000000001</c:v>
                </c:pt>
                <c:pt idx="14">
                  <c:v>2.2497999999999996</c:v>
                </c:pt>
                <c:pt idx="15">
                  <c:v>1.1852999999999998</c:v>
                </c:pt>
                <c:pt idx="16">
                  <c:v>2.2405000000000004</c:v>
                </c:pt>
                <c:pt idx="17">
                  <c:v>1.3668</c:v>
                </c:pt>
                <c:pt idx="18">
                  <c:v>2.4946999999999999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2A9-4DCD-B816-CAE4F2351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43932527"/>
        <c:axId val="1743931087"/>
      </c:barChart>
      <c:catAx>
        <c:axId val="1747238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7236175"/>
        <c:crosses val="autoZero"/>
        <c:auto val="1"/>
        <c:lblAlgn val="ctr"/>
        <c:lblOffset val="100"/>
        <c:noMultiLvlLbl val="0"/>
      </c:catAx>
      <c:valAx>
        <c:axId val="174723617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7238095"/>
        <c:crosses val="autoZero"/>
        <c:crossBetween val="between"/>
      </c:valAx>
      <c:valAx>
        <c:axId val="1743931087"/>
        <c:scaling>
          <c:orientation val="minMax"/>
        </c:scaling>
        <c:delete val="0"/>
        <c:axPos val="r"/>
        <c:numFmt formatCode="_(* #,##0.0000_);_(* \(#,##0.00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3932527"/>
        <c:crosses val="max"/>
        <c:crossBetween val="between"/>
      </c:valAx>
      <c:catAx>
        <c:axId val="1743932527"/>
        <c:scaling>
          <c:orientation val="minMax"/>
        </c:scaling>
        <c:delete val="1"/>
        <c:axPos val="b"/>
        <c:majorTickMark val="out"/>
        <c:minorTickMark val="none"/>
        <c:tickLblPos val="nextTo"/>
        <c:crossAx val="1743931087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National Grid (Boston Gas) vs. Eversource (NSTAR, Cambridge) Rates for Residential Heating Customers -- $ per Therm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'Gas Summary'!$A$5</c:f>
              <c:strCache>
                <c:ptCount val="1"/>
                <c:pt idx="0">
                  <c:v>Gas Supply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'Gas Summary'!$B$4:$E$4</c:f>
              <c:strCache>
                <c:ptCount val="4"/>
                <c:pt idx="0">
                  <c:v>National Grid, Jan 24</c:v>
                </c:pt>
                <c:pt idx="1">
                  <c:v>National Grid, Jan 25</c:v>
                </c:pt>
                <c:pt idx="2">
                  <c:v>Eversource, Jan 24</c:v>
                </c:pt>
                <c:pt idx="3">
                  <c:v>Eversource, Jan 25</c:v>
                </c:pt>
              </c:strCache>
            </c:strRef>
          </c:cat>
          <c:val>
            <c:numRef>
              <c:f>'Gas Summary'!$B$5:$E$5</c:f>
              <c:numCache>
                <c:formatCode>_("$"* #,##0.0000_);_("$"* \(#,##0.0000\);_("$"* "-"??_);_(@_)</c:formatCode>
                <c:ptCount val="4"/>
                <c:pt idx="0">
                  <c:v>0.81220000000000003</c:v>
                </c:pt>
                <c:pt idx="1">
                  <c:v>0.84670000000000001</c:v>
                </c:pt>
                <c:pt idx="2">
                  <c:v>0.67120000000000002</c:v>
                </c:pt>
                <c:pt idx="3">
                  <c:v>0.76390000000000002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D-4839-873B-9DFCC4B5D258}"/>
            </c:ext>
          </c:extLst>
        </c:ser>
        <c:ser>
          <c:idx val="1"/>
          <c:order val="1"/>
          <c:tx>
            <c:strRef>
              <c:f>'Gas Summary'!$A$6</c:f>
              <c:strCache>
                <c:ptCount val="1"/>
                <c:pt idx="0">
                  <c:v>Base Distribution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'Gas Summary'!$B$4:$E$4</c:f>
              <c:strCache>
                <c:ptCount val="4"/>
                <c:pt idx="0">
                  <c:v>National Grid, Jan 24</c:v>
                </c:pt>
                <c:pt idx="1">
                  <c:v>National Grid, Jan 25</c:v>
                </c:pt>
                <c:pt idx="2">
                  <c:v>Eversource, Jan 24</c:v>
                </c:pt>
                <c:pt idx="3">
                  <c:v>Eversource, Jan 25</c:v>
                </c:pt>
              </c:strCache>
            </c:strRef>
          </c:cat>
          <c:val>
            <c:numRef>
              <c:f>'Gas Summary'!$B$6:$E$6</c:f>
              <c:numCache>
                <c:formatCode>_("$"* #,##0.0000_);_("$"* \(#,##0.0000\);_("$"* "-"??_);_(@_)</c:formatCode>
                <c:ptCount val="4"/>
                <c:pt idx="0">
                  <c:v>0.95369999999999999</c:v>
                </c:pt>
                <c:pt idx="1">
                  <c:v>0.98</c:v>
                </c:pt>
                <c:pt idx="2">
                  <c:v>0.72770000000000001</c:v>
                </c:pt>
                <c:pt idx="3">
                  <c:v>0.73340000000000005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BD-4839-873B-9DFCC4B5D258}"/>
            </c:ext>
          </c:extLst>
        </c:ser>
        <c:ser>
          <c:idx val="2"/>
          <c:order val="2"/>
          <c:tx>
            <c:strRef>
              <c:f>'Gas Summary'!$A$7</c:f>
              <c:strCache>
                <c:ptCount val="1"/>
                <c:pt idx="0">
                  <c:v>Energy Efficiency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'Gas Summary'!$B$4:$E$4</c:f>
              <c:strCache>
                <c:ptCount val="4"/>
                <c:pt idx="0">
                  <c:v>National Grid, Jan 24</c:v>
                </c:pt>
                <c:pt idx="1">
                  <c:v>National Grid, Jan 25</c:v>
                </c:pt>
                <c:pt idx="2">
                  <c:v>Eversource, Jan 24</c:v>
                </c:pt>
                <c:pt idx="3">
                  <c:v>Eversource, Jan 25</c:v>
                </c:pt>
              </c:strCache>
            </c:strRef>
          </c:cat>
          <c:val>
            <c:numRef>
              <c:f>'Gas Summary'!$B$7:$E$7</c:f>
              <c:numCache>
                <c:formatCode>_("$"* #,##0.0000_);_("$"* \(#,##0.0000\);_("$"* "-"??_);_(@_)</c:formatCode>
                <c:ptCount val="4"/>
                <c:pt idx="0">
                  <c:v>0.30080000000000001</c:v>
                </c:pt>
                <c:pt idx="1">
                  <c:v>0.46760000000000002</c:v>
                </c:pt>
                <c:pt idx="2">
                  <c:v>0.29570000000000002</c:v>
                </c:pt>
                <c:pt idx="3">
                  <c:v>0.57020000000000004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BD-4839-873B-9DFCC4B5D258}"/>
            </c:ext>
          </c:extLst>
        </c:ser>
        <c:ser>
          <c:idx val="3"/>
          <c:order val="3"/>
          <c:tx>
            <c:strRef>
              <c:f>'Gas Summary'!$A$8</c:f>
              <c:strCache>
                <c:ptCount val="1"/>
                <c:pt idx="0">
                  <c:v>Low income assistance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'Gas Summary'!$B$4:$E$4</c:f>
              <c:strCache>
                <c:ptCount val="4"/>
                <c:pt idx="0">
                  <c:v>National Grid, Jan 24</c:v>
                </c:pt>
                <c:pt idx="1">
                  <c:v>National Grid, Jan 25</c:v>
                </c:pt>
                <c:pt idx="2">
                  <c:v>Eversource, Jan 24</c:v>
                </c:pt>
                <c:pt idx="3">
                  <c:v>Eversource, Jan 25</c:v>
                </c:pt>
              </c:strCache>
            </c:strRef>
          </c:cat>
          <c:val>
            <c:numRef>
              <c:f>'Gas Summary'!$B$8:$E$8</c:f>
              <c:numCache>
                <c:formatCode>_("$"* #,##0.0000_);_("$"* \(#,##0.0000\);_("$"* "-"??_);_(@_)</c:formatCode>
                <c:ptCount val="4"/>
                <c:pt idx="0">
                  <c:v>4.6800000000000001E-2</c:v>
                </c:pt>
                <c:pt idx="1">
                  <c:v>6.9900000000000004E-2</c:v>
                </c:pt>
                <c:pt idx="2">
                  <c:v>5.3199999999999997E-2</c:v>
                </c:pt>
                <c:pt idx="3">
                  <c:v>5.6099999999999997E-2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BD-4839-873B-9DFCC4B5D258}"/>
            </c:ext>
          </c:extLst>
        </c:ser>
        <c:ser>
          <c:idx val="4"/>
          <c:order val="4"/>
          <c:tx>
            <c:strRef>
              <c:f>'Gas Summary'!$A$9</c:f>
              <c:strCache>
                <c:ptCount val="1"/>
                <c:pt idx="0">
                  <c:v>Gas system enhancement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'Gas Summary'!$B$4:$E$4</c:f>
              <c:strCache>
                <c:ptCount val="4"/>
                <c:pt idx="0">
                  <c:v>National Grid, Jan 24</c:v>
                </c:pt>
                <c:pt idx="1">
                  <c:v>National Grid, Jan 25</c:v>
                </c:pt>
                <c:pt idx="2">
                  <c:v>Eversource, Jan 24</c:v>
                </c:pt>
                <c:pt idx="3">
                  <c:v>Eversource, Jan 25</c:v>
                </c:pt>
              </c:strCache>
            </c:strRef>
          </c:cat>
          <c:val>
            <c:numRef>
              <c:f>'Gas Summary'!$B$9:$E$9</c:f>
              <c:numCache>
                <c:formatCode>_("$"* #,##0.0000_);_("$"* \(#,##0.0000\);_("$"* "-"??_);_(@_)</c:formatCode>
                <c:ptCount val="4"/>
                <c:pt idx="0">
                  <c:v>0.1187</c:v>
                </c:pt>
                <c:pt idx="1">
                  <c:v>0.16439999999999999</c:v>
                </c:pt>
                <c:pt idx="2">
                  <c:v>0.15570000000000001</c:v>
                </c:pt>
                <c:pt idx="3">
                  <c:v>0.20660000000000001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BD-4839-873B-9DFCC4B5D258}"/>
            </c:ext>
          </c:extLst>
        </c:ser>
        <c:ser>
          <c:idx val="5"/>
          <c:order val="5"/>
          <c:tx>
            <c:strRef>
              <c:f>'Gas Summary'!$A$10</c:f>
              <c:strCache>
                <c:ptCount val="1"/>
                <c:pt idx="0">
                  <c:v>All other policy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'Gas Summary'!$B$4:$E$4</c:f>
              <c:strCache>
                <c:ptCount val="4"/>
                <c:pt idx="0">
                  <c:v>National Grid, Jan 24</c:v>
                </c:pt>
                <c:pt idx="1">
                  <c:v>National Grid, Jan 25</c:v>
                </c:pt>
                <c:pt idx="2">
                  <c:v>Eversource, Jan 24</c:v>
                </c:pt>
                <c:pt idx="3">
                  <c:v>Eversource, Jan 25</c:v>
                </c:pt>
              </c:strCache>
            </c:strRef>
          </c:cat>
          <c:val>
            <c:numRef>
              <c:f>'Gas Summary'!$B$10:$E$10</c:f>
              <c:numCache>
                <c:formatCode>_("$"* #,##0.0000_);_("$"* \(#,##0.0000\);_("$"* "-"??_);_(@_)</c:formatCode>
                <c:ptCount val="4"/>
                <c:pt idx="0">
                  <c:v>8.2999999999999741E-3</c:v>
                </c:pt>
                <c:pt idx="1">
                  <c:v>-3.389999999999993E-2</c:v>
                </c:pt>
                <c:pt idx="2">
                  <c:v>-1.2999999999998568E-3</c:v>
                </c:pt>
                <c:pt idx="3">
                  <c:v>4.3899999999999939E-2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BD-4839-873B-9DFCC4B5D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0265103"/>
        <c:axId val="2100266063"/>
      </c:barChart>
      <c:barChart>
        <c:barDir val="col"/>
        <c:grouping val="stacked"/>
        <c:varyColors val="0"/>
        <c:ser>
          <c:idx val="6"/>
          <c:order val="6"/>
          <c:tx>
            <c:strRef>
              <c:f>'Gas Summary'!$A$11</c:f>
              <c:strCache>
                <c:ptCount val="1"/>
                <c:pt idx="0">
                  <c:v>Total per therm</c:v>
                </c:pt>
              </c:strCache>
            </c:strRef>
          </c:tx>
          <c:spPr>
            <a:noFill/>
            <a:ln w="12700">
              <a:solidFill>
                <a:schemeClr val="accent1"/>
              </a:solidFill>
            </a:ln>
            <a:effectLst/>
          </c:spPr>
          <c:invertIfNegative val="0"/>
          <c:cat>
            <c:strRef>
              <c:f>'Gas Summary'!$B$4:$E$4</c:f>
              <c:strCache>
                <c:ptCount val="4"/>
                <c:pt idx="0">
                  <c:v>National Grid, Jan 24</c:v>
                </c:pt>
                <c:pt idx="1">
                  <c:v>National Grid, Jan 25</c:v>
                </c:pt>
                <c:pt idx="2">
                  <c:v>Eversource, Jan 24</c:v>
                </c:pt>
                <c:pt idx="3">
                  <c:v>Eversource, Jan 25</c:v>
                </c:pt>
              </c:strCache>
            </c:strRef>
          </c:cat>
          <c:val>
            <c:numRef>
              <c:f>'Gas Summary'!$B$11:$E$11</c:f>
              <c:numCache>
                <c:formatCode>_("$"* #,##0.0000_);_("$"* \(#,##0.0000\);_("$"* "-"??_);_(@_)</c:formatCode>
                <c:ptCount val="4"/>
                <c:pt idx="0">
                  <c:v>2.2404999999999999</c:v>
                </c:pt>
                <c:pt idx="1">
                  <c:v>2.4946999999999999</c:v>
                </c:pt>
                <c:pt idx="2">
                  <c:v>1.9022000000000001</c:v>
                </c:pt>
                <c:pt idx="3">
                  <c:v>2.3741000000000003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BD-4839-873B-9DFCC4B5D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2405487"/>
        <c:axId val="732375647"/>
      </c:barChart>
      <c:catAx>
        <c:axId val="210026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266063"/>
        <c:crosses val="autoZero"/>
        <c:auto val="1"/>
        <c:lblAlgn val="ctr"/>
        <c:lblOffset val="100"/>
        <c:noMultiLvlLbl val="0"/>
      </c:catAx>
      <c:valAx>
        <c:axId val="210026606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265103"/>
        <c:crosses val="autoZero"/>
        <c:crossBetween val="between"/>
      </c:valAx>
      <c:valAx>
        <c:axId val="732375647"/>
        <c:scaling>
          <c:orientation val="minMax"/>
        </c:scaling>
        <c:delete val="0"/>
        <c:axPos val="r"/>
        <c:numFmt formatCode="_(&quot;$&quot;* #,##0.0000_);_(&quot;$&quot;* \(#,##0.00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405487"/>
        <c:crosses val="max"/>
        <c:crossBetween val="between"/>
      </c:valAx>
      <c:catAx>
        <c:axId val="2224054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2375647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contribution to Mass Save at January 1, 2025 Rates based on Typical Home</a:t>
            </a:r>
            <a:r>
              <a:rPr lang="en-US" baseline="0"/>
              <a:t> with Gas Heat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'Efficiency Charge Bill Impact'!$B$7</c:f>
              <c:strCache>
                <c:ptCount val="1"/>
                <c:pt idx="0">
                  <c:v>Gas Energy Efficiency Charge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'Efficiency Charge Bill Impact'!$A$8:$A$10</c:f>
              <c:strCache>
                <c:ptCount val="3"/>
                <c:pt idx="0">
                  <c:v>Belmont Gas Customer</c:v>
                </c:pt>
                <c:pt idx="1">
                  <c:v>Boston or Watertown Gas Customer</c:v>
                </c:pt>
                <c:pt idx="2">
                  <c:v>Cambridge Gas Customer</c:v>
                </c:pt>
              </c:strCache>
            </c:strRef>
          </c:cat>
          <c:val>
            <c:numRef>
              <c:f>'Efficiency Charge Bill Impact'!$B$8:$B$10</c:f>
              <c:numCache>
                <c:formatCode>"$"#,##0.00_);[Red]\("$"#,##0.00\)</c:formatCode>
                <c:ptCount val="3"/>
                <c:pt idx="0">
                  <c:v>420.84000000000003</c:v>
                </c:pt>
                <c:pt idx="1">
                  <c:v>420.84000000000003</c:v>
                </c:pt>
                <c:pt idx="2" formatCode="General">
                  <c:v>513.18000000000006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A4-44D7-852E-32B69FADF7C0}"/>
            </c:ext>
          </c:extLst>
        </c:ser>
        <c:ser>
          <c:idx val="0"/>
          <c:order val="1"/>
          <c:tx>
            <c:strRef>
              <c:f>'Efficiency Charge Bill Impact'!$C$7</c:f>
              <c:strCache>
                <c:ptCount val="1"/>
                <c:pt idx="0">
                  <c:v>Electric Energy Efficiency Charge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'Efficiency Charge Bill Impact'!$A$8:$A$10</c:f>
              <c:strCache>
                <c:ptCount val="3"/>
                <c:pt idx="0">
                  <c:v>Belmont Gas Customer</c:v>
                </c:pt>
                <c:pt idx="1">
                  <c:v>Boston or Watertown Gas Customer</c:v>
                </c:pt>
                <c:pt idx="2">
                  <c:v>Cambridge Gas Customer</c:v>
                </c:pt>
              </c:strCache>
            </c:strRef>
          </c:cat>
          <c:val>
            <c:numRef>
              <c:f>'Efficiency Charge Bill Impact'!$C$8:$C$10</c:f>
              <c:numCache>
                <c:formatCode>"$"#,##0.00_);[Red]\("$"#,##0.00\)</c:formatCode>
                <c:ptCount val="3"/>
                <c:pt idx="0" formatCode="General">
                  <c:v>0</c:v>
                </c:pt>
                <c:pt idx="1">
                  <c:v>197.8596</c:v>
                </c:pt>
                <c:pt idx="2">
                  <c:v>197.8596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4-44D7-852E-32B69FADF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867167"/>
        <c:axId val="166872447"/>
      </c:barChart>
      <c:catAx>
        <c:axId val="166867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872447"/>
        <c:crosses val="autoZero"/>
        <c:auto val="1"/>
        <c:lblAlgn val="ctr"/>
        <c:lblOffset val="100"/>
        <c:noMultiLvlLbl val="0"/>
      </c:catAx>
      <c:valAx>
        <c:axId val="166872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867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Mass Save Budget Growth: Current</a:t>
            </a:r>
            <a:r>
              <a:rPr lang="en-US" baseline="0"/>
              <a:t> vs Prior Three Year Plan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'Mass Save Budget'!$B$62</c:f>
              <c:strCache>
                <c:ptCount val="1"/>
                <c:pt idx="0">
                  <c:v>2022-2024 (Actual 22, 23; Planned 24)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'Mass Save Budget'!$A$63:$A$66</c:f>
              <c:strCache>
                <c:ptCount val="4"/>
                <c:pt idx="0">
                  <c:v>Residential</c:v>
                </c:pt>
                <c:pt idx="1">
                  <c:v>Income Eligible (Low-income)</c:v>
                </c:pt>
                <c:pt idx="2">
                  <c:v>Commercial and Industrial</c:v>
                </c:pt>
                <c:pt idx="3">
                  <c:v>Total</c:v>
                </c:pt>
              </c:strCache>
            </c:strRef>
          </c:cat>
          <c:val>
            <c:numRef>
              <c:f>'Mass Save Budget'!$B$63:$B$66</c:f>
              <c:numCache>
                <c:formatCode>_("$"* #,##0_);_("$"* \(#,##0\);_("$"* "-"??_);_(@_)</c:formatCode>
                <c:ptCount val="4"/>
                <c:pt idx="0">
                  <c:v>1890392787</c:v>
                </c:pt>
                <c:pt idx="1">
                  <c:v>622468246</c:v>
                </c:pt>
                <c:pt idx="2">
                  <c:v>1200323151</c:v>
                </c:pt>
                <c:pt idx="3">
                  <c:v>3713184184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3-430A-80C0-99CF8E5D61AC}"/>
            </c:ext>
          </c:extLst>
        </c:ser>
        <c:ser>
          <c:idx val="1"/>
          <c:order val="1"/>
          <c:tx>
            <c:strRef>
              <c:f>'Mass Save Budget'!$C$62</c:f>
              <c:strCache>
                <c:ptCount val="1"/>
                <c:pt idx="0">
                  <c:v>2025-2027 as reduced by DPU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'Mass Save Budget'!$A$63:$A$66</c:f>
              <c:strCache>
                <c:ptCount val="4"/>
                <c:pt idx="0">
                  <c:v>Residential</c:v>
                </c:pt>
                <c:pt idx="1">
                  <c:v>Income Eligible (Low-income)</c:v>
                </c:pt>
                <c:pt idx="2">
                  <c:v>Commercial and Industrial</c:v>
                </c:pt>
                <c:pt idx="3">
                  <c:v>Total</c:v>
                </c:pt>
              </c:strCache>
            </c:strRef>
          </c:cat>
          <c:val>
            <c:numRef>
              <c:f>'Mass Save Budget'!$C$63:$C$66</c:f>
              <c:numCache>
                <c:formatCode>_("$"* #,##0_);_("$"* \(#,##0\);_("$"* "-"??_);_(@_)</c:formatCode>
                <c:ptCount val="4"/>
                <c:pt idx="0">
                  <c:v>2284188385</c:v>
                </c:pt>
                <c:pt idx="1">
                  <c:v>1242381869</c:v>
                </c:pt>
                <c:pt idx="2">
                  <c:v>1163150725</c:v>
                </c:pt>
                <c:pt idx="3">
                  <c:v>4689720979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03-430A-80C0-99CF8E5D61A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373247"/>
        <c:axId val="241374687"/>
      </c:barChart>
      <c:catAx>
        <c:axId val="241373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74687"/>
        <c:crosses val="autoZero"/>
        <c:auto val="1"/>
        <c:lblAlgn val="ctr"/>
        <c:lblOffset val="100"/>
        <c:noMultiLvlLbl val="0"/>
      </c:catAx>
      <c:valAx>
        <c:axId val="241374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732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EDA2DD1-3BC4-47E4-A1DF-22B33C71A6C2}">
  <sheetPr/>
  <sheetViews>
    <sheetView zoomScale="12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8B5D882-702D-4C53-9D92-2F0C13FF20C5}">
  <sheetPr/>
  <sheetViews>
    <sheetView zoomScale="12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958C2F4-470A-47F7-BD03-4ECC85087C89}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235" cy="6295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009D37-E355-6C79-9061-4389294FCA2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1235" cy="6295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3AF01B-E8A3-A559-3721-66F7984433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22</xdr:col>
      <xdr:colOff>115507</xdr:colOff>
      <xdr:row>59</xdr:row>
      <xdr:rowOff>87226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CD7504-ECDD-1CE4-C720-A6E8B3019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29325" y="190500"/>
          <a:ext cx="8649907" cy="107552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18</xdr:col>
      <xdr:colOff>306374</xdr:colOff>
      <xdr:row>37</xdr:row>
      <xdr:rowOff>29536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A6F4-ED9A-0A30-0EEE-8773AB8A9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1279174" cy="68875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5872" cy="6298314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54DB285B-5A92-6431-02DC-7CF9A5E87A2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62</xdr:row>
      <xdr:rowOff>0</xdr:rowOff>
    </xdr:from>
    <xdr:to>
      <xdr:col>7</xdr:col>
      <xdr:colOff>86854</xdr:colOff>
      <xdr:row>92</xdr:row>
      <xdr:rowOff>105587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F7D4D4-B0D4-4DA6-B424-5E89280C4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668000"/>
          <a:ext cx="8087854" cy="5820587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61</xdr:row>
      <xdr:rowOff>0</xdr:rowOff>
    </xdr:from>
    <xdr:to>
      <xdr:col>25</xdr:col>
      <xdr:colOff>371475</xdr:colOff>
      <xdr:row>104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2B0AE6D-CC7D-EFC1-49AB-B2BDA13C5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10477500"/>
          <a:ext cx="10734675" cy="831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24</xdr:row>
      <xdr:rowOff>123826</xdr:rowOff>
    </xdr:from>
    <xdr:to>
      <xdr:col>17</xdr:col>
      <xdr:colOff>409574</xdr:colOff>
      <xdr:row>55</xdr:row>
      <xdr:rowOff>133351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EF91FB8-9552-E066-E549-7B65CE5DF4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ationalgridus.com/media/pdfs/billing-payments/gas-rates/mag/2019/may-1-2019_boston.pdf" TargetMode="External"/><Relationship Id="rId13" Type="http://schemas.openxmlformats.org/officeDocument/2006/relationships/hyperlink" Target="https://www.nationalgridus.com/media/pdfs/billing-payments/gas-rates/mag/2021/december-1-2021.pdf" TargetMode="External"/><Relationship Id="rId18" Type="http://schemas.openxmlformats.org/officeDocument/2006/relationships/hyperlink" Target="https://www.nationalgridus.com/media/pdfs/billing-payments/gas-rates/mag/2024/ma-gas-rate-summary-05-24-service-rates.pdf" TargetMode="External"/><Relationship Id="rId3" Type="http://schemas.openxmlformats.org/officeDocument/2006/relationships/hyperlink" Target="https://www.nationalgridus.com/media/pdfs/billing-payments/gas-rates/mag/2016/november-1-2016_boston.pdf" TargetMode="External"/><Relationship Id="rId7" Type="http://schemas.openxmlformats.org/officeDocument/2006/relationships/hyperlink" Target="https://www.nationalgridus.com/media/pdfs/billing-payments/gas-rates/mag/2018/november-1-2018_boston.pdf" TargetMode="External"/><Relationship Id="rId12" Type="http://schemas.openxmlformats.org/officeDocument/2006/relationships/hyperlink" Target="https://www.nationalgridus.com/media/pdfs/billing-payments/gas-rates/mag/2021/may-1-2021_boston.pdf" TargetMode="External"/><Relationship Id="rId17" Type="http://schemas.openxmlformats.org/officeDocument/2006/relationships/hyperlink" Target="https://www.nationalgridus.com/media/pdfs/billing-payments/gas-rates/mag/2023/ma_gas_rate_summary_11-23_-_service_rates.pdf" TargetMode="External"/><Relationship Id="rId2" Type="http://schemas.openxmlformats.org/officeDocument/2006/relationships/hyperlink" Target="https://www.nationalgridus.com/media/pdfs/billing-payments/gas-rates/mag/2016/may-1-2016_boston.pdf" TargetMode="External"/><Relationship Id="rId16" Type="http://schemas.openxmlformats.org/officeDocument/2006/relationships/hyperlink" Target="https://www.nationalgridus.com/media/pdfs/billing-payments/gas-rates/mag/2023/may-1-2023-service-rates.pdf" TargetMode="External"/><Relationship Id="rId1" Type="http://schemas.openxmlformats.org/officeDocument/2006/relationships/hyperlink" Target="https://www.nationalgridus.com/media/pdfs/billing-payments/gas-rates/mag/2015/november-1-2015_boston.pdf" TargetMode="External"/><Relationship Id="rId6" Type="http://schemas.openxmlformats.org/officeDocument/2006/relationships/hyperlink" Target="https://www.nationalgridus.com/media/pdfs/billing-payments/gas-rates/mag/2018/may-1-2018_boston.pdf" TargetMode="External"/><Relationship Id="rId11" Type="http://schemas.openxmlformats.org/officeDocument/2006/relationships/hyperlink" Target="https://www.nationalgridus.com/media/pdfs/billing-payments/gas-rates/mag/2020/november-1-2020_boston.pdf" TargetMode="External"/><Relationship Id="rId5" Type="http://schemas.openxmlformats.org/officeDocument/2006/relationships/hyperlink" Target="https://www.nationalgridus.com/media/pdfs/billing-payments/gas-rates/mag/2017/november-1-2017_boston.pdf" TargetMode="External"/><Relationship Id="rId15" Type="http://schemas.openxmlformats.org/officeDocument/2006/relationships/hyperlink" Target="https://www.nationalgridus.com/media/pdfs/billing-payments/gas-rates/mag/2022/november_1_2022_service_rates.pdf" TargetMode="External"/><Relationship Id="rId10" Type="http://schemas.openxmlformats.org/officeDocument/2006/relationships/hyperlink" Target="https://www.nationalgridus.com/media/pdfs/billing-payments/gas-rates/mag/2020/may-1-2020_boston.pdf" TargetMode="External"/><Relationship Id="rId19" Type="http://schemas.openxmlformats.org/officeDocument/2006/relationships/hyperlink" Target="https://www.nationalgridus.com/media/pdfs/billing-payments/gas-rates/mag/2024/ma-gas-rate-summary-11-24-service-rates.pdf" TargetMode="External"/><Relationship Id="rId4" Type="http://schemas.openxmlformats.org/officeDocument/2006/relationships/hyperlink" Target="https://www.nationalgridus.com/media/pdfs/billing-payments/gas-rates/mag/2017/may-9-2017_boston.pdf" TargetMode="External"/><Relationship Id="rId9" Type="http://schemas.openxmlformats.org/officeDocument/2006/relationships/hyperlink" Target="https://www.nationalgridus.com/media/pdfs/billing-payments/gas-rates/mag/2019/november-1-2019_boston.pdf" TargetMode="External"/><Relationship Id="rId14" Type="http://schemas.openxmlformats.org/officeDocument/2006/relationships/hyperlink" Target="https://www.nationalgridus.com/media/pdfs/billing-payments/gas-rates/mag/2022/may-1-2022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ma-eeac.org/wp-content/uploads/Residential-Building-Use-and-Equipment-Characterization-Study-Comprehensive-Report-2023-12-22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89AA3-1CE1-47CC-8892-D9D77FE53C95}">
  <dimension ref="A1:W74"/>
  <sheetViews>
    <sheetView workbookViewId="0">
      <selection activeCell="O21" sqref="O21"/>
    </sheetView>
  </sheetViews>
  <sheetFormatPr defaultRowHeight="15"/>
  <cols>
    <col min="1" max="1" width="46.140625" customWidth="1"/>
    <col min="2" max="2" width="19.28515625" customWidth="1"/>
    <col min="3" max="3" width="17.5703125" customWidth="1"/>
    <col min="4" max="4" width="17.28515625" customWidth="1"/>
    <col min="5" max="5" width="14.28515625" customWidth="1"/>
    <col min="6" max="6" width="13.85546875" customWidth="1"/>
    <col min="12" max="12" width="16" customWidth="1"/>
    <col min="14" max="14" width="11.28515625" customWidth="1"/>
    <col min="16" max="16" width="13.7109375" customWidth="1"/>
    <col min="17" max="17" width="12.7109375" customWidth="1"/>
  </cols>
  <sheetData>
    <row r="1" spans="1:23">
      <c r="K1" s="92"/>
      <c r="L1" s="244" t="s">
        <v>0</v>
      </c>
      <c r="M1" s="245"/>
      <c r="N1" s="245"/>
      <c r="O1" s="245"/>
      <c r="P1" s="245"/>
      <c r="Q1" s="245"/>
      <c r="R1" s="245"/>
      <c r="S1" s="245"/>
      <c r="T1" s="245"/>
      <c r="U1" s="246"/>
    </row>
    <row r="2" spans="1:23" ht="45" customHeight="1">
      <c r="K2" s="92" t="s">
        <v>1</v>
      </c>
      <c r="L2" s="93" t="s">
        <v>2</v>
      </c>
      <c r="M2" s="93" t="s">
        <v>3</v>
      </c>
      <c r="N2" s="93" t="s">
        <v>4</v>
      </c>
      <c r="O2" s="93" t="s">
        <v>5</v>
      </c>
      <c r="P2" s="93" t="s">
        <v>6</v>
      </c>
      <c r="Q2" s="93" t="s">
        <v>7</v>
      </c>
      <c r="R2" s="93" t="s">
        <v>8</v>
      </c>
      <c r="S2" s="93" t="s">
        <v>9</v>
      </c>
      <c r="T2" s="93" t="s">
        <v>10</v>
      </c>
      <c r="U2" s="93" t="s">
        <v>11</v>
      </c>
      <c r="V2" s="93" t="s">
        <v>12</v>
      </c>
      <c r="W2" s="16"/>
    </row>
    <row r="3" spans="1:23">
      <c r="K3" s="94">
        <f>'Boston Gas Res Heat GAF'!C4</f>
        <v>42370</v>
      </c>
      <c r="L3" s="92" t="str">
        <f>_xlfn.CONCAT(TEXT(K3,"yyyy")," ",IF(TEXT(K3,"m")="1"," Peak (Jan 1)","Off   (July 1)"))</f>
        <v>2016  Peak (Jan 1)</v>
      </c>
      <c r="M3" s="95">
        <f>'Boston Gas Res Heat GAF'!D4</f>
        <v>0.47499999999999998</v>
      </c>
      <c r="N3" s="95">
        <f>'Boston Gas Delivery Service'!M5</f>
        <v>0.45340000000000003</v>
      </c>
      <c r="O3" s="95">
        <v>0</v>
      </c>
      <c r="P3" s="95">
        <v>0</v>
      </c>
      <c r="Q3" s="95">
        <v>0</v>
      </c>
      <c r="R3" s="95">
        <v>0</v>
      </c>
      <c r="S3" s="95">
        <f>'Boston Gas Delivery Service'!H5</f>
        <v>0.28689999999999999</v>
      </c>
      <c r="T3" s="95">
        <f>SUM(M3:S3)</f>
        <v>1.2153</v>
      </c>
      <c r="U3" s="92"/>
      <c r="V3" s="116">
        <f>T3/$T$3</f>
        <v>1</v>
      </c>
      <c r="W3" s="16"/>
    </row>
    <row r="4" spans="1:23">
      <c r="A4" s="16"/>
      <c r="B4" s="82" t="s">
        <v>13</v>
      </c>
      <c r="C4" t="s">
        <v>14</v>
      </c>
      <c r="D4" t="s">
        <v>15</v>
      </c>
      <c r="E4" t="s">
        <v>16</v>
      </c>
      <c r="K4" s="94">
        <f>'Boston Gas Res Heat GAF'!C5</f>
        <v>42552</v>
      </c>
      <c r="L4" s="92" t="str">
        <f t="shared" ref="L4:L21" si="0">_xlfn.CONCAT(TEXT(K4,"yyyy")," ",IF(TEXT(K4,"m")="1"," Peak (Jan 1)","Off   (July 1)"))</f>
        <v>2016 Off   (July 1)</v>
      </c>
      <c r="M4" s="95">
        <f>'Boston Gas Res Heat GAF'!D5</f>
        <v>0.28999999999999998</v>
      </c>
      <c r="N4" s="95">
        <f>'Boston Gas Delivery Service'!M6</f>
        <v>0.25750000000000001</v>
      </c>
      <c r="O4" s="95">
        <v>0</v>
      </c>
      <c r="P4" s="95">
        <v>0</v>
      </c>
      <c r="Q4" s="95">
        <v>0</v>
      </c>
      <c r="R4" s="95">
        <v>0</v>
      </c>
      <c r="S4" s="95">
        <f>'Boston Gas Delivery Service'!H6</f>
        <v>0.28920000000000001</v>
      </c>
      <c r="T4" s="95">
        <f t="shared" ref="T4:T21" si="1">SUM(M4:S4)</f>
        <v>0.8367</v>
      </c>
      <c r="U4" s="92"/>
      <c r="V4" s="116">
        <f t="shared" ref="V4:V21" si="2">T4/$T$3</f>
        <v>0.68847198222661066</v>
      </c>
      <c r="W4" s="16"/>
    </row>
    <row r="5" spans="1:23">
      <c r="A5" s="7" t="s">
        <v>3</v>
      </c>
      <c r="B5" s="101">
        <v>0.81220000000000003</v>
      </c>
      <c r="C5" s="102">
        <v>0.84670000000000001</v>
      </c>
      <c r="D5" s="103">
        <v>0.67120000000000002</v>
      </c>
      <c r="E5" s="104">
        <v>0.76390000000000002</v>
      </c>
      <c r="F5" s="50">
        <f t="shared" ref="F5:F11" si="3">E5/D5-1</f>
        <v>0.13811084624553049</v>
      </c>
      <c r="K5" s="94">
        <f>'Boston Gas Res Heat GAF'!C6</f>
        <v>42736</v>
      </c>
      <c r="L5" s="92" t="str">
        <f>_xlfn.CONCAT(TEXT(K5,"yyyy")," ",IF(TEXT(K5,"m")="1"," Peak (Jan 1)","Off   (July 1)"))</f>
        <v>2017  Peak (Jan 1)</v>
      </c>
      <c r="M5" s="95">
        <f>'Boston Gas Res Heat GAF'!D6</f>
        <v>0.43540000000000001</v>
      </c>
      <c r="N5" s="95">
        <f>'Boston Gas Delivery Service'!M7</f>
        <v>0.5242</v>
      </c>
      <c r="O5" s="95">
        <v>0</v>
      </c>
      <c r="P5" s="95">
        <v>0</v>
      </c>
      <c r="Q5" s="95">
        <v>0</v>
      </c>
      <c r="R5" s="95">
        <v>0</v>
      </c>
      <c r="S5" s="95">
        <f>'Boston Gas Delivery Service'!H7</f>
        <v>0.33040000000000003</v>
      </c>
      <c r="T5" s="95">
        <f>SUM(M5:S5)</f>
        <v>1.29</v>
      </c>
      <c r="U5" s="92"/>
      <c r="V5" s="116">
        <f t="shared" si="2"/>
        <v>1.0614663046161441</v>
      </c>
      <c r="W5" s="16"/>
    </row>
    <row r="6" spans="1:23" s="8" customFormat="1">
      <c r="A6" s="7" t="s">
        <v>4</v>
      </c>
      <c r="B6" s="105">
        <v>0.95369999999999999</v>
      </c>
      <c r="C6" s="106">
        <v>0.98</v>
      </c>
      <c r="D6" s="107">
        <v>0.72770000000000001</v>
      </c>
      <c r="E6" s="108">
        <v>0.73340000000000005</v>
      </c>
      <c r="F6" s="50">
        <f t="shared" si="3"/>
        <v>7.8328981723239099E-3</v>
      </c>
      <c r="H6"/>
      <c r="I6"/>
      <c r="K6" s="94">
        <f>'Boston Gas Res Heat GAF'!C7</f>
        <v>42917</v>
      </c>
      <c r="L6" s="92" t="str">
        <f t="shared" si="0"/>
        <v>2017 Off   (July 1)</v>
      </c>
      <c r="M6" s="95">
        <f>'Boston Gas Res Heat GAF'!D7</f>
        <v>0.42099999999999999</v>
      </c>
      <c r="N6" s="95">
        <f>'Boston Gas Delivery Service'!M8</f>
        <v>0.26600000000000001</v>
      </c>
      <c r="O6" s="95">
        <v>0</v>
      </c>
      <c r="P6" s="95">
        <v>0</v>
      </c>
      <c r="Q6" s="95">
        <v>0</v>
      </c>
      <c r="R6" s="95">
        <v>0</v>
      </c>
      <c r="S6" s="95">
        <f>'Boston Gas Delivery Service'!H8</f>
        <v>0.34939999999999999</v>
      </c>
      <c r="T6" s="95">
        <f t="shared" si="1"/>
        <v>1.0364</v>
      </c>
      <c r="U6" s="92"/>
      <c r="V6" s="116">
        <f t="shared" si="2"/>
        <v>0.85279354891796255</v>
      </c>
      <c r="W6" s="7"/>
    </row>
    <row r="7" spans="1:23">
      <c r="A7" s="3" t="s">
        <v>5</v>
      </c>
      <c r="B7" s="105">
        <v>0.30080000000000001</v>
      </c>
      <c r="C7" s="106">
        <v>0.46760000000000002</v>
      </c>
      <c r="D7" s="109">
        <v>0.29570000000000002</v>
      </c>
      <c r="E7" s="110">
        <v>0.57020000000000004</v>
      </c>
      <c r="F7" s="50">
        <f t="shared" si="3"/>
        <v>0.9283057152519445</v>
      </c>
      <c r="K7" s="94">
        <f>'Boston Gas Res Heat GAF'!C8</f>
        <v>43101</v>
      </c>
      <c r="L7" s="92" t="str">
        <f t="shared" si="0"/>
        <v>2018  Peak (Jan 1)</v>
      </c>
      <c r="M7" s="95">
        <f>'Boston Gas Res Heat GAF'!D8</f>
        <v>0.626</v>
      </c>
      <c r="N7" s="95">
        <f>'Boston Gas Delivery Service'!M9</f>
        <v>0.51600000000000001</v>
      </c>
      <c r="O7" s="95">
        <v>0</v>
      </c>
      <c r="P7" s="95">
        <v>0</v>
      </c>
      <c r="Q7" s="95">
        <v>0</v>
      </c>
      <c r="R7" s="95">
        <v>0</v>
      </c>
      <c r="S7" s="95">
        <f>'Boston Gas Delivery Service'!H9</f>
        <v>0.34179999999999999</v>
      </c>
      <c r="T7" s="95">
        <f t="shared" si="1"/>
        <v>1.4838</v>
      </c>
      <c r="U7" s="92"/>
      <c r="V7" s="116">
        <f t="shared" si="2"/>
        <v>1.2209331029375463</v>
      </c>
      <c r="W7" s="16"/>
    </row>
    <row r="8" spans="1:23" ht="15.75" thickBot="1">
      <c r="A8" s="3" t="s">
        <v>17</v>
      </c>
      <c r="B8" s="105">
        <v>4.6800000000000001E-2</v>
      </c>
      <c r="C8" s="106">
        <v>6.9900000000000004E-2</v>
      </c>
      <c r="D8" s="111">
        <v>5.3199999999999997E-2</v>
      </c>
      <c r="E8" s="112">
        <v>5.6099999999999997E-2</v>
      </c>
      <c r="F8" s="50">
        <f t="shared" si="3"/>
        <v>5.4511278195488622E-2</v>
      </c>
      <c r="K8" s="94">
        <f>'Boston Gas Res Heat GAF'!C9</f>
        <v>43282</v>
      </c>
      <c r="L8" s="92" t="str">
        <f t="shared" si="0"/>
        <v>2018 Off   (July 1)</v>
      </c>
      <c r="M8" s="95">
        <f>'Boston Gas Res Heat GAF'!D9</f>
        <v>0.35470000000000002</v>
      </c>
      <c r="N8" s="95">
        <f>'Boston Gas Delivery Service'!M10</f>
        <v>0.27400000000000002</v>
      </c>
      <c r="O8" s="95">
        <v>0</v>
      </c>
      <c r="P8" s="95">
        <v>0</v>
      </c>
      <c r="Q8" s="95">
        <v>0</v>
      </c>
      <c r="R8" s="95">
        <v>0</v>
      </c>
      <c r="S8" s="95">
        <f>'Boston Gas Delivery Service'!H10</f>
        <v>0.36149999999999999</v>
      </c>
      <c r="T8" s="95">
        <f t="shared" si="1"/>
        <v>0.99019999999999997</v>
      </c>
      <c r="U8" s="92"/>
      <c r="V8" s="116">
        <f t="shared" si="2"/>
        <v>0.81477824405496579</v>
      </c>
      <c r="W8" s="17"/>
    </row>
    <row r="9" spans="1:23" s="8" customFormat="1">
      <c r="A9" s="3" t="s">
        <v>18</v>
      </c>
      <c r="B9" s="105">
        <f>0.119-0.0003</f>
        <v>0.1187</v>
      </c>
      <c r="C9" s="106">
        <f>0.1631+0.0013</f>
        <v>0.16439999999999999</v>
      </c>
      <c r="D9" s="113">
        <v>0.15570000000000001</v>
      </c>
      <c r="E9" s="112">
        <f>0.2049+0.0017</f>
        <v>0.20660000000000001</v>
      </c>
      <c r="F9" s="50">
        <f t="shared" si="3"/>
        <v>0.32691072575465641</v>
      </c>
      <c r="H9"/>
      <c r="I9"/>
      <c r="K9" s="94">
        <f>'Boston Gas Res Heat GAF'!C10</f>
        <v>43466</v>
      </c>
      <c r="L9" s="92" t="str">
        <f t="shared" si="0"/>
        <v>2019  Peak (Jan 1)</v>
      </c>
      <c r="M9" s="95">
        <f>'Boston Gas Res Heat GAF'!D10</f>
        <v>0.60250000000000004</v>
      </c>
      <c r="N9" s="95">
        <f>'Boston Gas Delivery Service'!M11</f>
        <v>0.59199999999999997</v>
      </c>
      <c r="O9" s="95">
        <v>0</v>
      </c>
      <c r="P9" s="95">
        <v>0</v>
      </c>
      <c r="Q9" s="95">
        <v>0</v>
      </c>
      <c r="R9" s="95">
        <v>0</v>
      </c>
      <c r="S9" s="95">
        <f>'Boston Gas Delivery Service'!H11</f>
        <v>0.31380000000000002</v>
      </c>
      <c r="T9" s="95">
        <f t="shared" si="1"/>
        <v>1.5083000000000002</v>
      </c>
      <c r="U9" s="92"/>
      <c r="V9" s="117">
        <f t="shared" si="2"/>
        <v>1.241092734304287</v>
      </c>
      <c r="W9" s="118" t="s">
        <v>19</v>
      </c>
    </row>
    <row r="10" spans="1:23">
      <c r="A10" s="3" t="s">
        <v>20</v>
      </c>
      <c r="B10" s="105">
        <f>B12-SUM(B7:B9)</f>
        <v>8.2999999999999741E-3</v>
      </c>
      <c r="C10" s="106">
        <f>C12-SUM(C7:C9)</f>
        <v>-3.389999999999993E-2</v>
      </c>
      <c r="D10" s="113">
        <f>D12-SUM(D7:D9)</f>
        <v>-1.2999999999998568E-3</v>
      </c>
      <c r="E10" s="112">
        <f>E12-SUM(E7:E9)</f>
        <v>4.3899999999999939E-2</v>
      </c>
      <c r="F10" s="50"/>
      <c r="K10" s="94">
        <f>'Boston Gas Res Heat GAF'!C11</f>
        <v>43647</v>
      </c>
      <c r="L10" s="92" t="str">
        <f t="shared" si="0"/>
        <v>2019 Off   (July 1)</v>
      </c>
      <c r="M10" s="95">
        <f>'Boston Gas Res Heat GAF'!D11</f>
        <v>0.35220000000000001</v>
      </c>
      <c r="N10" s="95">
        <f>'Boston Gas Delivery Service'!M12</f>
        <v>0.75949999999999995</v>
      </c>
      <c r="O10" s="95">
        <f>'Boston Gas Delivery Service'!T12</f>
        <v>0.1323</v>
      </c>
      <c r="P10" s="95">
        <f>'Boston Gas Delivery Service'!Y12</f>
        <v>2.76E-2</v>
      </c>
      <c r="Q10" s="95">
        <f>SUM('Boston Gas Delivery Service'!AA12:AB12)</f>
        <v>4.07E-2</v>
      </c>
      <c r="R10" s="95">
        <f>'Boston Gas Delivery Service'!R12</f>
        <v>6.9599999999999995E-2</v>
      </c>
      <c r="S10" s="95">
        <v>0</v>
      </c>
      <c r="T10" s="95">
        <f t="shared" si="1"/>
        <v>1.3818999999999999</v>
      </c>
      <c r="U10" s="96">
        <f>SUM(N10:S10)-'Boston Gas Delivery Service'!AI12</f>
        <v>0</v>
      </c>
      <c r="V10" s="117">
        <f t="shared" si="2"/>
        <v>1.1370854932938368</v>
      </c>
      <c r="W10" s="119">
        <f>O10/T10</f>
        <v>9.5737752369925475E-2</v>
      </c>
    </row>
    <row r="11" spans="1:23">
      <c r="A11" s="47" t="s">
        <v>21</v>
      </c>
      <c r="B11" s="114">
        <f>+B12+B6+B5</f>
        <v>2.2404999999999999</v>
      </c>
      <c r="C11" s="114">
        <f>+C12+C6+C5</f>
        <v>2.4946999999999999</v>
      </c>
      <c r="D11" s="114">
        <f>+D12+D6+D5</f>
        <v>1.9022000000000001</v>
      </c>
      <c r="E11" s="114">
        <f>+E12+E6+E5</f>
        <v>2.3741000000000003</v>
      </c>
      <c r="F11" s="50">
        <f t="shared" si="3"/>
        <v>0.24808116917253709</v>
      </c>
      <c r="K11" s="94">
        <f>'Boston Gas Res Heat GAF'!C12</f>
        <v>43831</v>
      </c>
      <c r="L11" s="92" t="str">
        <f t="shared" si="0"/>
        <v>2020  Peak (Jan 1)</v>
      </c>
      <c r="M11" s="95">
        <f>'Boston Gas Res Heat GAF'!D12</f>
        <v>0.60460000000000003</v>
      </c>
      <c r="N11" s="95">
        <f>'Boston Gas Delivery Service'!M13</f>
        <v>0.57289999999999996</v>
      </c>
      <c r="O11" s="95">
        <f>'Boston Gas Delivery Service'!T13</f>
        <v>0.14860000000000001</v>
      </c>
      <c r="P11" s="95">
        <f>'Boston Gas Delivery Service'!Y13</f>
        <v>1.8200000000000001E-2</v>
      </c>
      <c r="Q11" s="95">
        <f>SUM('Boston Gas Delivery Service'!AA13:AB13)</f>
        <v>4.1700000000000001E-2</v>
      </c>
      <c r="R11" s="95">
        <f>'Boston Gas Delivery Service'!R13</f>
        <v>9.7999999999999979E-3</v>
      </c>
      <c r="S11" s="95">
        <v>0</v>
      </c>
      <c r="T11" s="95">
        <f t="shared" si="1"/>
        <v>1.3958000000000002</v>
      </c>
      <c r="U11" s="96">
        <f>SUM(N11:S11)-'Boston Gas Delivery Service'!AI13</f>
        <v>0</v>
      </c>
      <c r="V11" s="117">
        <f t="shared" si="2"/>
        <v>1.1485229984366001</v>
      </c>
      <c r="W11" s="119">
        <f t="shared" ref="W11:W21" si="4">O11/T11</f>
        <v>0.10646224387448058</v>
      </c>
    </row>
    <row r="12" spans="1:23">
      <c r="A12" s="7" t="s">
        <v>22</v>
      </c>
      <c r="B12" s="101">
        <v>0.47460000000000002</v>
      </c>
      <c r="C12" s="102">
        <v>0.66800000000000004</v>
      </c>
      <c r="D12" s="103">
        <v>0.50330000000000008</v>
      </c>
      <c r="E12" s="104">
        <v>0.87680000000000002</v>
      </c>
      <c r="F12" s="50">
        <f>E12/D12-1</f>
        <v>0.74210212596860692</v>
      </c>
      <c r="K12" s="94">
        <f>'Boston Gas Res Heat GAF'!C13</f>
        <v>44013</v>
      </c>
      <c r="L12" s="92" t="str">
        <f t="shared" si="0"/>
        <v>2020 Off   (July 1)</v>
      </c>
      <c r="M12" s="95">
        <f>'Boston Gas Res Heat GAF'!D13</f>
        <v>0.28420000000000001</v>
      </c>
      <c r="N12" s="95">
        <f>'Boston Gas Delivery Service'!M14</f>
        <v>0.27939999999999998</v>
      </c>
      <c r="O12" s="95">
        <f>'Boston Gas Delivery Service'!T14</f>
        <v>0.14860000000000001</v>
      </c>
      <c r="P12" s="95">
        <f>'Boston Gas Delivery Service'!Y14</f>
        <v>1.8200000000000001E-2</v>
      </c>
      <c r="Q12" s="95">
        <f>SUM('Boston Gas Delivery Service'!AA14:AB14)</f>
        <v>7.3800000000000004E-2</v>
      </c>
      <c r="R12" s="95">
        <f>'Boston Gas Delivery Service'!R14</f>
        <v>9.7999999999999979E-3</v>
      </c>
      <c r="S12" s="95">
        <v>0</v>
      </c>
      <c r="T12" s="95">
        <f t="shared" si="1"/>
        <v>0.81399999999999995</v>
      </c>
      <c r="U12" s="96">
        <f>SUM(N12:S12)-'Boston Gas Delivery Service'!AI14</f>
        <v>0</v>
      </c>
      <c r="V12" s="117">
        <f t="shared" si="2"/>
        <v>0.66979346663375294</v>
      </c>
      <c r="W12" s="119">
        <f t="shared" si="4"/>
        <v>0.18255528255528258</v>
      </c>
    </row>
    <row r="13" spans="1:23">
      <c r="A13" s="16" t="s">
        <v>23</v>
      </c>
      <c r="B13" s="97">
        <v>12</v>
      </c>
      <c r="C13" s="98">
        <v>12</v>
      </c>
      <c r="D13" s="99">
        <v>10</v>
      </c>
      <c r="E13" s="100">
        <v>10</v>
      </c>
      <c r="F13" s="50">
        <f>E13/D13-1</f>
        <v>0</v>
      </c>
      <c r="K13" s="94">
        <f>'Boston Gas Res Heat GAF'!C14</f>
        <v>44197</v>
      </c>
      <c r="L13" s="92" t="str">
        <f t="shared" si="0"/>
        <v>2021  Peak (Jan 1)</v>
      </c>
      <c r="M13" s="95">
        <f>'Boston Gas Res Heat GAF'!D14</f>
        <v>0.5867</v>
      </c>
      <c r="N13" s="95">
        <f>'Boston Gas Delivery Service'!M15</f>
        <v>0.61409999999999998</v>
      </c>
      <c r="O13" s="95">
        <f>'Boston Gas Delivery Service'!T15</f>
        <v>0.17929999999999999</v>
      </c>
      <c r="P13" s="95">
        <f>'Boston Gas Delivery Service'!Y15</f>
        <v>2.2800000000000001E-2</v>
      </c>
      <c r="Q13" s="95">
        <f>SUM('Boston Gas Delivery Service'!AA15:AB15)</f>
        <v>7.6800000000000007E-2</v>
      </c>
      <c r="R13" s="95">
        <f>'Boston Gas Delivery Service'!R15</f>
        <v>2.0200000000000003E-2</v>
      </c>
      <c r="S13" s="95">
        <v>0</v>
      </c>
      <c r="T13" s="95">
        <f t="shared" si="1"/>
        <v>1.4999</v>
      </c>
      <c r="U13" s="96">
        <f>SUM(N13:S13)-'Boston Gas Delivery Service'!AI15</f>
        <v>0</v>
      </c>
      <c r="V13" s="117">
        <f t="shared" si="2"/>
        <v>1.2341808606928331</v>
      </c>
      <c r="W13" s="119">
        <f t="shared" si="4"/>
        <v>0.11954130275351689</v>
      </c>
    </row>
    <row r="14" spans="1:23">
      <c r="E14" s="5"/>
      <c r="F14" s="5"/>
      <c r="K14" s="94">
        <f>'Boston Gas Res Heat GAF'!C15</f>
        <v>44378</v>
      </c>
      <c r="L14" s="92" t="str">
        <f t="shared" si="0"/>
        <v>2021 Off   (July 1)</v>
      </c>
      <c r="M14" s="95">
        <f>'Boston Gas Res Heat GAF'!D15</f>
        <v>0.38950000000000001</v>
      </c>
      <c r="N14" s="95">
        <f>'Boston Gas Delivery Service'!M16</f>
        <v>0.30059999999999998</v>
      </c>
      <c r="O14" s="95">
        <f>'Boston Gas Delivery Service'!T16</f>
        <v>0.17929999999999999</v>
      </c>
      <c r="P14" s="95">
        <f>'Boston Gas Delivery Service'!Y16</f>
        <v>2.2800000000000001E-2</v>
      </c>
      <c r="Q14" s="95">
        <f>SUM('Boston Gas Delivery Service'!AA16:AB16)</f>
        <v>9.920000000000001E-2</v>
      </c>
      <c r="R14" s="95">
        <f>'Boston Gas Delivery Service'!R16</f>
        <v>2.0200000000000003E-2</v>
      </c>
      <c r="S14" s="95">
        <v>0</v>
      </c>
      <c r="T14" s="95">
        <f t="shared" si="1"/>
        <v>1.0116000000000001</v>
      </c>
      <c r="U14" s="96">
        <f>SUM(N14:S14)-'Boston Gas Delivery Service'!AI16</f>
        <v>0</v>
      </c>
      <c r="V14" s="117">
        <f t="shared" si="2"/>
        <v>0.83238706492224146</v>
      </c>
      <c r="W14" s="119">
        <f t="shared" si="4"/>
        <v>0.17724396994859626</v>
      </c>
    </row>
    <row r="15" spans="1:23">
      <c r="B15" s="72"/>
      <c r="C15" s="72"/>
      <c r="D15" s="72"/>
      <c r="E15" s="72"/>
      <c r="F15" s="72"/>
      <c r="K15" s="94">
        <f>'Boston Gas Res Heat GAF'!C16</f>
        <v>44562</v>
      </c>
      <c r="L15" s="92" t="str">
        <f t="shared" si="0"/>
        <v>2022  Peak (Jan 1)</v>
      </c>
      <c r="M15" s="95">
        <f>'Boston Gas Res Heat GAF'!D16</f>
        <v>0.73450000000000004</v>
      </c>
      <c r="N15" s="95">
        <f>'Boston Gas Delivery Service'!M17</f>
        <v>0.69869999999999999</v>
      </c>
      <c r="O15" s="95">
        <f>'Boston Gas Delivery Service'!T17</f>
        <v>0.23300000000000001</v>
      </c>
      <c r="P15" s="95">
        <f>'Boston Gas Delivery Service'!Y17</f>
        <v>3.3799999999999997E-2</v>
      </c>
      <c r="Q15" s="95">
        <f>SUM('Boston Gas Delivery Service'!AA17:AB17)</f>
        <v>7.3499999999999996E-2</v>
      </c>
      <c r="R15" s="95">
        <f>'Boston Gas Delivery Service'!R17</f>
        <v>2.2200000000000001E-2</v>
      </c>
      <c r="S15" s="95">
        <v>0</v>
      </c>
      <c r="T15" s="95">
        <f t="shared" si="1"/>
        <v>1.7957000000000001</v>
      </c>
      <c r="U15" s="96">
        <f>SUM(N15:S15)-'Boston Gas Delivery Service'!AI17</f>
        <v>0</v>
      </c>
      <c r="V15" s="117">
        <f t="shared" si="2"/>
        <v>1.4775775528676047</v>
      </c>
      <c r="W15" s="119">
        <f t="shared" si="4"/>
        <v>0.12975441332071058</v>
      </c>
    </row>
    <row r="16" spans="1:23">
      <c r="B16" s="72"/>
      <c r="C16" s="72"/>
      <c r="D16" s="72"/>
      <c r="E16" s="72"/>
      <c r="F16" s="72"/>
      <c r="K16" s="94">
        <f>'Boston Gas Res Heat GAF'!C17</f>
        <v>44743</v>
      </c>
      <c r="L16" s="92" t="str">
        <f t="shared" si="0"/>
        <v>2022 Off   (July 1)</v>
      </c>
      <c r="M16" s="95">
        <f>'Boston Gas Res Heat GAF'!D17</f>
        <v>1.0487</v>
      </c>
      <c r="N16" s="95">
        <f>'Boston Gas Delivery Service'!M18</f>
        <v>0.37669999999999998</v>
      </c>
      <c r="O16" s="95">
        <f>'Boston Gas Delivery Service'!T18</f>
        <v>0.23300000000000001</v>
      </c>
      <c r="P16" s="95">
        <f>'Boston Gas Delivery Service'!Y18</f>
        <v>3.3799999999999997E-2</v>
      </c>
      <c r="Q16" s="95">
        <f>SUM('Boston Gas Delivery Service'!AA18:AB18)</f>
        <v>7.5399999999999995E-2</v>
      </c>
      <c r="R16" s="95">
        <f>'Boston Gas Delivery Service'!R18</f>
        <v>2.2200000000000001E-2</v>
      </c>
      <c r="S16" s="95">
        <v>0</v>
      </c>
      <c r="T16" s="95">
        <f t="shared" si="1"/>
        <v>1.7898000000000001</v>
      </c>
      <c r="U16" s="96">
        <f>SUM(N16:S16)-'Boston Gas Delivery Service'!AI18</f>
        <v>0</v>
      </c>
      <c r="V16" s="117">
        <f t="shared" si="2"/>
        <v>1.4727227844976549</v>
      </c>
      <c r="W16" s="119">
        <f t="shared" si="4"/>
        <v>0.13018214325622976</v>
      </c>
    </row>
    <row r="17" spans="1:23">
      <c r="A17" s="9" t="s">
        <v>24</v>
      </c>
      <c r="K17" s="94">
        <f>'Boston Gas Res Heat GAF'!C18</f>
        <v>44927</v>
      </c>
      <c r="L17" s="92" t="str">
        <f t="shared" si="0"/>
        <v>2023  Peak (Jan 1)</v>
      </c>
      <c r="M17" s="95">
        <f>'Boston Gas Res Heat GAF'!D18</f>
        <v>0.98699999999999999</v>
      </c>
      <c r="N17" s="95">
        <f>'Boston Gas Delivery Service'!M19</f>
        <v>0.82679999999999998</v>
      </c>
      <c r="O17" s="95">
        <f>'Boston Gas Delivery Service'!T19</f>
        <v>0.2782</v>
      </c>
      <c r="P17" s="95">
        <f>'Boston Gas Delivery Service'!Y19</f>
        <v>5.0200000000000002E-2</v>
      </c>
      <c r="Q17" s="95">
        <f>SUM('Boston Gas Delivery Service'!AA19:AB19)</f>
        <v>9.8599999999999993E-2</v>
      </c>
      <c r="R17" s="95">
        <f>'Boston Gas Delivery Service'!R19</f>
        <v>8.9999999999999993E-3</v>
      </c>
      <c r="S17" s="95">
        <v>0</v>
      </c>
      <c r="T17" s="95">
        <f t="shared" si="1"/>
        <v>2.2497999999999996</v>
      </c>
      <c r="U17" s="96">
        <f>SUM(N17:S17)-'Boston Gas Delivery Service'!AI19</f>
        <v>0</v>
      </c>
      <c r="V17" s="117">
        <f t="shared" si="2"/>
        <v>1.8512301489344192</v>
      </c>
      <c r="W17" s="119">
        <f t="shared" si="4"/>
        <v>0.12365543603875903</v>
      </c>
    </row>
    <row r="18" spans="1:23">
      <c r="A18" s="9" t="s">
        <v>25</v>
      </c>
      <c r="K18" s="94">
        <f>'Boston Gas Res Heat GAF'!C19</f>
        <v>45108</v>
      </c>
      <c r="L18" s="92" t="str">
        <f t="shared" si="0"/>
        <v>2023 Off   (July 1)</v>
      </c>
      <c r="M18" s="95">
        <f>'Boston Gas Res Heat GAF'!D19</f>
        <v>0.2273</v>
      </c>
      <c r="N18" s="95">
        <f>'Boston Gas Delivery Service'!M20</f>
        <v>0.47839999999999999</v>
      </c>
      <c r="O18" s="95">
        <f>'Boston Gas Delivery Service'!T20</f>
        <v>0.2782</v>
      </c>
      <c r="P18" s="95">
        <f>'Boston Gas Delivery Service'!Y20</f>
        <v>5.0200000000000002E-2</v>
      </c>
      <c r="Q18" s="95">
        <f>SUM('Boston Gas Delivery Service'!AA20:AB20)</f>
        <v>0.14219999999999999</v>
      </c>
      <c r="R18" s="95">
        <f>'Boston Gas Delivery Service'!R20</f>
        <v>8.9999999999999993E-3</v>
      </c>
      <c r="S18" s="95">
        <v>0</v>
      </c>
      <c r="T18" s="95">
        <f t="shared" si="1"/>
        <v>1.1852999999999998</v>
      </c>
      <c r="U18" s="96">
        <f>SUM(N18:S18)-'Boston Gas Delivery Service'!AI20</f>
        <v>0</v>
      </c>
      <c r="V18" s="117">
        <f t="shared" si="2"/>
        <v>0.97531473710194994</v>
      </c>
      <c r="W18" s="119">
        <f t="shared" si="4"/>
        <v>0.23470851261284068</v>
      </c>
    </row>
    <row r="19" spans="1:23">
      <c r="A19" s="9" t="s">
        <v>26</v>
      </c>
      <c r="H19" s="82"/>
      <c r="K19" s="94">
        <f>'Boston Gas Res Heat GAF'!C20</f>
        <v>45292</v>
      </c>
      <c r="L19" s="92" t="str">
        <f t="shared" si="0"/>
        <v>2024  Peak (Jan 1)</v>
      </c>
      <c r="M19" s="95">
        <f>'Boston Gas Res Heat GAF'!D20</f>
        <v>0.81220000000000003</v>
      </c>
      <c r="N19" s="95">
        <f>'Boston Gas Delivery Service'!M21</f>
        <v>0.95369999999999999</v>
      </c>
      <c r="O19" s="95">
        <f>'Boston Gas Delivery Service'!T21</f>
        <v>0.30080000000000001</v>
      </c>
      <c r="P19" s="95">
        <f>'Boston Gas Delivery Service'!Y21</f>
        <v>4.6800000000000001E-2</v>
      </c>
      <c r="Q19" s="95">
        <f>SUM('Boston Gas Delivery Service'!AA21:AB21)</f>
        <v>0.1187</v>
      </c>
      <c r="R19" s="95">
        <f>'Boston Gas Delivery Service'!R21</f>
        <v>8.2999999999999984E-3</v>
      </c>
      <c r="S19" s="95">
        <v>0</v>
      </c>
      <c r="T19" s="95">
        <f t="shared" si="1"/>
        <v>2.2405000000000004</v>
      </c>
      <c r="U19" s="96">
        <f>SUM(N19:S19)-'Boston Gas Delivery Service'!AI21</f>
        <v>0</v>
      </c>
      <c r="V19" s="117">
        <f t="shared" si="2"/>
        <v>1.8435777174360242</v>
      </c>
      <c r="W19" s="119">
        <f t="shared" si="4"/>
        <v>0.13425574648515953</v>
      </c>
    </row>
    <row r="20" spans="1:23">
      <c r="A20" s="10" t="s">
        <v>27</v>
      </c>
      <c r="K20" s="94">
        <f>'Boston Gas Res Heat GAF'!C21</f>
        <v>45474</v>
      </c>
      <c r="L20" s="92" t="str">
        <f t="shared" si="0"/>
        <v>2024 Off   (July 1)</v>
      </c>
      <c r="M20" s="95">
        <f>'Boston Gas Res Heat GAF'!D21</f>
        <v>0.38159999999999999</v>
      </c>
      <c r="N20" s="95">
        <f>'Boston Gas Delivery Service'!M22</f>
        <v>0.49909999999999999</v>
      </c>
      <c r="O20" s="95">
        <f>'Boston Gas Delivery Service'!T22</f>
        <v>0.30080000000000001</v>
      </c>
      <c r="P20" s="95">
        <f>'Boston Gas Delivery Service'!Y22</f>
        <v>4.6800000000000001E-2</v>
      </c>
      <c r="Q20" s="95">
        <f>SUM('Boston Gas Delivery Service'!AA22:AB22)</f>
        <v>0.1628</v>
      </c>
      <c r="R20" s="95">
        <f>'Boston Gas Delivery Service'!R22</f>
        <v>-2.4300000000000002E-2</v>
      </c>
      <c r="S20" s="95">
        <v>0</v>
      </c>
      <c r="T20" s="95">
        <f t="shared" si="1"/>
        <v>1.3668</v>
      </c>
      <c r="U20" s="96">
        <f>SUM(N20:S20)-'Boston Gas Delivery Service'!AI22</f>
        <v>0</v>
      </c>
      <c r="V20" s="117">
        <f t="shared" si="2"/>
        <v>1.1246605776351517</v>
      </c>
      <c r="W20" s="119">
        <f t="shared" si="4"/>
        <v>0.22007609013754756</v>
      </c>
    </row>
    <row r="21" spans="1:23" ht="15.75" thickBot="1">
      <c r="A21" s="10" t="s">
        <v>28</v>
      </c>
      <c r="B21" s="10"/>
      <c r="C21" s="10"/>
      <c r="K21" s="94">
        <f>'Boston Gas Res Heat GAF'!C22</f>
        <v>45658</v>
      </c>
      <c r="L21" s="92" t="str">
        <f t="shared" si="0"/>
        <v>2025  Peak (Jan 1)</v>
      </c>
      <c r="M21" s="95">
        <f>'Boston Gas Res Heat GAF'!D22</f>
        <v>0.84670000000000001</v>
      </c>
      <c r="N21" s="95">
        <f>'Boston Gas Delivery Service'!M23</f>
        <v>0.98</v>
      </c>
      <c r="O21" s="95">
        <f>'Boston Gas Delivery Service'!T23</f>
        <v>0.46760000000000002</v>
      </c>
      <c r="P21" s="95">
        <f>'Boston Gas Delivery Service'!Y23</f>
        <v>6.9900000000000004E-2</v>
      </c>
      <c r="Q21" s="95">
        <f>SUM('Boston Gas Delivery Service'!AA23:AB23)</f>
        <v>0.16439999999999999</v>
      </c>
      <c r="R21" s="95">
        <f>'Boston Gas Delivery Service'!R23</f>
        <v>-3.39E-2</v>
      </c>
      <c r="S21" s="95">
        <v>0</v>
      </c>
      <c r="T21" s="95">
        <f t="shared" si="1"/>
        <v>2.4946999999999999</v>
      </c>
      <c r="U21" s="96">
        <f>SUM(N21:S21)-'Boston Gas Delivery Service'!AI23</f>
        <v>0</v>
      </c>
      <c r="V21" s="117">
        <f t="shared" si="2"/>
        <v>2.0527441783921665</v>
      </c>
      <c r="W21" s="120">
        <f t="shared" si="4"/>
        <v>0.18743736721850324</v>
      </c>
    </row>
    <row r="22" spans="1:23">
      <c r="A22" s="11" t="s">
        <v>29</v>
      </c>
      <c r="B22" s="11" t="s">
        <v>30</v>
      </c>
      <c r="C22" s="11"/>
      <c r="D22" s="11"/>
    </row>
    <row r="23" spans="1:23">
      <c r="A23" s="11" t="s">
        <v>31</v>
      </c>
      <c r="B23" s="11"/>
      <c r="C23" s="11"/>
      <c r="D23" s="11"/>
      <c r="L23" t="s">
        <v>32</v>
      </c>
      <c r="P23" s="115">
        <v>1.34</v>
      </c>
      <c r="Q23" t="s">
        <v>33</v>
      </c>
    </row>
    <row r="24" spans="1:23">
      <c r="A24" s="12" t="s">
        <v>34</v>
      </c>
      <c r="B24" s="12"/>
      <c r="L24" t="s">
        <v>35</v>
      </c>
      <c r="P24" s="49">
        <f>V21/P23</f>
        <v>1.531898640591169</v>
      </c>
    </row>
    <row r="25" spans="1:23">
      <c r="A25" s="12" t="s">
        <v>36</v>
      </c>
      <c r="B25" s="12"/>
    </row>
    <row r="26" spans="1:23">
      <c r="A26" s="13" t="s">
        <v>37</v>
      </c>
      <c r="B26" s="13"/>
      <c r="C26" s="13"/>
    </row>
    <row r="27" spans="1:23">
      <c r="A27" s="13" t="s">
        <v>38</v>
      </c>
      <c r="B27" s="13"/>
      <c r="C27" s="13"/>
    </row>
    <row r="28" spans="1:23">
      <c r="A28" s="13" t="s">
        <v>39</v>
      </c>
      <c r="B28" s="13"/>
      <c r="C28" s="13"/>
    </row>
    <row r="29" spans="1:23">
      <c r="A29" s="13" t="s">
        <v>40</v>
      </c>
      <c r="B29" s="13"/>
      <c r="C29" s="13"/>
    </row>
    <row r="30" spans="1:23">
      <c r="A30" s="14" t="s">
        <v>41</v>
      </c>
    </row>
    <row r="31" spans="1:23">
      <c r="A31" s="13" t="s">
        <v>42</v>
      </c>
    </row>
    <row r="32" spans="1:23">
      <c r="A32" s="46" t="s">
        <v>43</v>
      </c>
    </row>
    <row r="40" spans="1:1">
      <c r="A40" s="6"/>
    </row>
    <row r="74" spans="1:2">
      <c r="A74" t="s">
        <v>44</v>
      </c>
      <c r="B74">
        <f>740+118+35.9+15.8</f>
        <v>909.69999999999993</v>
      </c>
    </row>
  </sheetData>
  <mergeCells count="1">
    <mergeCell ref="L1:U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0E41C-ECBF-456C-A761-34898E812837}">
  <dimension ref="A1:W71"/>
  <sheetViews>
    <sheetView tabSelected="1" topLeftCell="A37" workbookViewId="0">
      <selection activeCell="D69" sqref="D69"/>
    </sheetView>
  </sheetViews>
  <sheetFormatPr defaultRowHeight="15"/>
  <cols>
    <col min="1" max="1" width="28.140625" customWidth="1"/>
    <col min="2" max="10" width="17.7109375" customWidth="1"/>
    <col min="11" max="19" width="9.28515625" customWidth="1"/>
    <col min="20" max="23" width="13.5703125" customWidth="1"/>
  </cols>
  <sheetData>
    <row r="1" spans="1:23">
      <c r="A1" t="s">
        <v>513</v>
      </c>
    </row>
    <row r="2" spans="1:23">
      <c r="A2" t="s">
        <v>516</v>
      </c>
    </row>
    <row r="3" spans="1:23">
      <c r="A3" t="s">
        <v>515</v>
      </c>
    </row>
    <row r="4" spans="1:23">
      <c r="A4" t="s">
        <v>514</v>
      </c>
    </row>
    <row r="6" spans="1:23" ht="21">
      <c r="A6" s="287" t="s">
        <v>524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63"/>
    </row>
    <row r="7" spans="1:23" ht="18.75">
      <c r="A7" s="288" t="s">
        <v>525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9"/>
      <c r="T7" s="290"/>
    </row>
    <row r="8" spans="1:23" ht="15.75">
      <c r="A8" s="291" t="s">
        <v>526</v>
      </c>
      <c r="B8" s="297" t="s">
        <v>527</v>
      </c>
      <c r="C8" s="297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2"/>
      <c r="T8" s="263"/>
    </row>
    <row r="9" spans="1:23">
      <c r="A9" s="293">
        <v>45646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92"/>
      <c r="T9" s="263"/>
    </row>
    <row r="10" spans="1:23">
      <c r="A10" s="294"/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63"/>
    </row>
    <row r="11" spans="1:23" ht="75">
      <c r="A11" s="264"/>
      <c r="B11" s="261" t="s">
        <v>497</v>
      </c>
      <c r="C11" s="261"/>
      <c r="D11" s="261"/>
      <c r="E11" s="261"/>
      <c r="F11" s="261"/>
      <c r="G11" s="261"/>
      <c r="H11" s="261"/>
      <c r="I11" s="261"/>
      <c r="J11" s="262"/>
      <c r="K11" s="260" t="s">
        <v>497</v>
      </c>
      <c r="L11" s="261"/>
      <c r="M11" s="261"/>
      <c r="N11" s="261"/>
      <c r="O11" s="261"/>
      <c r="P11" s="261"/>
      <c r="Q11" s="261"/>
      <c r="R11" s="261"/>
      <c r="S11" s="261"/>
      <c r="T11" s="15" t="s">
        <v>517</v>
      </c>
      <c r="U11" s="15" t="s">
        <v>518</v>
      </c>
      <c r="V11" t="s">
        <v>360</v>
      </c>
      <c r="W11" t="s">
        <v>361</v>
      </c>
    </row>
    <row r="12" spans="1:23">
      <c r="A12" s="279" t="s">
        <v>498</v>
      </c>
      <c r="B12" s="282" t="s">
        <v>499</v>
      </c>
      <c r="C12" s="283"/>
      <c r="D12" s="283"/>
      <c r="E12" s="283"/>
      <c r="F12" s="283"/>
      <c r="G12" s="283"/>
      <c r="H12" s="283"/>
      <c r="I12" s="283"/>
      <c r="J12" s="284"/>
      <c r="K12" s="282" t="s">
        <v>500</v>
      </c>
      <c r="L12" s="283"/>
      <c r="M12" s="283"/>
      <c r="N12" s="283"/>
      <c r="O12" s="283"/>
      <c r="P12" s="283"/>
      <c r="Q12" s="283"/>
      <c r="R12" s="283"/>
      <c r="S12" s="284"/>
    </row>
    <row r="13" spans="1:23">
      <c r="A13" s="280"/>
      <c r="B13" s="282">
        <v>2022</v>
      </c>
      <c r="C13" s="284"/>
      <c r="D13" s="282">
        <v>2023</v>
      </c>
      <c r="E13" s="284"/>
      <c r="F13" s="282">
        <v>2024</v>
      </c>
      <c r="G13" s="284"/>
      <c r="H13" s="266">
        <v>2025</v>
      </c>
      <c r="I13" s="266">
        <v>2026</v>
      </c>
      <c r="J13" s="266">
        <v>2027</v>
      </c>
      <c r="K13" s="282">
        <v>2022</v>
      </c>
      <c r="L13" s="284"/>
      <c r="M13" s="282">
        <v>2023</v>
      </c>
      <c r="N13" s="284"/>
      <c r="O13" s="282">
        <v>2024</v>
      </c>
      <c r="P13" s="284"/>
      <c r="Q13" s="266">
        <v>2025</v>
      </c>
      <c r="R13" s="266">
        <v>2026</v>
      </c>
      <c r="S13" s="266">
        <v>2027</v>
      </c>
    </row>
    <row r="14" spans="1:23">
      <c r="A14" s="281"/>
      <c r="B14" s="266" t="s">
        <v>495</v>
      </c>
      <c r="C14" s="266" t="s">
        <v>501</v>
      </c>
      <c r="D14" s="266" t="s">
        <v>495</v>
      </c>
      <c r="E14" s="266" t="s">
        <v>501</v>
      </c>
      <c r="F14" s="266" t="s">
        <v>495</v>
      </c>
      <c r="G14" s="266" t="s">
        <v>502</v>
      </c>
      <c r="H14" s="266" t="s">
        <v>495</v>
      </c>
      <c r="I14" s="266" t="s">
        <v>495</v>
      </c>
      <c r="J14" s="266" t="s">
        <v>495</v>
      </c>
      <c r="K14" s="266" t="s">
        <v>495</v>
      </c>
      <c r="L14" s="266" t="s">
        <v>501</v>
      </c>
      <c r="M14" s="266" t="s">
        <v>495</v>
      </c>
      <c r="N14" s="266" t="s">
        <v>501</v>
      </c>
      <c r="O14" s="266" t="s">
        <v>495</v>
      </c>
      <c r="P14" s="266" t="s">
        <v>502</v>
      </c>
      <c r="Q14" s="266" t="s">
        <v>495</v>
      </c>
      <c r="R14" s="266" t="s">
        <v>495</v>
      </c>
      <c r="S14" s="266" t="s">
        <v>495</v>
      </c>
    </row>
    <row r="15" spans="1:23">
      <c r="A15" s="267" t="s">
        <v>490</v>
      </c>
      <c r="B15" s="268">
        <v>7712397</v>
      </c>
      <c r="C15" s="268">
        <v>7550590</v>
      </c>
      <c r="D15" s="268">
        <v>7644645</v>
      </c>
      <c r="E15" s="268">
        <v>7419788</v>
      </c>
      <c r="F15" s="268">
        <v>8019758</v>
      </c>
      <c r="G15" s="268">
        <v>4472584</v>
      </c>
      <c r="H15" s="268">
        <v>17282835</v>
      </c>
      <c r="I15" s="268">
        <v>16771987</v>
      </c>
      <c r="J15" s="268">
        <v>17093181</v>
      </c>
      <c r="K15" s="269">
        <v>0.04</v>
      </c>
      <c r="L15" s="269">
        <v>0.04</v>
      </c>
      <c r="M15" s="269">
        <v>0.03</v>
      </c>
      <c r="N15" s="269">
        <v>0.03</v>
      </c>
      <c r="O15" s="269">
        <v>0.03</v>
      </c>
      <c r="P15" s="269">
        <v>0.04</v>
      </c>
      <c r="Q15" s="269">
        <v>0.05</v>
      </c>
      <c r="R15" s="269">
        <v>0.05</v>
      </c>
      <c r="S15" s="269">
        <v>0.04</v>
      </c>
      <c r="T15" s="259">
        <f>SUM(C15,E15,F15)</f>
        <v>22990136</v>
      </c>
      <c r="U15" s="259">
        <f>SUM(H15:J15)</f>
        <v>51148003</v>
      </c>
      <c r="V15" s="259">
        <f>U15-T15</f>
        <v>28157867</v>
      </c>
      <c r="W15" s="49">
        <f>U15/T15-1</f>
        <v>1.2247803579761336</v>
      </c>
    </row>
    <row r="16" spans="1:23">
      <c r="A16" s="267" t="s">
        <v>491</v>
      </c>
      <c r="B16" s="268">
        <v>7002103</v>
      </c>
      <c r="C16" s="268">
        <v>7316941</v>
      </c>
      <c r="D16" s="268">
        <v>7894429</v>
      </c>
      <c r="E16" s="268">
        <v>8571804</v>
      </c>
      <c r="F16" s="268">
        <v>8023019</v>
      </c>
      <c r="G16" s="268">
        <v>3289702</v>
      </c>
      <c r="H16" s="268">
        <v>12438415</v>
      </c>
      <c r="I16" s="268">
        <v>12380831</v>
      </c>
      <c r="J16" s="268">
        <v>12490983</v>
      </c>
      <c r="K16" s="269">
        <v>0.03</v>
      </c>
      <c r="L16" s="269">
        <v>0.03</v>
      </c>
      <c r="M16" s="269">
        <v>0.03</v>
      </c>
      <c r="N16" s="269">
        <v>0.03</v>
      </c>
      <c r="O16" s="269">
        <v>0.03</v>
      </c>
      <c r="P16" s="269">
        <v>0.03</v>
      </c>
      <c r="Q16" s="269">
        <v>0.04</v>
      </c>
      <c r="R16" s="269">
        <v>0.04</v>
      </c>
      <c r="S16" s="269">
        <v>0.03</v>
      </c>
      <c r="T16" s="259">
        <f t="shared" ref="T16:T21" si="0">SUM(C16,E16,F16)</f>
        <v>23911764</v>
      </c>
      <c r="U16" s="259">
        <f t="shared" ref="U16:U21" si="1">SUM(H16:J16)</f>
        <v>37310229</v>
      </c>
      <c r="V16" s="259">
        <f t="shared" ref="V16:V21" si="2">U16-T16</f>
        <v>13398465</v>
      </c>
      <c r="W16" s="49">
        <f t="shared" ref="W16:W21" si="3">U16/T16-1</f>
        <v>0.5603294261351861</v>
      </c>
    </row>
    <row r="17" spans="1:23">
      <c r="A17" s="267" t="s">
        <v>492</v>
      </c>
      <c r="B17" s="268">
        <v>159149901</v>
      </c>
      <c r="C17" s="268">
        <v>159724868</v>
      </c>
      <c r="D17" s="268">
        <v>172128375</v>
      </c>
      <c r="E17" s="268">
        <v>202946224</v>
      </c>
      <c r="F17" s="268">
        <v>189114976</v>
      </c>
      <c r="G17" s="268">
        <v>92452433</v>
      </c>
      <c r="H17" s="268">
        <v>219866321</v>
      </c>
      <c r="I17" s="268">
        <v>243196499</v>
      </c>
      <c r="J17" s="268">
        <v>278230287</v>
      </c>
      <c r="K17" s="269">
        <v>0.73</v>
      </c>
      <c r="L17" s="269">
        <v>0.75</v>
      </c>
      <c r="M17" s="269">
        <v>0.74</v>
      </c>
      <c r="N17" s="269">
        <v>0.77</v>
      </c>
      <c r="O17" s="269">
        <v>0.75</v>
      </c>
      <c r="P17" s="269">
        <v>0.8</v>
      </c>
      <c r="Q17" s="269">
        <v>0.68</v>
      </c>
      <c r="R17" s="269">
        <v>0.7</v>
      </c>
      <c r="S17" s="269">
        <v>0.72</v>
      </c>
      <c r="T17" s="259">
        <f t="shared" si="0"/>
        <v>551786068</v>
      </c>
      <c r="U17" s="259">
        <f t="shared" si="1"/>
        <v>741293107</v>
      </c>
      <c r="V17" s="259">
        <f t="shared" si="2"/>
        <v>189507039</v>
      </c>
      <c r="W17" s="49">
        <f t="shared" si="3"/>
        <v>0.34344295731656649</v>
      </c>
    </row>
    <row r="18" spans="1:23">
      <c r="A18" s="267" t="s">
        <v>493</v>
      </c>
      <c r="B18" s="268">
        <v>37126242</v>
      </c>
      <c r="C18" s="268">
        <v>33360180</v>
      </c>
      <c r="D18" s="268">
        <v>37777361</v>
      </c>
      <c r="E18" s="268">
        <v>38379189</v>
      </c>
      <c r="F18" s="268">
        <v>39423943</v>
      </c>
      <c r="G18" s="268">
        <v>14748860</v>
      </c>
      <c r="H18" s="268">
        <v>60026513</v>
      </c>
      <c r="I18" s="268">
        <v>58830169</v>
      </c>
      <c r="J18" s="268">
        <v>61449825</v>
      </c>
      <c r="K18" s="269">
        <v>0.17</v>
      </c>
      <c r="L18" s="269">
        <v>0.16</v>
      </c>
      <c r="M18" s="269">
        <v>0.16</v>
      </c>
      <c r="N18" s="269">
        <v>0.15</v>
      </c>
      <c r="O18" s="269">
        <v>0.16</v>
      </c>
      <c r="P18" s="269">
        <v>0.13</v>
      </c>
      <c r="Q18" s="269">
        <v>0.19</v>
      </c>
      <c r="R18" s="269">
        <v>0.17</v>
      </c>
      <c r="S18" s="269">
        <v>0.16</v>
      </c>
      <c r="T18" s="259">
        <f t="shared" si="0"/>
        <v>111163312</v>
      </c>
      <c r="U18" s="259">
        <f t="shared" si="1"/>
        <v>180306507</v>
      </c>
      <c r="V18" s="259">
        <f t="shared" si="2"/>
        <v>69143195</v>
      </c>
      <c r="W18" s="49">
        <f t="shared" si="3"/>
        <v>0.62199653605139082</v>
      </c>
    </row>
    <row r="19" spans="1:23">
      <c r="A19" s="267" t="s">
        <v>494</v>
      </c>
      <c r="B19" s="268">
        <v>2898289</v>
      </c>
      <c r="C19" s="268">
        <v>2178275</v>
      </c>
      <c r="D19" s="268">
        <v>2931226</v>
      </c>
      <c r="E19" s="268">
        <v>3042345</v>
      </c>
      <c r="F19" s="268">
        <v>3262005</v>
      </c>
      <c r="G19" s="268">
        <v>828323</v>
      </c>
      <c r="H19" s="268">
        <v>3071082</v>
      </c>
      <c r="I19" s="268">
        <v>3294310</v>
      </c>
      <c r="J19" s="268">
        <v>3216011</v>
      </c>
      <c r="K19" s="269">
        <v>0.01</v>
      </c>
      <c r="L19" s="269">
        <v>0.01</v>
      </c>
      <c r="M19" s="269">
        <v>0.01</v>
      </c>
      <c r="N19" s="269">
        <v>0.01</v>
      </c>
      <c r="O19" s="269">
        <v>0.01</v>
      </c>
      <c r="P19" s="269">
        <v>0.01</v>
      </c>
      <c r="Q19" s="269">
        <v>0.01</v>
      </c>
      <c r="R19" s="269">
        <v>0.01</v>
      </c>
      <c r="S19" s="269">
        <v>0.01</v>
      </c>
      <c r="T19" s="259">
        <f t="shared" si="0"/>
        <v>8482625</v>
      </c>
      <c r="U19" s="259">
        <f t="shared" si="1"/>
        <v>9581403</v>
      </c>
      <c r="V19" s="259">
        <f t="shared" si="2"/>
        <v>1098778</v>
      </c>
      <c r="W19" s="49">
        <f t="shared" si="3"/>
        <v>0.12953278024196524</v>
      </c>
    </row>
    <row r="20" spans="1:23">
      <c r="A20" s="267" t="s">
        <v>488</v>
      </c>
      <c r="B20" s="295">
        <v>4337955</v>
      </c>
      <c r="C20" s="295">
        <v>2407900</v>
      </c>
      <c r="D20" s="295">
        <v>4761142</v>
      </c>
      <c r="E20" s="295">
        <v>2566026</v>
      </c>
      <c r="F20" s="295">
        <v>5102363</v>
      </c>
      <c r="G20" s="296" t="s">
        <v>496</v>
      </c>
      <c r="H20" s="295">
        <v>10091347</v>
      </c>
      <c r="I20" s="295">
        <v>11696675</v>
      </c>
      <c r="J20" s="295">
        <v>13997150</v>
      </c>
      <c r="K20" s="269">
        <v>0.02</v>
      </c>
      <c r="L20" s="269">
        <v>0.01</v>
      </c>
      <c r="M20" s="269">
        <v>0.02</v>
      </c>
      <c r="N20" s="269">
        <v>0.01</v>
      </c>
      <c r="O20" s="269">
        <v>0.02</v>
      </c>
      <c r="P20" s="269">
        <v>0</v>
      </c>
      <c r="Q20" s="269">
        <v>0.03</v>
      </c>
      <c r="R20" s="269">
        <v>0.03</v>
      </c>
      <c r="S20" s="269">
        <v>0.04</v>
      </c>
      <c r="T20" s="259">
        <f t="shared" si="0"/>
        <v>10076289</v>
      </c>
      <c r="U20" s="259">
        <f t="shared" si="1"/>
        <v>35785172</v>
      </c>
      <c r="V20" s="259">
        <f t="shared" si="2"/>
        <v>25708883</v>
      </c>
      <c r="W20" s="49">
        <f t="shared" si="3"/>
        <v>2.5514237434039457</v>
      </c>
    </row>
    <row r="21" spans="1:23">
      <c r="A21" s="272" t="s">
        <v>489</v>
      </c>
      <c r="B21" s="273">
        <v>218226887</v>
      </c>
      <c r="C21" s="273">
        <v>212538754</v>
      </c>
      <c r="D21" s="273">
        <v>233137177</v>
      </c>
      <c r="E21" s="273">
        <v>262925376</v>
      </c>
      <c r="F21" s="273">
        <v>252946065</v>
      </c>
      <c r="G21" s="273">
        <v>115791902</v>
      </c>
      <c r="H21" s="273">
        <v>322776514</v>
      </c>
      <c r="I21" s="273">
        <v>346170471</v>
      </c>
      <c r="J21" s="273">
        <v>386477438</v>
      </c>
      <c r="K21" s="274">
        <v>1</v>
      </c>
      <c r="L21" s="274">
        <v>1</v>
      </c>
      <c r="M21" s="274">
        <v>1</v>
      </c>
      <c r="N21" s="274">
        <v>1</v>
      </c>
      <c r="O21" s="274">
        <v>1</v>
      </c>
      <c r="P21" s="274">
        <v>1</v>
      </c>
      <c r="Q21" s="274">
        <v>1</v>
      </c>
      <c r="R21" s="274">
        <v>1</v>
      </c>
      <c r="S21" s="274">
        <v>1</v>
      </c>
      <c r="T21" s="259">
        <f t="shared" si="0"/>
        <v>728410195</v>
      </c>
      <c r="U21" s="259">
        <f t="shared" si="1"/>
        <v>1055424423</v>
      </c>
      <c r="V21" s="259">
        <f t="shared" si="2"/>
        <v>327014228</v>
      </c>
      <c r="W21" s="49">
        <f t="shared" si="3"/>
        <v>0.44894240943456309</v>
      </c>
    </row>
    <row r="22" spans="1:23">
      <c r="A22" s="275"/>
      <c r="B22" s="263"/>
      <c r="C22" s="263"/>
      <c r="D22" s="263"/>
      <c r="E22" s="263"/>
      <c r="F22" s="263"/>
      <c r="G22" s="263"/>
      <c r="H22" s="263"/>
      <c r="I22" s="263"/>
      <c r="J22" s="263"/>
      <c r="K22" s="275"/>
      <c r="L22" s="275"/>
      <c r="M22" s="275"/>
      <c r="N22" s="275"/>
      <c r="O22" s="275"/>
      <c r="P22" s="275"/>
      <c r="Q22" s="275"/>
      <c r="R22" s="275"/>
      <c r="S22" s="275"/>
    </row>
    <row r="23" spans="1:23" ht="15.75">
      <c r="A23" s="264"/>
      <c r="B23" s="261" t="s">
        <v>503</v>
      </c>
      <c r="C23" s="261"/>
      <c r="D23" s="261"/>
      <c r="E23" s="261"/>
      <c r="F23" s="261"/>
      <c r="G23" s="261"/>
      <c r="H23" s="261"/>
      <c r="I23" s="261"/>
      <c r="J23" s="262"/>
      <c r="K23" s="260" t="s">
        <v>503</v>
      </c>
      <c r="L23" s="261"/>
      <c r="M23" s="261"/>
      <c r="N23" s="261"/>
      <c r="O23" s="261"/>
      <c r="P23" s="261"/>
      <c r="Q23" s="261"/>
      <c r="R23" s="261"/>
      <c r="S23" s="261"/>
      <c r="V23" s="285"/>
    </row>
    <row r="24" spans="1:23">
      <c r="A24" s="279" t="s">
        <v>498</v>
      </c>
      <c r="B24" s="282" t="s">
        <v>499</v>
      </c>
      <c r="C24" s="283"/>
      <c r="D24" s="283"/>
      <c r="E24" s="283"/>
      <c r="F24" s="283"/>
      <c r="G24" s="283"/>
      <c r="H24" s="283"/>
      <c r="I24" s="283"/>
      <c r="J24" s="284"/>
      <c r="K24" s="282" t="s">
        <v>500</v>
      </c>
      <c r="L24" s="283"/>
      <c r="M24" s="283"/>
      <c r="N24" s="283"/>
      <c r="O24" s="283"/>
      <c r="P24" s="283"/>
      <c r="Q24" s="283"/>
      <c r="R24" s="283"/>
      <c r="S24" s="284"/>
    </row>
    <row r="25" spans="1:23">
      <c r="A25" s="280"/>
      <c r="B25" s="282">
        <v>2022</v>
      </c>
      <c r="C25" s="284"/>
      <c r="D25" s="282">
        <v>2023</v>
      </c>
      <c r="E25" s="284"/>
      <c r="F25" s="282">
        <v>2024</v>
      </c>
      <c r="G25" s="284"/>
      <c r="H25" s="266">
        <v>2025</v>
      </c>
      <c r="I25" s="266">
        <v>2026</v>
      </c>
      <c r="J25" s="266">
        <v>2027</v>
      </c>
      <c r="K25" s="282">
        <v>2022</v>
      </c>
      <c r="L25" s="284"/>
      <c r="M25" s="282">
        <v>2023</v>
      </c>
      <c r="N25" s="284"/>
      <c r="O25" s="282">
        <v>2024</v>
      </c>
      <c r="P25" s="284"/>
      <c r="Q25" s="266">
        <v>2025</v>
      </c>
      <c r="R25" s="266">
        <v>2026</v>
      </c>
      <c r="S25" s="266">
        <v>2027</v>
      </c>
    </row>
    <row r="26" spans="1:23">
      <c r="A26" s="281"/>
      <c r="B26" s="266" t="s">
        <v>495</v>
      </c>
      <c r="C26" s="266" t="s">
        <v>501</v>
      </c>
      <c r="D26" s="266" t="s">
        <v>495</v>
      </c>
      <c r="E26" s="266" t="s">
        <v>501</v>
      </c>
      <c r="F26" s="266" t="s">
        <v>495</v>
      </c>
      <c r="G26" s="266" t="s">
        <v>502</v>
      </c>
      <c r="H26" s="266" t="s">
        <v>495</v>
      </c>
      <c r="I26" s="266" t="s">
        <v>495</v>
      </c>
      <c r="J26" s="266" t="s">
        <v>495</v>
      </c>
      <c r="K26" s="266" t="s">
        <v>495</v>
      </c>
      <c r="L26" s="266" t="s">
        <v>501</v>
      </c>
      <c r="M26" s="266" t="s">
        <v>495</v>
      </c>
      <c r="N26" s="266" t="s">
        <v>501</v>
      </c>
      <c r="O26" s="266" t="s">
        <v>495</v>
      </c>
      <c r="P26" s="266" t="s">
        <v>502</v>
      </c>
      <c r="Q26" s="266" t="s">
        <v>495</v>
      </c>
      <c r="R26" s="266" t="s">
        <v>495</v>
      </c>
      <c r="S26" s="266" t="s">
        <v>495</v>
      </c>
    </row>
    <row r="27" spans="1:23">
      <c r="A27" s="267" t="s">
        <v>490</v>
      </c>
      <c r="B27" s="268">
        <v>2583465</v>
      </c>
      <c r="C27" s="268">
        <v>2301328</v>
      </c>
      <c r="D27" s="268">
        <v>2299597</v>
      </c>
      <c r="E27" s="268">
        <v>2488694</v>
      </c>
      <c r="F27" s="268">
        <v>2351697</v>
      </c>
      <c r="G27" s="268">
        <v>1042982</v>
      </c>
      <c r="H27" s="268">
        <v>6449310</v>
      </c>
      <c r="I27" s="268">
        <v>6435492</v>
      </c>
      <c r="J27" s="268">
        <v>6485435</v>
      </c>
      <c r="K27" s="269">
        <v>0.03</v>
      </c>
      <c r="L27" s="269">
        <v>0.03</v>
      </c>
      <c r="M27" s="269">
        <v>0.03</v>
      </c>
      <c r="N27" s="269">
        <v>0.02</v>
      </c>
      <c r="O27" s="269">
        <v>0.02</v>
      </c>
      <c r="P27" s="269">
        <v>0.02</v>
      </c>
      <c r="Q27" s="269">
        <v>0.04</v>
      </c>
      <c r="R27" s="269">
        <v>0.04</v>
      </c>
      <c r="S27" s="269">
        <v>0.04</v>
      </c>
      <c r="T27" s="259">
        <f>SUM(C27,E27,F27)</f>
        <v>7141719</v>
      </c>
      <c r="U27" s="259">
        <f>SUM(H27:J27)</f>
        <v>19370237</v>
      </c>
      <c r="V27" s="259">
        <f>U27-T27</f>
        <v>12228518</v>
      </c>
      <c r="W27" s="49">
        <f>U27/T27-1</f>
        <v>1.7122653523612454</v>
      </c>
    </row>
    <row r="28" spans="1:23">
      <c r="A28" s="267" t="s">
        <v>491</v>
      </c>
      <c r="B28" s="268">
        <v>1977658</v>
      </c>
      <c r="C28" s="268">
        <v>1454881</v>
      </c>
      <c r="D28" s="268">
        <v>2776256</v>
      </c>
      <c r="E28" s="268">
        <v>1845564</v>
      </c>
      <c r="F28" s="268">
        <v>2823947</v>
      </c>
      <c r="G28" s="268">
        <v>1103065</v>
      </c>
      <c r="H28" s="268">
        <v>3576673</v>
      </c>
      <c r="I28" s="268">
        <v>3633808</v>
      </c>
      <c r="J28" s="268">
        <v>3715432</v>
      </c>
      <c r="K28" s="269">
        <v>0.02</v>
      </c>
      <c r="L28" s="269">
        <v>0.02</v>
      </c>
      <c r="M28" s="269">
        <v>0.03</v>
      </c>
      <c r="N28" s="269">
        <v>0.02</v>
      </c>
      <c r="O28" s="269">
        <v>0.03</v>
      </c>
      <c r="P28" s="269">
        <v>0.03</v>
      </c>
      <c r="Q28" s="269">
        <v>0.02</v>
      </c>
      <c r="R28" s="269">
        <v>0.02</v>
      </c>
      <c r="S28" s="269">
        <v>0.02</v>
      </c>
      <c r="T28" s="259">
        <f t="shared" ref="T28:T33" si="4">SUM(C28,E28,F28)</f>
        <v>6124392</v>
      </c>
      <c r="U28" s="259">
        <f t="shared" ref="U28:U33" si="5">SUM(H28:J28)</f>
        <v>10925913</v>
      </c>
      <c r="V28" s="259">
        <f t="shared" ref="V28:V33" si="6">U28-T28</f>
        <v>4801521</v>
      </c>
      <c r="W28" s="49">
        <f t="shared" ref="W28:W33" si="7">U28/T28-1</f>
        <v>0.78399961988063471</v>
      </c>
    </row>
    <row r="29" spans="1:23">
      <c r="A29" s="267" t="s">
        <v>492</v>
      </c>
      <c r="B29" s="268">
        <v>58518066</v>
      </c>
      <c r="C29" s="268">
        <v>52741867</v>
      </c>
      <c r="D29" s="268">
        <v>62495104</v>
      </c>
      <c r="E29" s="268">
        <v>83926698</v>
      </c>
      <c r="F29" s="268">
        <v>69207503</v>
      </c>
      <c r="G29" s="268">
        <v>34434524</v>
      </c>
      <c r="H29" s="268">
        <v>107575054</v>
      </c>
      <c r="I29" s="268">
        <v>114085433</v>
      </c>
      <c r="J29" s="268">
        <v>121514127</v>
      </c>
      <c r="K29" s="269">
        <v>0.74</v>
      </c>
      <c r="L29" s="269">
        <v>0.74</v>
      </c>
      <c r="M29" s="269">
        <v>0.72</v>
      </c>
      <c r="N29" s="269">
        <v>0.77</v>
      </c>
      <c r="O29" s="269">
        <v>0.73</v>
      </c>
      <c r="P29" s="269">
        <v>0.78</v>
      </c>
      <c r="Q29" s="269">
        <v>0.7</v>
      </c>
      <c r="R29" s="269">
        <v>0.7</v>
      </c>
      <c r="S29" s="269">
        <v>0.71</v>
      </c>
      <c r="T29" s="259">
        <f t="shared" si="4"/>
        <v>205876068</v>
      </c>
      <c r="U29" s="259">
        <f t="shared" si="5"/>
        <v>343174614</v>
      </c>
      <c r="V29" s="259">
        <f t="shared" si="6"/>
        <v>137298546</v>
      </c>
      <c r="W29" s="49">
        <f t="shared" si="7"/>
        <v>0.666899010330817</v>
      </c>
    </row>
    <row r="30" spans="1:23">
      <c r="A30" s="267" t="s">
        <v>493</v>
      </c>
      <c r="B30" s="268">
        <v>12259070</v>
      </c>
      <c r="C30" s="268">
        <v>11153571</v>
      </c>
      <c r="D30" s="268">
        <v>14470600</v>
      </c>
      <c r="E30" s="268">
        <v>17274858</v>
      </c>
      <c r="F30" s="268">
        <v>15746828</v>
      </c>
      <c r="G30" s="268">
        <v>7147357</v>
      </c>
      <c r="H30" s="268">
        <v>25913971</v>
      </c>
      <c r="I30" s="268">
        <v>26508341</v>
      </c>
      <c r="J30" s="268">
        <v>27749413</v>
      </c>
      <c r="K30" s="269">
        <v>0.15</v>
      </c>
      <c r="L30" s="269">
        <v>0.16</v>
      </c>
      <c r="M30" s="269">
        <v>0.17</v>
      </c>
      <c r="N30" s="269">
        <v>0.16</v>
      </c>
      <c r="O30" s="269">
        <v>0.17</v>
      </c>
      <c r="P30" s="269">
        <v>0.16</v>
      </c>
      <c r="Q30" s="269">
        <v>0.17</v>
      </c>
      <c r="R30" s="269">
        <v>0.16</v>
      </c>
      <c r="S30" s="269">
        <v>0.16</v>
      </c>
      <c r="T30" s="259">
        <f t="shared" si="4"/>
        <v>44175257</v>
      </c>
      <c r="U30" s="259">
        <f t="shared" si="5"/>
        <v>80171725</v>
      </c>
      <c r="V30" s="259">
        <f t="shared" si="6"/>
        <v>35996468</v>
      </c>
      <c r="W30" s="49">
        <f t="shared" si="7"/>
        <v>0.8148558818797591</v>
      </c>
    </row>
    <row r="31" spans="1:23">
      <c r="A31" s="267" t="s">
        <v>494</v>
      </c>
      <c r="B31" s="268">
        <v>954099</v>
      </c>
      <c r="C31" s="268">
        <v>763654</v>
      </c>
      <c r="D31" s="268">
        <v>978980</v>
      </c>
      <c r="E31" s="268">
        <v>1022623</v>
      </c>
      <c r="F31" s="268">
        <v>1102702</v>
      </c>
      <c r="G31" s="268">
        <v>273137</v>
      </c>
      <c r="H31" s="268">
        <v>828200</v>
      </c>
      <c r="I31" s="268">
        <v>965285</v>
      </c>
      <c r="J31" s="268">
        <v>922364</v>
      </c>
      <c r="K31" s="269">
        <v>0.01</v>
      </c>
      <c r="L31" s="269">
        <v>0.01</v>
      </c>
      <c r="M31" s="269">
        <v>0.01</v>
      </c>
      <c r="N31" s="269">
        <v>0.01</v>
      </c>
      <c r="O31" s="269">
        <v>0.01</v>
      </c>
      <c r="P31" s="269">
        <v>0.01</v>
      </c>
      <c r="Q31" s="269">
        <v>0.01</v>
      </c>
      <c r="R31" s="269">
        <v>0.01</v>
      </c>
      <c r="S31" s="269">
        <v>0.01</v>
      </c>
      <c r="T31" s="259">
        <f t="shared" si="4"/>
        <v>2888979</v>
      </c>
      <c r="U31" s="259">
        <f t="shared" si="5"/>
        <v>2715849</v>
      </c>
      <c r="V31" s="259">
        <f t="shared" si="6"/>
        <v>-173130</v>
      </c>
      <c r="W31" s="49">
        <f t="shared" si="7"/>
        <v>-5.9927746099919688E-2</v>
      </c>
    </row>
    <row r="32" spans="1:23">
      <c r="A32" s="267" t="s">
        <v>488</v>
      </c>
      <c r="B32" s="295">
        <v>3147793</v>
      </c>
      <c r="C32" s="295">
        <v>2413154</v>
      </c>
      <c r="D32" s="295">
        <v>3292298</v>
      </c>
      <c r="E32" s="295">
        <v>2589131</v>
      </c>
      <c r="F32" s="295">
        <v>3534369</v>
      </c>
      <c r="G32" s="296" t="s">
        <v>496</v>
      </c>
      <c r="H32" s="295">
        <v>9905070</v>
      </c>
      <c r="I32" s="295">
        <v>10602703</v>
      </c>
      <c r="J32" s="295">
        <v>11516392</v>
      </c>
      <c r="K32" s="269">
        <v>0.04</v>
      </c>
      <c r="L32" s="269">
        <v>0.03</v>
      </c>
      <c r="M32" s="269">
        <v>0.04</v>
      </c>
      <c r="N32" s="269">
        <v>0.02</v>
      </c>
      <c r="O32" s="269">
        <v>0.04</v>
      </c>
      <c r="P32" s="269">
        <v>0</v>
      </c>
      <c r="Q32" s="269">
        <v>0.06</v>
      </c>
      <c r="R32" s="269">
        <v>7.0000000000000007E-2</v>
      </c>
      <c r="S32" s="269">
        <v>7.0000000000000007E-2</v>
      </c>
      <c r="T32" s="259">
        <f t="shared" si="4"/>
        <v>8536654</v>
      </c>
      <c r="U32" s="259">
        <f t="shared" si="5"/>
        <v>32024165</v>
      </c>
      <c r="V32" s="259">
        <f t="shared" si="6"/>
        <v>23487511</v>
      </c>
      <c r="W32" s="49">
        <f t="shared" si="7"/>
        <v>2.7513720246832074</v>
      </c>
    </row>
    <row r="33" spans="1:23">
      <c r="A33" s="272" t="s">
        <v>489</v>
      </c>
      <c r="B33" s="273">
        <v>79440150</v>
      </c>
      <c r="C33" s="273">
        <v>70828456</v>
      </c>
      <c r="D33" s="273">
        <v>86312835</v>
      </c>
      <c r="E33" s="273">
        <v>109147567</v>
      </c>
      <c r="F33" s="273">
        <v>94767045</v>
      </c>
      <c r="G33" s="273">
        <v>44001065</v>
      </c>
      <c r="H33" s="273">
        <v>154248277</v>
      </c>
      <c r="I33" s="273">
        <v>162231062</v>
      </c>
      <c r="J33" s="273">
        <v>171903163</v>
      </c>
      <c r="K33" s="274">
        <v>1</v>
      </c>
      <c r="L33" s="274">
        <v>1</v>
      </c>
      <c r="M33" s="274">
        <v>1</v>
      </c>
      <c r="N33" s="274">
        <v>1</v>
      </c>
      <c r="O33" s="274">
        <v>1</v>
      </c>
      <c r="P33" s="274">
        <v>1</v>
      </c>
      <c r="Q33" s="274">
        <v>1</v>
      </c>
      <c r="R33" s="274">
        <v>1</v>
      </c>
      <c r="S33" s="274">
        <v>1</v>
      </c>
      <c r="T33" s="259">
        <f t="shared" si="4"/>
        <v>274743068</v>
      </c>
      <c r="U33" s="259">
        <f t="shared" si="5"/>
        <v>488382502</v>
      </c>
      <c r="V33" s="259">
        <f t="shared" si="6"/>
        <v>213639434</v>
      </c>
      <c r="W33" s="286">
        <f t="shared" si="7"/>
        <v>0.77759717671930484</v>
      </c>
    </row>
    <row r="34" spans="1:23">
      <c r="A34" s="275"/>
      <c r="B34" s="263"/>
      <c r="C34" s="263"/>
      <c r="D34" s="263"/>
      <c r="E34" s="263"/>
      <c r="F34" s="263"/>
      <c r="G34" s="263"/>
      <c r="H34" s="263"/>
      <c r="I34" s="263"/>
      <c r="J34" s="263"/>
      <c r="K34" s="275"/>
      <c r="L34" s="275"/>
      <c r="M34" s="275"/>
      <c r="N34" s="275"/>
      <c r="O34" s="275"/>
      <c r="P34" s="275"/>
      <c r="Q34" s="275"/>
      <c r="R34" s="275"/>
      <c r="S34" s="275"/>
    </row>
    <row r="35" spans="1:23" ht="15.75">
      <c r="A35" s="264"/>
      <c r="B35" s="261" t="s">
        <v>504</v>
      </c>
      <c r="C35" s="261"/>
      <c r="D35" s="261"/>
      <c r="E35" s="261"/>
      <c r="F35" s="261"/>
      <c r="G35" s="261"/>
      <c r="H35" s="261"/>
      <c r="I35" s="261"/>
      <c r="J35" s="262"/>
      <c r="K35" s="260" t="s">
        <v>504</v>
      </c>
      <c r="L35" s="261"/>
      <c r="M35" s="261"/>
      <c r="N35" s="261"/>
      <c r="O35" s="261"/>
      <c r="P35" s="261"/>
      <c r="Q35" s="261"/>
      <c r="R35" s="261"/>
      <c r="S35" s="261"/>
    </row>
    <row r="36" spans="1:23">
      <c r="A36" s="279" t="s">
        <v>498</v>
      </c>
      <c r="B36" s="282" t="s">
        <v>499</v>
      </c>
      <c r="C36" s="283"/>
      <c r="D36" s="283"/>
      <c r="E36" s="283"/>
      <c r="F36" s="283"/>
      <c r="G36" s="283"/>
      <c r="H36" s="283"/>
      <c r="I36" s="283"/>
      <c r="J36" s="284"/>
      <c r="K36" s="282" t="s">
        <v>500</v>
      </c>
      <c r="L36" s="283"/>
      <c r="M36" s="283"/>
      <c r="N36" s="283"/>
      <c r="O36" s="283"/>
      <c r="P36" s="283"/>
      <c r="Q36" s="283"/>
      <c r="R36" s="283"/>
      <c r="S36" s="284"/>
    </row>
    <row r="37" spans="1:23">
      <c r="A37" s="280"/>
      <c r="B37" s="282">
        <v>2022</v>
      </c>
      <c r="C37" s="284"/>
      <c r="D37" s="282">
        <v>2023</v>
      </c>
      <c r="E37" s="284"/>
      <c r="F37" s="282">
        <v>2024</v>
      </c>
      <c r="G37" s="284"/>
      <c r="H37" s="266">
        <v>2025</v>
      </c>
      <c r="I37" s="266">
        <v>2026</v>
      </c>
      <c r="J37" s="266">
        <v>2027</v>
      </c>
      <c r="K37" s="282">
        <v>2022</v>
      </c>
      <c r="L37" s="284"/>
      <c r="M37" s="282">
        <v>2023</v>
      </c>
      <c r="N37" s="284"/>
      <c r="O37" s="282">
        <v>2024</v>
      </c>
      <c r="P37" s="284"/>
      <c r="Q37" s="266">
        <v>2025</v>
      </c>
      <c r="R37" s="266">
        <v>2026</v>
      </c>
      <c r="S37" s="266">
        <v>2027</v>
      </c>
    </row>
    <row r="38" spans="1:23">
      <c r="A38" s="281"/>
      <c r="B38" s="266" t="s">
        <v>495</v>
      </c>
      <c r="C38" s="266" t="s">
        <v>501</v>
      </c>
      <c r="D38" s="266" t="s">
        <v>495</v>
      </c>
      <c r="E38" s="266" t="s">
        <v>501</v>
      </c>
      <c r="F38" s="266" t="s">
        <v>495</v>
      </c>
      <c r="G38" s="266" t="s">
        <v>502</v>
      </c>
      <c r="H38" s="266" t="s">
        <v>495</v>
      </c>
      <c r="I38" s="266" t="s">
        <v>495</v>
      </c>
      <c r="J38" s="266" t="s">
        <v>495</v>
      </c>
      <c r="K38" s="266" t="s">
        <v>495</v>
      </c>
      <c r="L38" s="266" t="s">
        <v>501</v>
      </c>
      <c r="M38" s="266" t="s">
        <v>495</v>
      </c>
      <c r="N38" s="266" t="s">
        <v>501</v>
      </c>
      <c r="O38" s="266" t="s">
        <v>495</v>
      </c>
      <c r="P38" s="266" t="s">
        <v>502</v>
      </c>
      <c r="Q38" s="266" t="s">
        <v>495</v>
      </c>
      <c r="R38" s="266" t="s">
        <v>495</v>
      </c>
      <c r="S38" s="266" t="s">
        <v>495</v>
      </c>
    </row>
    <row r="39" spans="1:23">
      <c r="A39" s="267" t="s">
        <v>490</v>
      </c>
      <c r="B39" s="268">
        <v>3319144</v>
      </c>
      <c r="C39" s="268">
        <v>2894580</v>
      </c>
      <c r="D39" s="268">
        <v>5924292</v>
      </c>
      <c r="E39" s="268">
        <v>4034329</v>
      </c>
      <c r="F39" s="268">
        <v>6223490</v>
      </c>
      <c r="G39" s="268">
        <v>2101243</v>
      </c>
      <c r="H39" s="268">
        <v>5445233</v>
      </c>
      <c r="I39" s="268">
        <v>5339713</v>
      </c>
      <c r="J39" s="268">
        <v>5419563</v>
      </c>
      <c r="K39" s="269">
        <v>0.04</v>
      </c>
      <c r="L39" s="269">
        <v>0.05</v>
      </c>
      <c r="M39" s="269">
        <v>0.06</v>
      </c>
      <c r="N39" s="269">
        <v>0.05</v>
      </c>
      <c r="O39" s="269">
        <v>0.05</v>
      </c>
      <c r="P39" s="269">
        <v>7.0000000000000007E-2</v>
      </c>
      <c r="Q39" s="269">
        <v>0.06</v>
      </c>
      <c r="R39" s="269">
        <v>0.05</v>
      </c>
      <c r="S39" s="269">
        <v>0.05</v>
      </c>
      <c r="T39" s="259">
        <f>SUM(C39,E39,F39)</f>
        <v>13152399</v>
      </c>
      <c r="U39" s="259">
        <f>SUM(H39:J39)</f>
        <v>16204509</v>
      </c>
      <c r="V39" s="259">
        <f>U39-T39</f>
        <v>3052110</v>
      </c>
      <c r="W39" s="49">
        <f>U39/T39-1</f>
        <v>0.23205728475846876</v>
      </c>
    </row>
    <row r="40" spans="1:23">
      <c r="A40" s="267" t="s">
        <v>491</v>
      </c>
      <c r="B40" s="268">
        <v>3019697</v>
      </c>
      <c r="C40" s="268">
        <v>3707827</v>
      </c>
      <c r="D40" s="268">
        <v>3120100</v>
      </c>
      <c r="E40" s="268">
        <v>4870965</v>
      </c>
      <c r="F40" s="268">
        <v>3177329</v>
      </c>
      <c r="G40" s="268">
        <v>2223156</v>
      </c>
      <c r="H40" s="268">
        <v>5638071</v>
      </c>
      <c r="I40" s="268">
        <v>5645965</v>
      </c>
      <c r="J40" s="268">
        <v>5663590</v>
      </c>
      <c r="K40" s="269">
        <v>0.03</v>
      </c>
      <c r="L40" s="269">
        <v>7.0000000000000007E-2</v>
      </c>
      <c r="M40" s="269">
        <v>0.03</v>
      </c>
      <c r="N40" s="269">
        <v>7.0000000000000007E-2</v>
      </c>
      <c r="O40" s="269">
        <v>0.03</v>
      </c>
      <c r="P40" s="269">
        <v>7.0000000000000007E-2</v>
      </c>
      <c r="Q40" s="269">
        <v>0.06</v>
      </c>
      <c r="R40" s="269">
        <v>0.05</v>
      </c>
      <c r="S40" s="269">
        <v>0.05</v>
      </c>
      <c r="T40" s="259">
        <f t="shared" ref="T40:T45" si="8">SUM(C40,E40,F40)</f>
        <v>11756121</v>
      </c>
      <c r="U40" s="259">
        <f t="shared" ref="U40:U45" si="9">SUM(H40:J40)</f>
        <v>16947626</v>
      </c>
      <c r="V40" s="259">
        <f t="shared" ref="V40:V45" si="10">U40-T40</f>
        <v>5191505</v>
      </c>
      <c r="W40" s="49">
        <f t="shared" ref="W40:W45" si="11">U40/T40-1</f>
        <v>0.44160016726605655</v>
      </c>
    </row>
    <row r="41" spans="1:23">
      <c r="A41" s="267" t="s">
        <v>492</v>
      </c>
      <c r="B41" s="268">
        <v>55987950</v>
      </c>
      <c r="C41" s="268">
        <v>27798601</v>
      </c>
      <c r="D41" s="268">
        <v>72568606</v>
      </c>
      <c r="E41" s="268">
        <v>42644523</v>
      </c>
      <c r="F41" s="268">
        <v>86690225</v>
      </c>
      <c r="G41" s="268">
        <v>19499327</v>
      </c>
      <c r="H41" s="268">
        <v>48921013</v>
      </c>
      <c r="I41" s="268">
        <v>56783513</v>
      </c>
      <c r="J41" s="268">
        <v>63664173</v>
      </c>
      <c r="K41" s="269">
        <v>0.64</v>
      </c>
      <c r="L41" s="269">
        <v>0.51</v>
      </c>
      <c r="M41" s="269">
        <v>0.69</v>
      </c>
      <c r="N41" s="269">
        <v>0.57999999999999996</v>
      </c>
      <c r="O41" s="269">
        <v>0.72</v>
      </c>
      <c r="P41" s="269">
        <v>0.61</v>
      </c>
      <c r="Q41" s="269">
        <v>0.51</v>
      </c>
      <c r="R41" s="269">
        <v>0.54</v>
      </c>
      <c r="S41" s="269">
        <v>0.56000000000000005</v>
      </c>
      <c r="T41" s="259">
        <f t="shared" si="8"/>
        <v>157133349</v>
      </c>
      <c r="U41" s="259">
        <f t="shared" si="9"/>
        <v>169368699</v>
      </c>
      <c r="V41" s="259">
        <f t="shared" si="10"/>
        <v>12235350</v>
      </c>
      <c r="W41" s="49">
        <f t="shared" si="11"/>
        <v>7.78660295721183E-2</v>
      </c>
    </row>
    <row r="42" spans="1:23">
      <c r="A42" s="267" t="s">
        <v>493</v>
      </c>
      <c r="B42" s="268">
        <v>19595905</v>
      </c>
      <c r="C42" s="268">
        <v>16601992</v>
      </c>
      <c r="D42" s="268">
        <v>17532215</v>
      </c>
      <c r="E42" s="268">
        <v>18053285</v>
      </c>
      <c r="F42" s="268">
        <v>17843333</v>
      </c>
      <c r="G42" s="268">
        <v>7313450</v>
      </c>
      <c r="H42" s="268">
        <v>29242108</v>
      </c>
      <c r="I42" s="268">
        <v>29203510</v>
      </c>
      <c r="J42" s="268">
        <v>30031365</v>
      </c>
      <c r="K42" s="269">
        <v>0.22</v>
      </c>
      <c r="L42" s="269">
        <v>0.3</v>
      </c>
      <c r="M42" s="269">
        <v>0.17</v>
      </c>
      <c r="N42" s="269">
        <v>0.24</v>
      </c>
      <c r="O42" s="269">
        <v>0.15</v>
      </c>
      <c r="P42" s="269">
        <v>0.23</v>
      </c>
      <c r="Q42" s="269">
        <v>0.3</v>
      </c>
      <c r="R42" s="269">
        <v>0.28000000000000003</v>
      </c>
      <c r="S42" s="269">
        <v>0.27</v>
      </c>
      <c r="T42" s="259">
        <f t="shared" si="8"/>
        <v>52498610</v>
      </c>
      <c r="U42" s="259">
        <f t="shared" si="9"/>
        <v>88476983</v>
      </c>
      <c r="V42" s="259">
        <f t="shared" si="10"/>
        <v>35978373</v>
      </c>
      <c r="W42" s="49">
        <f t="shared" si="11"/>
        <v>0.68532048753290797</v>
      </c>
    </row>
    <row r="43" spans="1:23">
      <c r="A43" s="267" t="s">
        <v>494</v>
      </c>
      <c r="B43" s="268">
        <v>2137958</v>
      </c>
      <c r="C43" s="268">
        <v>2658192</v>
      </c>
      <c r="D43" s="268">
        <v>2266594</v>
      </c>
      <c r="E43" s="268">
        <v>2806330</v>
      </c>
      <c r="F43" s="268">
        <v>2541100</v>
      </c>
      <c r="G43" s="268">
        <v>656346</v>
      </c>
      <c r="H43" s="268">
        <v>3673834</v>
      </c>
      <c r="I43" s="268">
        <v>4258602</v>
      </c>
      <c r="J43" s="268">
        <v>3995889</v>
      </c>
      <c r="K43" s="269">
        <v>0.02</v>
      </c>
      <c r="L43" s="269">
        <v>0.05</v>
      </c>
      <c r="M43" s="269">
        <v>0.02</v>
      </c>
      <c r="N43" s="269">
        <v>0.04</v>
      </c>
      <c r="O43" s="269">
        <v>0.02</v>
      </c>
      <c r="P43" s="269">
        <v>0.02</v>
      </c>
      <c r="Q43" s="269">
        <v>0.04</v>
      </c>
      <c r="R43" s="269">
        <v>0.04</v>
      </c>
      <c r="S43" s="269">
        <v>0.04</v>
      </c>
      <c r="T43" s="259">
        <f t="shared" si="8"/>
        <v>8005622</v>
      </c>
      <c r="U43" s="259">
        <f t="shared" si="9"/>
        <v>11928325</v>
      </c>
      <c r="V43" s="259">
        <f t="shared" si="10"/>
        <v>3922703</v>
      </c>
      <c r="W43" s="49">
        <f t="shared" si="11"/>
        <v>0.48999353204535523</v>
      </c>
    </row>
    <row r="44" spans="1:23">
      <c r="A44" s="267" t="s">
        <v>488</v>
      </c>
      <c r="B44" s="295">
        <v>3311341</v>
      </c>
      <c r="C44" s="295">
        <v>1157074</v>
      </c>
      <c r="D44" s="295">
        <v>3648672</v>
      </c>
      <c r="E44" s="295">
        <v>1303191</v>
      </c>
      <c r="F44" s="295">
        <v>3955497</v>
      </c>
      <c r="G44" s="296" t="s">
        <v>496</v>
      </c>
      <c r="H44" s="295">
        <v>3224575</v>
      </c>
      <c r="I44" s="295">
        <v>3654273</v>
      </c>
      <c r="J44" s="295">
        <v>4336019</v>
      </c>
      <c r="K44" s="269">
        <v>0.04</v>
      </c>
      <c r="L44" s="269">
        <v>0.02</v>
      </c>
      <c r="M44" s="269">
        <v>0.03</v>
      </c>
      <c r="N44" s="269">
        <v>0.02</v>
      </c>
      <c r="O44" s="269">
        <v>0.03</v>
      </c>
      <c r="P44" s="269">
        <v>0</v>
      </c>
      <c r="Q44" s="269">
        <v>0.03</v>
      </c>
      <c r="R44" s="269">
        <v>0.03</v>
      </c>
      <c r="S44" s="269">
        <v>0.04</v>
      </c>
      <c r="T44" s="259">
        <f t="shared" si="8"/>
        <v>6415762</v>
      </c>
      <c r="U44" s="259">
        <f t="shared" si="9"/>
        <v>11214867</v>
      </c>
      <c r="V44" s="259">
        <f t="shared" si="10"/>
        <v>4799105</v>
      </c>
      <c r="W44" s="49">
        <f t="shared" si="11"/>
        <v>0.74801792834584568</v>
      </c>
    </row>
    <row r="45" spans="1:23">
      <c r="A45" s="272" t="s">
        <v>489</v>
      </c>
      <c r="B45" s="273">
        <v>87371995</v>
      </c>
      <c r="C45" s="273">
        <v>54818265</v>
      </c>
      <c r="D45" s="273">
        <v>105060478</v>
      </c>
      <c r="E45" s="273">
        <v>73712624</v>
      </c>
      <c r="F45" s="273">
        <v>120430974</v>
      </c>
      <c r="G45" s="273">
        <v>31793522</v>
      </c>
      <c r="H45" s="273">
        <v>96144836</v>
      </c>
      <c r="I45" s="273">
        <v>104885575</v>
      </c>
      <c r="J45" s="273">
        <v>113110599</v>
      </c>
      <c r="K45" s="274">
        <v>1</v>
      </c>
      <c r="L45" s="274">
        <v>1</v>
      </c>
      <c r="M45" s="274">
        <v>1</v>
      </c>
      <c r="N45" s="274">
        <v>1</v>
      </c>
      <c r="O45" s="274">
        <v>1</v>
      </c>
      <c r="P45" s="274">
        <v>1</v>
      </c>
      <c r="Q45" s="274">
        <v>1</v>
      </c>
      <c r="R45" s="274">
        <v>1</v>
      </c>
      <c r="S45" s="274">
        <v>1</v>
      </c>
      <c r="T45" s="259">
        <f t="shared" si="8"/>
        <v>248961863</v>
      </c>
      <c r="U45" s="259">
        <f t="shared" si="9"/>
        <v>314141010</v>
      </c>
      <c r="V45" s="259">
        <f t="shared" si="10"/>
        <v>65179147</v>
      </c>
      <c r="W45" s="49">
        <f t="shared" si="11"/>
        <v>0.26180374059941869</v>
      </c>
    </row>
    <row r="46" spans="1:23">
      <c r="A46" s="275"/>
      <c r="B46" s="263"/>
      <c r="C46" s="263"/>
      <c r="D46" s="263"/>
      <c r="E46" s="263"/>
      <c r="F46" s="263"/>
      <c r="G46" s="263"/>
      <c r="H46" s="263"/>
      <c r="I46" s="263"/>
      <c r="J46" s="263"/>
      <c r="K46" s="275"/>
      <c r="L46" s="275"/>
      <c r="M46" s="275"/>
      <c r="N46" s="275"/>
      <c r="O46" s="275"/>
      <c r="P46" s="275"/>
      <c r="Q46" s="275"/>
      <c r="R46" s="275"/>
      <c r="S46" s="275"/>
    </row>
    <row r="47" spans="1:23" ht="15.75">
      <c r="A47" s="264"/>
      <c r="B47" s="261" t="s">
        <v>505</v>
      </c>
      <c r="C47" s="261"/>
      <c r="D47" s="261"/>
      <c r="E47" s="261"/>
      <c r="F47" s="261"/>
      <c r="G47" s="261"/>
      <c r="H47" s="261"/>
      <c r="I47" s="261"/>
      <c r="J47" s="262"/>
      <c r="K47" s="260" t="s">
        <v>505</v>
      </c>
      <c r="L47" s="261"/>
      <c r="M47" s="261"/>
      <c r="N47" s="261"/>
      <c r="O47" s="261"/>
      <c r="P47" s="261"/>
      <c r="Q47" s="261"/>
      <c r="R47" s="261"/>
      <c r="S47" s="261"/>
    </row>
    <row r="48" spans="1:23">
      <c r="A48" s="279" t="s">
        <v>498</v>
      </c>
      <c r="B48" s="282" t="s">
        <v>499</v>
      </c>
      <c r="C48" s="283"/>
      <c r="D48" s="283"/>
      <c r="E48" s="283"/>
      <c r="F48" s="283"/>
      <c r="G48" s="283"/>
      <c r="H48" s="283"/>
      <c r="I48" s="283"/>
      <c r="J48" s="284"/>
      <c r="K48" s="282" t="s">
        <v>500</v>
      </c>
      <c r="L48" s="283"/>
      <c r="M48" s="283"/>
      <c r="N48" s="283"/>
      <c r="O48" s="283"/>
      <c r="P48" s="283"/>
      <c r="Q48" s="283"/>
      <c r="R48" s="283"/>
      <c r="S48" s="284"/>
    </row>
    <row r="49" spans="1:23">
      <c r="A49" s="280"/>
      <c r="B49" s="282">
        <v>2022</v>
      </c>
      <c r="C49" s="284"/>
      <c r="D49" s="282">
        <v>2023</v>
      </c>
      <c r="E49" s="284"/>
      <c r="F49" s="282">
        <v>2024</v>
      </c>
      <c r="G49" s="284"/>
      <c r="H49" s="266">
        <v>2025</v>
      </c>
      <c r="I49" s="266">
        <v>2026</v>
      </c>
      <c r="J49" s="266">
        <v>2027</v>
      </c>
      <c r="K49" s="282">
        <v>2022</v>
      </c>
      <c r="L49" s="284"/>
      <c r="M49" s="282">
        <v>2023</v>
      </c>
      <c r="N49" s="284"/>
      <c r="O49" s="282">
        <v>2024</v>
      </c>
      <c r="P49" s="284"/>
      <c r="Q49" s="266">
        <v>2025</v>
      </c>
      <c r="R49" s="266">
        <v>2026</v>
      </c>
      <c r="S49" s="266">
        <v>2027</v>
      </c>
    </row>
    <row r="50" spans="1:23">
      <c r="A50" s="281"/>
      <c r="B50" s="266" t="s">
        <v>495</v>
      </c>
      <c r="C50" s="266" t="s">
        <v>501</v>
      </c>
      <c r="D50" s="266" t="s">
        <v>495</v>
      </c>
      <c r="E50" s="266" t="s">
        <v>501</v>
      </c>
      <c r="F50" s="266" t="s">
        <v>495</v>
      </c>
      <c r="G50" s="266" t="s">
        <v>502</v>
      </c>
      <c r="H50" s="266" t="s">
        <v>495</v>
      </c>
      <c r="I50" s="266" t="s">
        <v>495</v>
      </c>
      <c r="J50" s="266" t="s">
        <v>495</v>
      </c>
      <c r="K50" s="266" t="s">
        <v>495</v>
      </c>
      <c r="L50" s="266" t="s">
        <v>501</v>
      </c>
      <c r="M50" s="266" t="s">
        <v>495</v>
      </c>
      <c r="N50" s="266" t="s">
        <v>501</v>
      </c>
      <c r="O50" s="266" t="s">
        <v>495</v>
      </c>
      <c r="P50" s="266" t="s">
        <v>502</v>
      </c>
      <c r="Q50" s="266" t="s">
        <v>495</v>
      </c>
      <c r="R50" s="266" t="s">
        <v>495</v>
      </c>
      <c r="S50" s="266" t="s">
        <v>495</v>
      </c>
    </row>
    <row r="51" spans="1:23">
      <c r="A51" s="267" t="s">
        <v>490</v>
      </c>
      <c r="B51" s="268">
        <v>13615006</v>
      </c>
      <c r="C51" s="268">
        <v>12746498</v>
      </c>
      <c r="D51" s="268">
        <v>15868533</v>
      </c>
      <c r="E51" s="268">
        <v>13942811</v>
      </c>
      <c r="F51" s="268">
        <v>16594946</v>
      </c>
      <c r="G51" s="268">
        <v>7616809</v>
      </c>
      <c r="H51" s="268">
        <v>29177378</v>
      </c>
      <c r="I51" s="268">
        <v>28547192</v>
      </c>
      <c r="J51" s="268">
        <v>28998179</v>
      </c>
      <c r="K51" s="269">
        <v>0.04</v>
      </c>
      <c r="L51" s="269">
        <v>0.04</v>
      </c>
      <c r="M51" s="269">
        <v>0.04</v>
      </c>
      <c r="N51" s="269">
        <v>0.03</v>
      </c>
      <c r="O51" s="269">
        <v>0.04</v>
      </c>
      <c r="P51" s="269">
        <v>0.04</v>
      </c>
      <c r="Q51" s="269">
        <v>0.05</v>
      </c>
      <c r="R51" s="269">
        <v>0.05</v>
      </c>
      <c r="S51" s="269">
        <v>0.04</v>
      </c>
      <c r="T51" s="259">
        <f>SUM(C51,E51,F51)</f>
        <v>43284255</v>
      </c>
      <c r="U51" s="259">
        <f>SUM(H51:J51)</f>
        <v>86722749</v>
      </c>
      <c r="V51" s="259">
        <f>U51-T51</f>
        <v>43438494</v>
      </c>
      <c r="W51" s="49">
        <f>U51/T51-1</f>
        <v>1.0035633973600793</v>
      </c>
    </row>
    <row r="52" spans="1:23">
      <c r="A52" s="267" t="s">
        <v>491</v>
      </c>
      <c r="B52" s="268">
        <v>11999458</v>
      </c>
      <c r="C52" s="268">
        <v>12479649</v>
      </c>
      <c r="D52" s="268">
        <v>13790785</v>
      </c>
      <c r="E52" s="268">
        <v>15288333</v>
      </c>
      <c r="F52" s="268">
        <v>14024295</v>
      </c>
      <c r="G52" s="268">
        <v>6615923</v>
      </c>
      <c r="H52" s="268">
        <v>21653159</v>
      </c>
      <c r="I52" s="268">
        <v>21660604</v>
      </c>
      <c r="J52" s="268">
        <v>21870005</v>
      </c>
      <c r="K52" s="269">
        <v>0.03</v>
      </c>
      <c r="L52" s="269">
        <v>0.04</v>
      </c>
      <c r="M52" s="269">
        <v>0.03</v>
      </c>
      <c r="N52" s="269">
        <v>0.03</v>
      </c>
      <c r="O52" s="269">
        <v>0.03</v>
      </c>
      <c r="P52" s="269">
        <v>0.03</v>
      </c>
      <c r="Q52" s="269">
        <v>0.04</v>
      </c>
      <c r="R52" s="269">
        <v>0.04</v>
      </c>
      <c r="S52" s="269">
        <v>0.03</v>
      </c>
      <c r="T52" s="259">
        <f t="shared" ref="T52:T57" si="12">SUM(C52,E52,F52)</f>
        <v>41792277</v>
      </c>
      <c r="U52" s="259">
        <f t="shared" ref="U52:U57" si="13">SUM(H52:J52)</f>
        <v>65183768</v>
      </c>
      <c r="V52" s="259">
        <f t="shared" ref="V52:V57" si="14">U52-T52</f>
        <v>23391491</v>
      </c>
      <c r="W52" s="49">
        <f t="shared" ref="W52:W57" si="15">U52/T52-1</f>
        <v>0.5597084600104465</v>
      </c>
    </row>
    <row r="53" spans="1:23">
      <c r="A53" s="267" t="s">
        <v>492</v>
      </c>
      <c r="B53" s="268">
        <v>273655916</v>
      </c>
      <c r="C53" s="268">
        <v>240265337</v>
      </c>
      <c r="D53" s="268">
        <v>307192084</v>
      </c>
      <c r="E53" s="268">
        <v>329517445</v>
      </c>
      <c r="F53" s="268">
        <v>345012704</v>
      </c>
      <c r="G53" s="268">
        <v>146386284</v>
      </c>
      <c r="H53" s="268">
        <v>376362389</v>
      </c>
      <c r="I53" s="268">
        <v>414065444</v>
      </c>
      <c r="J53" s="268">
        <v>463408586</v>
      </c>
      <c r="K53" s="269">
        <v>0.71</v>
      </c>
      <c r="L53" s="269">
        <v>0.71</v>
      </c>
      <c r="M53" s="269">
        <v>0.72</v>
      </c>
      <c r="N53" s="269">
        <v>0.74</v>
      </c>
      <c r="O53" s="269">
        <v>0.74</v>
      </c>
      <c r="P53" s="269">
        <v>0.76</v>
      </c>
      <c r="Q53" s="269">
        <v>0.66</v>
      </c>
      <c r="R53" s="269">
        <v>0.68</v>
      </c>
      <c r="S53" s="269">
        <v>0.69</v>
      </c>
      <c r="T53" s="259">
        <f t="shared" si="12"/>
        <v>914795486</v>
      </c>
      <c r="U53" s="259">
        <f t="shared" si="13"/>
        <v>1253836419</v>
      </c>
      <c r="V53" s="259">
        <f t="shared" si="14"/>
        <v>339040933</v>
      </c>
      <c r="W53" s="49">
        <f t="shared" si="15"/>
        <v>0.37061937688660618</v>
      </c>
    </row>
    <row r="54" spans="1:23">
      <c r="A54" s="267" t="s">
        <v>493</v>
      </c>
      <c r="B54" s="268">
        <v>68981218</v>
      </c>
      <c r="C54" s="268">
        <v>61115742</v>
      </c>
      <c r="D54" s="268">
        <v>69780176</v>
      </c>
      <c r="E54" s="268">
        <v>73707332</v>
      </c>
      <c r="F54" s="268">
        <v>73014103</v>
      </c>
      <c r="G54" s="268">
        <v>29209667</v>
      </c>
      <c r="H54" s="268">
        <v>115182593</v>
      </c>
      <c r="I54" s="268">
        <v>114542020</v>
      </c>
      <c r="J54" s="268">
        <v>119230602</v>
      </c>
      <c r="K54" s="269">
        <v>0.18</v>
      </c>
      <c r="L54" s="269">
        <v>0.18</v>
      </c>
      <c r="M54" s="269">
        <v>0.16</v>
      </c>
      <c r="N54" s="269">
        <v>0.17</v>
      </c>
      <c r="O54" s="269">
        <v>0.16</v>
      </c>
      <c r="P54" s="269">
        <v>0.15</v>
      </c>
      <c r="Q54" s="269">
        <v>0.2</v>
      </c>
      <c r="R54" s="269">
        <v>0.19</v>
      </c>
      <c r="S54" s="269">
        <v>0.18</v>
      </c>
      <c r="T54" s="259">
        <f t="shared" si="12"/>
        <v>207837177</v>
      </c>
      <c r="U54" s="259">
        <f t="shared" si="13"/>
        <v>348955215</v>
      </c>
      <c r="V54" s="259">
        <f t="shared" si="14"/>
        <v>141118038</v>
      </c>
      <c r="W54" s="49">
        <f t="shared" si="15"/>
        <v>0.67898361610252245</v>
      </c>
    </row>
    <row r="55" spans="1:23">
      <c r="A55" s="267" t="s">
        <v>494</v>
      </c>
      <c r="B55" s="268">
        <v>5990346</v>
      </c>
      <c r="C55" s="268">
        <v>5600120</v>
      </c>
      <c r="D55" s="268">
        <v>6176800</v>
      </c>
      <c r="E55" s="268">
        <v>6871298</v>
      </c>
      <c r="F55" s="268">
        <v>6905807</v>
      </c>
      <c r="G55" s="268">
        <v>1757806</v>
      </c>
      <c r="H55" s="268">
        <v>7573116</v>
      </c>
      <c r="I55" s="268">
        <v>8518197</v>
      </c>
      <c r="J55" s="268">
        <v>8134265</v>
      </c>
      <c r="K55" s="269">
        <v>0.02</v>
      </c>
      <c r="L55" s="269">
        <v>0.02</v>
      </c>
      <c r="M55" s="269">
        <v>0.01</v>
      </c>
      <c r="N55" s="269">
        <v>0.02</v>
      </c>
      <c r="O55" s="269">
        <v>0.01</v>
      </c>
      <c r="P55" s="269">
        <v>0.01</v>
      </c>
      <c r="Q55" s="269">
        <v>0.01</v>
      </c>
      <c r="R55" s="269">
        <v>0.01</v>
      </c>
      <c r="S55" s="269">
        <v>0.01</v>
      </c>
      <c r="T55" s="259">
        <f t="shared" si="12"/>
        <v>19377225</v>
      </c>
      <c r="U55" s="259">
        <f t="shared" si="13"/>
        <v>24225578</v>
      </c>
      <c r="V55" s="259">
        <f t="shared" si="14"/>
        <v>4848353</v>
      </c>
      <c r="W55" s="49">
        <f t="shared" si="15"/>
        <v>0.25020884053315173</v>
      </c>
    </row>
    <row r="56" spans="1:23">
      <c r="A56" s="267" t="s">
        <v>488</v>
      </c>
      <c r="B56" s="295">
        <v>10797089</v>
      </c>
      <c r="C56" s="295">
        <v>5978128</v>
      </c>
      <c r="D56" s="295">
        <v>11702112</v>
      </c>
      <c r="E56" s="295">
        <v>6458348</v>
      </c>
      <c r="F56" s="295">
        <v>12592229</v>
      </c>
      <c r="G56" s="296" t="s">
        <v>496</v>
      </c>
      <c r="H56" s="295">
        <v>23220992</v>
      </c>
      <c r="I56" s="295">
        <v>25953651</v>
      </c>
      <c r="J56" s="295">
        <v>29849561</v>
      </c>
      <c r="K56" s="269">
        <v>0.03</v>
      </c>
      <c r="L56" s="269">
        <v>0.02</v>
      </c>
      <c r="M56" s="269">
        <v>0.03</v>
      </c>
      <c r="N56" s="269">
        <v>0.01</v>
      </c>
      <c r="O56" s="269">
        <v>0.03</v>
      </c>
      <c r="P56" s="269">
        <v>0</v>
      </c>
      <c r="Q56" s="269">
        <v>0.04</v>
      </c>
      <c r="R56" s="269">
        <v>0.04</v>
      </c>
      <c r="S56" s="269">
        <v>0.04</v>
      </c>
      <c r="T56" s="259">
        <f t="shared" si="12"/>
        <v>25028705</v>
      </c>
      <c r="U56" s="259">
        <f t="shared" si="13"/>
        <v>79024204</v>
      </c>
      <c r="V56" s="259">
        <f t="shared" si="14"/>
        <v>53995499</v>
      </c>
      <c r="W56" s="49">
        <f t="shared" si="15"/>
        <v>2.1573428988835022</v>
      </c>
    </row>
    <row r="57" spans="1:23">
      <c r="A57" s="272" t="s">
        <v>489</v>
      </c>
      <c r="B57" s="273">
        <v>385039033</v>
      </c>
      <c r="C57" s="273">
        <v>338185475</v>
      </c>
      <c r="D57" s="273">
        <v>424510490</v>
      </c>
      <c r="E57" s="273">
        <v>445785566</v>
      </c>
      <c r="F57" s="273">
        <v>468144084</v>
      </c>
      <c r="G57" s="273">
        <v>191586489</v>
      </c>
      <c r="H57" s="273">
        <v>573169627</v>
      </c>
      <c r="I57" s="273">
        <v>613287108</v>
      </c>
      <c r="J57" s="273">
        <v>671491199</v>
      </c>
      <c r="K57" s="274">
        <v>1</v>
      </c>
      <c r="L57" s="274">
        <v>1</v>
      </c>
      <c r="M57" s="274">
        <v>1</v>
      </c>
      <c r="N57" s="274">
        <v>1</v>
      </c>
      <c r="O57" s="274">
        <v>1</v>
      </c>
      <c r="P57" s="274">
        <v>1</v>
      </c>
      <c r="Q57" s="274">
        <v>1</v>
      </c>
      <c r="R57" s="274">
        <v>1</v>
      </c>
      <c r="S57" s="274">
        <v>1</v>
      </c>
      <c r="T57" s="259">
        <f t="shared" si="12"/>
        <v>1252115125</v>
      </c>
      <c r="U57" s="259">
        <f t="shared" si="13"/>
        <v>1857947934</v>
      </c>
      <c r="V57" s="259">
        <f t="shared" si="14"/>
        <v>605832809</v>
      </c>
      <c r="W57" s="49">
        <f t="shared" si="15"/>
        <v>0.48384752879652337</v>
      </c>
    </row>
    <row r="58" spans="1:23">
      <c r="A58" s="275"/>
      <c r="B58" s="263"/>
      <c r="C58" s="263"/>
      <c r="D58" s="263"/>
      <c r="E58" s="263"/>
      <c r="F58" s="263"/>
      <c r="G58" s="263"/>
      <c r="H58" s="263"/>
      <c r="I58" s="263"/>
      <c r="J58" s="263"/>
      <c r="K58" s="275"/>
      <c r="L58" s="275"/>
      <c r="M58" s="275"/>
      <c r="N58" s="275"/>
      <c r="O58" s="275"/>
      <c r="P58" s="275"/>
      <c r="Q58" s="275"/>
      <c r="R58" s="275"/>
      <c r="S58" s="275"/>
      <c r="T58" s="275"/>
    </row>
    <row r="59" spans="1:23">
      <c r="A59" s="276"/>
      <c r="B59" s="277" t="s">
        <v>506</v>
      </c>
      <c r="C59" s="276"/>
      <c r="D59" s="276"/>
      <c r="E59" s="276"/>
      <c r="F59" s="276"/>
      <c r="G59" s="276"/>
      <c r="H59" s="276"/>
      <c r="I59" s="276"/>
      <c r="J59" s="276"/>
      <c r="K59" s="277" t="s">
        <v>506</v>
      </c>
      <c r="L59" s="276"/>
      <c r="M59" s="276"/>
      <c r="N59" s="276"/>
      <c r="O59" s="276"/>
      <c r="P59" s="276"/>
      <c r="Q59" s="276"/>
      <c r="R59" s="276"/>
      <c r="S59" s="276"/>
      <c r="T59" s="276"/>
    </row>
    <row r="60" spans="1:23">
      <c r="A60" s="276"/>
      <c r="B60" s="263" t="s">
        <v>507</v>
      </c>
      <c r="C60" s="276"/>
      <c r="D60" s="276"/>
      <c r="E60" s="276"/>
      <c r="F60" s="276"/>
      <c r="G60" s="276"/>
      <c r="H60" s="276"/>
      <c r="I60" s="276"/>
      <c r="J60" s="276"/>
      <c r="K60" s="276" t="s">
        <v>507</v>
      </c>
      <c r="L60" s="276"/>
      <c r="M60" s="276"/>
      <c r="N60" s="276"/>
      <c r="O60" s="276"/>
      <c r="P60" s="276"/>
      <c r="Q60" s="276"/>
      <c r="R60" s="276"/>
      <c r="S60" s="276"/>
      <c r="T60" s="276"/>
    </row>
    <row r="61" spans="1:23">
      <c r="A61" s="276"/>
      <c r="B61" s="276" t="s">
        <v>508</v>
      </c>
      <c r="C61" s="276"/>
      <c r="D61" s="276"/>
      <c r="E61" s="276"/>
      <c r="F61" s="276"/>
      <c r="G61" s="276"/>
      <c r="H61" s="276"/>
      <c r="I61" s="276"/>
      <c r="J61" s="276"/>
      <c r="K61" s="276" t="s">
        <v>508</v>
      </c>
      <c r="L61" s="276"/>
      <c r="M61" s="276"/>
      <c r="N61" s="276"/>
      <c r="O61" s="276"/>
      <c r="P61" s="276"/>
      <c r="Q61" s="276"/>
      <c r="R61" s="276"/>
      <c r="S61" s="276"/>
      <c r="T61" s="276"/>
    </row>
    <row r="62" spans="1:23">
      <c r="A62" s="276"/>
      <c r="B62" s="276" t="s">
        <v>509</v>
      </c>
      <c r="C62" s="276"/>
      <c r="D62" s="276"/>
      <c r="E62" s="276"/>
      <c r="F62" s="276"/>
      <c r="G62" s="276"/>
      <c r="H62" s="276"/>
      <c r="I62" s="276"/>
      <c r="J62" s="276"/>
      <c r="K62" s="276" t="s">
        <v>509</v>
      </c>
      <c r="L62" s="276"/>
      <c r="M62" s="276"/>
      <c r="N62" s="276"/>
      <c r="O62" s="276"/>
      <c r="P62" s="276"/>
      <c r="Q62" s="276"/>
      <c r="R62" s="276"/>
      <c r="S62" s="276"/>
      <c r="T62" s="276"/>
    </row>
    <row r="63" spans="1:23">
      <c r="A63" s="276"/>
      <c r="B63" s="276" t="s">
        <v>510</v>
      </c>
      <c r="C63" s="276"/>
      <c r="D63" s="276"/>
      <c r="E63" s="276"/>
      <c r="F63" s="276"/>
      <c r="G63" s="276"/>
      <c r="H63" s="276"/>
      <c r="I63" s="276"/>
      <c r="J63" s="276"/>
      <c r="K63" s="276" t="s">
        <v>510</v>
      </c>
      <c r="L63" s="276"/>
      <c r="M63" s="276"/>
      <c r="N63" s="276"/>
      <c r="O63" s="276"/>
      <c r="P63" s="276"/>
      <c r="Q63" s="276"/>
      <c r="R63" s="276"/>
      <c r="S63" s="276"/>
      <c r="T63" s="276"/>
    </row>
    <row r="64" spans="1:23">
      <c r="A64" s="276"/>
      <c r="B64" s="276" t="s">
        <v>511</v>
      </c>
      <c r="C64" s="276"/>
      <c r="D64" s="276"/>
      <c r="E64" s="276"/>
      <c r="F64" s="276"/>
      <c r="G64" s="276"/>
      <c r="H64" s="276"/>
      <c r="I64" s="276"/>
      <c r="J64" s="276"/>
      <c r="K64" s="276" t="s">
        <v>511</v>
      </c>
      <c r="L64" s="276"/>
      <c r="M64" s="276"/>
      <c r="N64" s="276"/>
      <c r="O64" s="276"/>
      <c r="P64" s="276"/>
      <c r="Q64" s="276"/>
      <c r="R64" s="276"/>
      <c r="S64" s="276"/>
      <c r="T64" s="276"/>
    </row>
    <row r="65" spans="1:20">
      <c r="A65" s="276"/>
      <c r="B65" s="278" t="s">
        <v>512</v>
      </c>
      <c r="C65" s="278"/>
      <c r="D65" s="278"/>
      <c r="E65" s="278"/>
      <c r="F65" s="278"/>
      <c r="G65" s="278"/>
      <c r="H65" s="278"/>
      <c r="I65" s="278"/>
      <c r="J65" s="278"/>
      <c r="K65" s="278" t="s">
        <v>512</v>
      </c>
      <c r="L65" s="278"/>
      <c r="M65" s="278"/>
      <c r="N65" s="278"/>
      <c r="O65" s="278"/>
      <c r="P65" s="278"/>
      <c r="Q65" s="278"/>
      <c r="R65" s="278"/>
      <c r="S65" s="278"/>
      <c r="T65" s="276"/>
    </row>
    <row r="67" spans="1:20">
      <c r="B67" s="276" t="s">
        <v>522</v>
      </c>
      <c r="C67" t="s">
        <v>523</v>
      </c>
    </row>
    <row r="68" spans="1:20">
      <c r="A68" t="s">
        <v>114</v>
      </c>
      <c r="B68" s="83">
        <f>T21</f>
        <v>728410195</v>
      </c>
      <c r="C68" s="83">
        <f>U21-250000000</f>
        <v>805424423</v>
      </c>
      <c r="D68">
        <f>C68/B68</f>
        <v>1.1057292011131172</v>
      </c>
    </row>
    <row r="69" spans="1:20">
      <c r="A69" t="s">
        <v>519</v>
      </c>
      <c r="B69" s="83">
        <f>T33</f>
        <v>274743068</v>
      </c>
      <c r="C69" s="83">
        <f>U33</f>
        <v>488382502</v>
      </c>
    </row>
    <row r="70" spans="1:20">
      <c r="A70" t="s">
        <v>520</v>
      </c>
      <c r="B70" s="83">
        <f>T45</f>
        <v>248961863</v>
      </c>
      <c r="C70" s="83">
        <f>U45</f>
        <v>314141010</v>
      </c>
    </row>
    <row r="71" spans="1:20">
      <c r="A71" t="s">
        <v>10</v>
      </c>
      <c r="B71" s="83">
        <f>T57</f>
        <v>1252115125</v>
      </c>
      <c r="C71" s="83">
        <f>SUM(C68:C70)</f>
        <v>1607947935</v>
      </c>
    </row>
  </sheetData>
  <mergeCells count="44">
    <mergeCell ref="F49:G49"/>
    <mergeCell ref="K49:L49"/>
    <mergeCell ref="M49:N49"/>
    <mergeCell ref="O49:P49"/>
    <mergeCell ref="K37:L37"/>
    <mergeCell ref="M37:N37"/>
    <mergeCell ref="O37:P37"/>
    <mergeCell ref="B47:J47"/>
    <mergeCell ref="K47:S47"/>
    <mergeCell ref="A48:A50"/>
    <mergeCell ref="B48:J48"/>
    <mergeCell ref="K48:S48"/>
    <mergeCell ref="B49:C49"/>
    <mergeCell ref="D49:E49"/>
    <mergeCell ref="M25:N25"/>
    <mergeCell ref="O25:P25"/>
    <mergeCell ref="B35:J35"/>
    <mergeCell ref="K35:S35"/>
    <mergeCell ref="A36:A38"/>
    <mergeCell ref="B36:J36"/>
    <mergeCell ref="K36:S36"/>
    <mergeCell ref="B37:C37"/>
    <mergeCell ref="D37:E37"/>
    <mergeCell ref="F37:G37"/>
    <mergeCell ref="O13:P13"/>
    <mergeCell ref="B23:J23"/>
    <mergeCell ref="K23:S23"/>
    <mergeCell ref="A24:A26"/>
    <mergeCell ref="B24:J24"/>
    <mergeCell ref="K24:S24"/>
    <mergeCell ref="B25:C25"/>
    <mergeCell ref="D25:E25"/>
    <mergeCell ref="F25:G25"/>
    <mergeCell ref="K25:L25"/>
    <mergeCell ref="B11:J11"/>
    <mergeCell ref="K11:S11"/>
    <mergeCell ref="A12:A14"/>
    <mergeCell ref="B12:J12"/>
    <mergeCell ref="K12:S12"/>
    <mergeCell ref="B13:C13"/>
    <mergeCell ref="D13:E13"/>
    <mergeCell ref="F13:G13"/>
    <mergeCell ref="K13:L13"/>
    <mergeCell ref="M13:N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426CC-22A0-4DAF-A537-F0840BA8C198}">
  <dimension ref="A1:BL60"/>
  <sheetViews>
    <sheetView workbookViewId="0">
      <selection activeCell="F15" sqref="F15"/>
    </sheetView>
  </sheetViews>
  <sheetFormatPr defaultRowHeight="15"/>
  <cols>
    <col min="2" max="2" width="16.7109375" customWidth="1"/>
    <col min="14" max="14" width="28.85546875" customWidth="1"/>
  </cols>
  <sheetData>
    <row r="1" spans="1:64">
      <c r="A1" t="s">
        <v>284</v>
      </c>
      <c r="G1" s="157" t="s">
        <v>285</v>
      </c>
    </row>
    <row r="2" spans="1:64">
      <c r="A2" t="s">
        <v>286</v>
      </c>
      <c r="G2" s="157" t="s">
        <v>287</v>
      </c>
    </row>
    <row r="3" spans="1:64">
      <c r="A3" t="s">
        <v>288</v>
      </c>
      <c r="G3" s="157" t="s">
        <v>289</v>
      </c>
    </row>
    <row r="4" spans="1:64">
      <c r="A4" t="s">
        <v>290</v>
      </c>
      <c r="G4" s="191" t="s">
        <v>291</v>
      </c>
    </row>
    <row r="5" spans="1:64">
      <c r="A5" t="s">
        <v>292</v>
      </c>
    </row>
    <row r="6" spans="1:64">
      <c r="A6" t="s">
        <v>293</v>
      </c>
    </row>
    <row r="7" spans="1:64">
      <c r="A7" s="252" t="s">
        <v>294</v>
      </c>
      <c r="B7" s="252"/>
      <c r="C7" s="252"/>
      <c r="D7" s="252"/>
      <c r="E7" s="252"/>
      <c r="F7" s="252"/>
      <c r="G7" s="252"/>
      <c r="H7" s="252"/>
      <c r="I7" s="252"/>
      <c r="J7" s="252"/>
      <c r="L7" s="254" t="s">
        <v>294</v>
      </c>
      <c r="M7" s="254"/>
      <c r="N7" s="254"/>
      <c r="O7" s="254"/>
      <c r="P7" s="254"/>
      <c r="Q7" s="254"/>
      <c r="R7" s="254"/>
      <c r="S7" s="254"/>
      <c r="T7" s="254"/>
      <c r="U7" s="254"/>
      <c r="W7" s="252" t="s">
        <v>294</v>
      </c>
      <c r="X7" s="252"/>
      <c r="Y7" s="252"/>
      <c r="Z7" s="252"/>
      <c r="AA7" s="252"/>
      <c r="AB7" s="252"/>
      <c r="AC7" s="252"/>
      <c r="AD7" s="252"/>
      <c r="AE7" s="252"/>
      <c r="AF7" s="252"/>
      <c r="AH7" s="254" t="s">
        <v>294</v>
      </c>
      <c r="AI7" s="254"/>
      <c r="AJ7" s="254"/>
      <c r="AK7" s="254"/>
      <c r="AL7" s="254"/>
      <c r="AM7" s="254"/>
      <c r="AN7" s="254"/>
      <c r="AO7" s="254"/>
      <c r="AP7" s="254"/>
      <c r="AQ7" s="254"/>
      <c r="AS7" s="252" t="s">
        <v>294</v>
      </c>
      <c r="AT7" s="252"/>
      <c r="AU7" s="252"/>
      <c r="AV7" s="252"/>
      <c r="AW7" s="252"/>
      <c r="AX7" s="252"/>
      <c r="AY7" s="252"/>
      <c r="AZ7" s="252"/>
      <c r="BA7" s="252"/>
    </row>
    <row r="8" spans="1:64">
      <c r="A8" s="137"/>
      <c r="B8" s="139"/>
      <c r="C8" s="139"/>
      <c r="D8" s="139"/>
      <c r="E8" s="139"/>
      <c r="F8" s="139"/>
      <c r="G8" s="137"/>
      <c r="H8" s="139"/>
      <c r="I8" s="139"/>
      <c r="J8" s="139"/>
      <c r="L8" s="121"/>
      <c r="M8" s="122"/>
      <c r="N8" s="122"/>
      <c r="O8" s="122"/>
      <c r="P8" s="122"/>
      <c r="Q8" s="122"/>
      <c r="R8" s="121"/>
      <c r="S8" s="122"/>
      <c r="T8" s="122"/>
      <c r="U8" s="122"/>
      <c r="W8" s="137"/>
      <c r="X8" s="139"/>
      <c r="Y8" s="139"/>
      <c r="Z8" s="139"/>
      <c r="AA8" s="139"/>
      <c r="AB8" s="139"/>
      <c r="AC8" s="137"/>
      <c r="AD8" s="139"/>
      <c r="AE8" s="139"/>
      <c r="AF8" s="139"/>
      <c r="AH8" s="121"/>
      <c r="AI8" s="122"/>
      <c r="AJ8" s="122"/>
      <c r="AK8" s="122"/>
      <c r="AL8" s="122"/>
      <c r="AM8" s="122"/>
      <c r="AN8" s="121"/>
      <c r="AO8" s="122"/>
      <c r="AP8" s="122"/>
      <c r="AQ8" s="122"/>
      <c r="AS8" s="137"/>
      <c r="AT8" s="139"/>
      <c r="AU8" s="139"/>
      <c r="AV8" s="139"/>
      <c r="AW8" s="139"/>
      <c r="AX8" s="139"/>
      <c r="AY8" s="137"/>
      <c r="AZ8" s="139"/>
      <c r="BA8" s="139"/>
    </row>
    <row r="9" spans="1:64">
      <c r="A9" s="253" t="s">
        <v>295</v>
      </c>
      <c r="B9" s="253"/>
      <c r="C9" s="253"/>
      <c r="D9" s="253"/>
      <c r="E9" s="253"/>
      <c r="F9" s="253"/>
      <c r="G9" s="253"/>
      <c r="H9" s="253"/>
      <c r="I9" s="253"/>
      <c r="J9" s="253"/>
      <c r="L9" s="251" t="s">
        <v>295</v>
      </c>
      <c r="M9" s="251"/>
      <c r="N9" s="251"/>
      <c r="O9" s="251"/>
      <c r="P9" s="251"/>
      <c r="Q9" s="251"/>
      <c r="R9" s="251"/>
      <c r="S9" s="251"/>
      <c r="T9" s="251"/>
      <c r="U9" s="251"/>
      <c r="W9" s="253" t="s">
        <v>295</v>
      </c>
      <c r="X9" s="253"/>
      <c r="Y9" s="253"/>
      <c r="Z9" s="253"/>
      <c r="AA9" s="253"/>
      <c r="AB9" s="253"/>
      <c r="AC9" s="253"/>
      <c r="AD9" s="253"/>
      <c r="AE9" s="253"/>
      <c r="AF9" s="253"/>
      <c r="AH9" s="251" t="s">
        <v>295</v>
      </c>
      <c r="AI9" s="251"/>
      <c r="AJ9" s="251"/>
      <c r="AK9" s="251"/>
      <c r="AL9" s="251"/>
      <c r="AM9" s="251"/>
      <c r="AN9" s="251"/>
      <c r="AO9" s="251"/>
      <c r="AP9" s="251"/>
      <c r="AQ9" s="251"/>
      <c r="AS9" s="253" t="s">
        <v>295</v>
      </c>
      <c r="AT9" s="253"/>
      <c r="AU9" s="253"/>
      <c r="AV9" s="253"/>
      <c r="AW9" s="253"/>
      <c r="AX9" s="253"/>
      <c r="AY9" s="253"/>
      <c r="AZ9" s="253"/>
      <c r="BA9" s="253"/>
      <c r="BC9" s="251" t="s">
        <v>295</v>
      </c>
      <c r="BD9" s="251"/>
      <c r="BE9" s="251"/>
      <c r="BF9" s="251"/>
      <c r="BG9" s="251"/>
      <c r="BH9" s="251"/>
      <c r="BI9" s="251"/>
      <c r="BJ9" s="251"/>
      <c r="BK9" s="251"/>
      <c r="BL9" s="251"/>
    </row>
    <row r="10" spans="1:64">
      <c r="A10" s="137"/>
      <c r="B10" s="144"/>
      <c r="C10" s="145"/>
      <c r="D10" s="145"/>
      <c r="E10" s="145"/>
      <c r="F10" s="145"/>
      <c r="G10" s="145"/>
      <c r="H10" s="145"/>
      <c r="I10" s="145"/>
      <c r="J10" s="139"/>
      <c r="L10" s="121"/>
      <c r="M10" s="123"/>
      <c r="N10" s="124"/>
      <c r="O10" s="124"/>
      <c r="P10" s="124"/>
      <c r="Q10" s="124"/>
      <c r="R10" s="124"/>
      <c r="S10" s="124"/>
      <c r="T10" s="124"/>
      <c r="U10" s="122"/>
      <c r="W10" s="137"/>
      <c r="X10" s="144"/>
      <c r="Y10" s="145"/>
      <c r="Z10" s="145"/>
      <c r="AA10" s="145"/>
      <c r="AB10" s="145"/>
      <c r="AC10" s="145"/>
      <c r="AD10" s="145"/>
      <c r="AE10" s="145"/>
      <c r="AF10" s="139"/>
      <c r="AH10" s="121"/>
      <c r="AI10" s="123"/>
      <c r="AJ10" s="124"/>
      <c r="AK10" s="124"/>
      <c r="AL10" s="124"/>
      <c r="AM10" s="124"/>
      <c r="AN10" s="124"/>
      <c r="AO10" s="124"/>
      <c r="AP10" s="124"/>
      <c r="AQ10" s="122"/>
      <c r="AS10" s="137"/>
      <c r="AT10" s="144"/>
      <c r="AU10" s="145"/>
      <c r="AV10" s="145"/>
      <c r="AW10" s="145"/>
      <c r="AX10" s="145"/>
      <c r="AY10" s="145"/>
      <c r="AZ10" s="145"/>
      <c r="BA10" s="145"/>
      <c r="BC10" s="121"/>
      <c r="BD10" s="123"/>
      <c r="BE10" s="124"/>
      <c r="BF10" s="124"/>
      <c r="BG10" s="124"/>
      <c r="BH10" s="124"/>
      <c r="BI10" s="124"/>
      <c r="BJ10" s="124"/>
      <c r="BK10" s="124"/>
      <c r="BL10" s="122"/>
    </row>
    <row r="11" spans="1:64">
      <c r="A11" s="137"/>
      <c r="B11" s="138" t="s">
        <v>296</v>
      </c>
      <c r="C11" s="145"/>
      <c r="D11" s="145"/>
      <c r="E11" s="145"/>
      <c r="F11" s="145"/>
      <c r="G11" s="145"/>
      <c r="H11" s="145"/>
      <c r="I11" s="145"/>
      <c r="J11" s="139"/>
      <c r="L11" s="121"/>
      <c r="M11" s="125" t="s">
        <v>296</v>
      </c>
      <c r="N11" s="124"/>
      <c r="O11" s="124"/>
      <c r="P11" s="124"/>
      <c r="Q11" s="124"/>
      <c r="R11" s="124"/>
      <c r="S11" s="124"/>
      <c r="T11" s="124"/>
      <c r="U11" s="122"/>
      <c r="W11" s="137"/>
      <c r="X11" s="138" t="s">
        <v>297</v>
      </c>
      <c r="Y11" s="145"/>
      <c r="Z11" s="145"/>
      <c r="AA11" s="145"/>
      <c r="AB11" s="145"/>
      <c r="AC11" s="145"/>
      <c r="AD11" s="145"/>
      <c r="AE11" s="145"/>
      <c r="AF11" s="139"/>
      <c r="AH11" s="121"/>
      <c r="AI11" s="125" t="s">
        <v>297</v>
      </c>
      <c r="AJ11" s="124"/>
      <c r="AK11" s="124"/>
      <c r="AL11" s="124"/>
      <c r="AM11" s="124"/>
      <c r="AN11" s="124"/>
      <c r="AO11" s="124"/>
      <c r="AP11" s="124"/>
      <c r="AQ11" s="122"/>
      <c r="AS11" s="137"/>
      <c r="AT11" s="138" t="s">
        <v>298</v>
      </c>
      <c r="AU11" s="145"/>
      <c r="AV11" s="145"/>
      <c r="AW11" s="145"/>
      <c r="AX11" s="145"/>
      <c r="AY11" s="145"/>
      <c r="AZ11" s="145"/>
      <c r="BA11" s="145"/>
      <c r="BC11" s="121"/>
      <c r="BD11" s="125" t="s">
        <v>298</v>
      </c>
      <c r="BE11" s="124"/>
      <c r="BF11" s="124"/>
      <c r="BG11" s="124"/>
      <c r="BH11" s="124"/>
      <c r="BI11" s="124"/>
      <c r="BJ11" s="124"/>
      <c r="BK11" s="124"/>
      <c r="BL11" s="122"/>
    </row>
    <row r="12" spans="1:64">
      <c r="A12" s="137"/>
      <c r="B12" s="138" t="s">
        <v>299</v>
      </c>
      <c r="C12" s="139"/>
      <c r="D12" s="139"/>
      <c r="E12" s="139"/>
      <c r="F12" s="139"/>
      <c r="G12" s="139"/>
      <c r="H12" s="139"/>
      <c r="I12" s="139"/>
      <c r="J12" s="139"/>
      <c r="L12" s="121"/>
      <c r="M12" s="125" t="s">
        <v>300</v>
      </c>
      <c r="N12" s="122"/>
      <c r="O12" s="122"/>
      <c r="P12" s="122"/>
      <c r="Q12" s="122"/>
      <c r="R12" s="122"/>
      <c r="S12" s="122"/>
      <c r="T12" s="122"/>
      <c r="U12" s="122"/>
      <c r="W12" s="137"/>
      <c r="X12" s="138" t="s">
        <v>301</v>
      </c>
      <c r="Y12" s="139"/>
      <c r="Z12" s="139"/>
      <c r="AA12" s="139"/>
      <c r="AB12" s="139"/>
      <c r="AC12" s="139"/>
      <c r="AD12" s="139"/>
      <c r="AE12" s="139"/>
      <c r="AF12" s="139"/>
      <c r="AH12" s="121"/>
      <c r="AI12" s="125" t="s">
        <v>302</v>
      </c>
      <c r="AJ12" s="122"/>
      <c r="AK12" s="122"/>
      <c r="AL12" s="122"/>
      <c r="AM12" s="122"/>
      <c r="AN12" s="122"/>
      <c r="AO12" s="122"/>
      <c r="AP12" s="122"/>
      <c r="AQ12" s="122"/>
      <c r="AS12" s="137"/>
      <c r="AT12" s="138" t="s">
        <v>303</v>
      </c>
      <c r="AU12" s="139"/>
      <c r="AV12" s="139"/>
      <c r="AW12" s="139"/>
      <c r="AX12" s="139"/>
      <c r="AY12" s="139"/>
      <c r="AZ12" s="139"/>
      <c r="BA12" s="139"/>
      <c r="BC12" s="121"/>
      <c r="BD12" s="125" t="s">
        <v>304</v>
      </c>
      <c r="BE12" s="122"/>
      <c r="BF12" s="122"/>
      <c r="BG12" s="122"/>
      <c r="BH12" s="122"/>
      <c r="BI12" s="122"/>
      <c r="BJ12" s="122"/>
      <c r="BK12" s="122"/>
      <c r="BL12" s="122"/>
    </row>
    <row r="13" spans="1:64">
      <c r="A13" s="137"/>
      <c r="B13" s="138" t="s">
        <v>305</v>
      </c>
      <c r="C13" s="139"/>
      <c r="D13" s="139"/>
      <c r="E13" s="139"/>
      <c r="F13" s="137" t="s">
        <v>306</v>
      </c>
      <c r="G13" s="137"/>
      <c r="H13" s="139"/>
      <c r="I13" s="139"/>
      <c r="J13" s="139"/>
      <c r="L13" s="121"/>
      <c r="M13" s="125" t="s">
        <v>307</v>
      </c>
      <c r="N13" s="122"/>
      <c r="O13" s="122"/>
      <c r="P13" s="122"/>
      <c r="Q13" s="121" t="s">
        <v>308</v>
      </c>
      <c r="R13" s="121"/>
      <c r="S13" s="122"/>
      <c r="T13" s="122"/>
      <c r="U13" s="122"/>
      <c r="W13" s="137"/>
      <c r="X13" s="138" t="s">
        <v>309</v>
      </c>
      <c r="Y13" s="139"/>
      <c r="Z13" s="139"/>
      <c r="AA13" s="139"/>
      <c r="AB13" s="137" t="s">
        <v>306</v>
      </c>
      <c r="AC13" s="137"/>
      <c r="AD13" s="139"/>
      <c r="AE13" s="139"/>
      <c r="AF13" s="139"/>
      <c r="AH13" s="121"/>
      <c r="AI13" s="125" t="s">
        <v>310</v>
      </c>
      <c r="AJ13" s="122"/>
      <c r="AK13" s="122"/>
      <c r="AL13" s="122"/>
      <c r="AM13" s="121" t="s">
        <v>308</v>
      </c>
      <c r="AN13" s="121"/>
      <c r="AO13" s="122"/>
      <c r="AP13" s="122"/>
      <c r="AQ13" s="122"/>
      <c r="AS13" s="137"/>
      <c r="AT13" s="138" t="s">
        <v>311</v>
      </c>
      <c r="AU13" s="139"/>
      <c r="AV13" s="139"/>
      <c r="AW13" s="139"/>
      <c r="AX13" s="137" t="s">
        <v>306</v>
      </c>
      <c r="AY13" s="137"/>
      <c r="AZ13" s="139"/>
      <c r="BA13" s="139"/>
      <c r="BC13" s="121"/>
      <c r="BD13" s="125" t="s">
        <v>312</v>
      </c>
      <c r="BE13" s="122"/>
      <c r="BF13" s="122"/>
      <c r="BG13" s="122"/>
      <c r="BH13" s="121" t="s">
        <v>308</v>
      </c>
      <c r="BI13" s="121"/>
      <c r="BJ13" s="122"/>
      <c r="BK13" s="122"/>
      <c r="BL13" s="122"/>
    </row>
    <row r="14" spans="1:64">
      <c r="A14" s="137"/>
      <c r="B14" s="146"/>
      <c r="C14" s="139"/>
      <c r="D14" s="139"/>
      <c r="E14" s="139"/>
      <c r="F14" s="137" t="s">
        <v>313</v>
      </c>
      <c r="G14" s="137" t="s">
        <v>314</v>
      </c>
      <c r="H14" s="139"/>
      <c r="I14" s="139"/>
      <c r="J14" s="139"/>
      <c r="L14" s="121"/>
      <c r="M14" s="126"/>
      <c r="N14" s="122"/>
      <c r="O14" s="122"/>
      <c r="P14" s="122"/>
      <c r="Q14" s="121" t="s">
        <v>313</v>
      </c>
      <c r="R14" s="121" t="s">
        <v>314</v>
      </c>
      <c r="S14" s="122"/>
      <c r="T14" s="122"/>
      <c r="U14" s="122"/>
      <c r="W14" s="137"/>
      <c r="X14" s="146"/>
      <c r="Y14" s="139"/>
      <c r="Z14" s="139"/>
      <c r="AA14" s="139"/>
      <c r="AB14" s="137" t="s">
        <v>313</v>
      </c>
      <c r="AC14" s="137" t="s">
        <v>314</v>
      </c>
      <c r="AD14" s="139"/>
      <c r="AE14" s="139"/>
      <c r="AF14" s="139"/>
      <c r="AH14" s="121"/>
      <c r="AI14" s="126"/>
      <c r="AJ14" s="122"/>
      <c r="AK14" s="122"/>
      <c r="AL14" s="122"/>
      <c r="AM14" s="121" t="s">
        <v>313</v>
      </c>
      <c r="AN14" s="121" t="s">
        <v>314</v>
      </c>
      <c r="AO14" s="122"/>
      <c r="AP14" s="122"/>
      <c r="AQ14" s="122"/>
      <c r="AS14" s="137"/>
      <c r="AT14" s="146"/>
      <c r="AU14" s="139"/>
      <c r="AV14" s="139"/>
      <c r="AW14" s="139"/>
      <c r="AX14" s="137" t="s">
        <v>313</v>
      </c>
      <c r="AY14" s="137" t="s">
        <v>314</v>
      </c>
      <c r="AZ14" s="139"/>
      <c r="BA14" s="139"/>
      <c r="BC14" s="121"/>
      <c r="BD14" s="126"/>
      <c r="BE14" s="122"/>
      <c r="BF14" s="122"/>
      <c r="BG14" s="122"/>
      <c r="BH14" s="121" t="s">
        <v>313</v>
      </c>
      <c r="BI14" s="121" t="s">
        <v>314</v>
      </c>
      <c r="BJ14" s="122"/>
      <c r="BK14" s="122"/>
      <c r="BL14" s="122"/>
    </row>
    <row r="15" spans="1:64">
      <c r="A15" s="140">
        <v>-1</v>
      </c>
      <c r="B15" s="147" t="s">
        <v>315</v>
      </c>
      <c r="C15" s="147"/>
      <c r="D15" s="148">
        <v>50</v>
      </c>
      <c r="E15" s="148">
        <v>100</v>
      </c>
      <c r="F15" s="234">
        <v>107.14638454112722</v>
      </c>
      <c r="G15" s="148">
        <v>149.1803975162492</v>
      </c>
      <c r="H15" s="148">
        <v>250</v>
      </c>
      <c r="I15" s="148">
        <v>300</v>
      </c>
      <c r="J15" s="148">
        <v>400</v>
      </c>
      <c r="L15" s="127">
        <v>-1</v>
      </c>
      <c r="M15" s="128" t="s">
        <v>315</v>
      </c>
      <c r="N15" s="128"/>
      <c r="O15" s="129">
        <v>20</v>
      </c>
      <c r="P15" s="129">
        <v>30</v>
      </c>
      <c r="Q15" s="233">
        <v>23.006428578615466</v>
      </c>
      <c r="R15" s="129">
        <v>46.268559187661047</v>
      </c>
      <c r="S15" s="129">
        <v>120</v>
      </c>
      <c r="T15" s="129">
        <v>160</v>
      </c>
      <c r="U15" s="129">
        <v>200</v>
      </c>
      <c r="W15" s="140">
        <v>-1</v>
      </c>
      <c r="X15" s="147" t="s">
        <v>315</v>
      </c>
      <c r="Y15" s="147"/>
      <c r="Z15" s="148">
        <v>50</v>
      </c>
      <c r="AA15" s="148">
        <v>100</v>
      </c>
      <c r="AB15" s="148">
        <v>107.14638454112722</v>
      </c>
      <c r="AC15" s="148">
        <v>149.1803975162492</v>
      </c>
      <c r="AD15" s="148">
        <v>250</v>
      </c>
      <c r="AE15" s="148">
        <v>300</v>
      </c>
      <c r="AF15" s="148">
        <v>400</v>
      </c>
      <c r="AH15" s="127">
        <v>-1</v>
      </c>
      <c r="AI15" s="128" t="s">
        <v>315</v>
      </c>
      <c r="AJ15" s="128"/>
      <c r="AK15" s="129">
        <v>20</v>
      </c>
      <c r="AL15" s="129">
        <v>30</v>
      </c>
      <c r="AM15" s="129">
        <v>23.006428578615466</v>
      </c>
      <c r="AN15" s="129">
        <v>46.268559187661047</v>
      </c>
      <c r="AO15" s="129">
        <v>120</v>
      </c>
      <c r="AP15" s="129">
        <v>160</v>
      </c>
      <c r="AQ15" s="129">
        <v>200</v>
      </c>
      <c r="AS15" s="140">
        <v>-1</v>
      </c>
      <c r="AT15" s="147" t="s">
        <v>315</v>
      </c>
      <c r="AU15" s="147"/>
      <c r="AV15" s="148">
        <v>50</v>
      </c>
      <c r="AW15" s="148">
        <v>100</v>
      </c>
      <c r="AX15" s="148">
        <v>107.14638454112722</v>
      </c>
      <c r="AY15" s="148">
        <v>149.1803975162492</v>
      </c>
      <c r="AZ15" s="148">
        <v>250</v>
      </c>
      <c r="BA15" s="148">
        <v>300</v>
      </c>
      <c r="BC15" s="127">
        <v>-1</v>
      </c>
      <c r="BD15" s="128" t="s">
        <v>315</v>
      </c>
      <c r="BE15" s="128"/>
      <c r="BF15" s="129">
        <v>20</v>
      </c>
      <c r="BG15" s="129">
        <v>30</v>
      </c>
      <c r="BH15" s="129">
        <v>23.006428578615466</v>
      </c>
      <c r="BI15" s="129">
        <v>46.268559187661047</v>
      </c>
      <c r="BJ15" s="129">
        <v>120</v>
      </c>
      <c r="BK15" s="129">
        <v>160</v>
      </c>
      <c r="BL15" s="129">
        <v>200</v>
      </c>
    </row>
    <row r="16" spans="1:64">
      <c r="A16" s="137"/>
      <c r="B16" s="146"/>
      <c r="C16" s="139"/>
      <c r="D16" s="139"/>
      <c r="E16" s="139"/>
      <c r="F16" s="139"/>
      <c r="G16" s="139"/>
      <c r="H16" s="139"/>
      <c r="I16" s="139"/>
      <c r="J16" s="139"/>
      <c r="L16" s="121"/>
      <c r="M16" s="126"/>
      <c r="N16" s="122"/>
      <c r="O16" s="122"/>
      <c r="P16" s="122"/>
      <c r="Q16" s="122"/>
      <c r="R16" s="122"/>
      <c r="S16" s="122"/>
      <c r="T16" s="122"/>
      <c r="U16" s="122"/>
      <c r="W16" s="137"/>
      <c r="X16" s="146"/>
      <c r="Y16" s="139"/>
      <c r="Z16" s="139"/>
      <c r="AA16" s="139"/>
      <c r="AB16" s="139"/>
      <c r="AC16" s="139"/>
      <c r="AD16" s="139"/>
      <c r="AE16" s="139"/>
      <c r="AF16" s="139"/>
      <c r="AH16" s="121"/>
      <c r="AI16" s="126"/>
      <c r="AJ16" s="122"/>
      <c r="AK16" s="122"/>
      <c r="AL16" s="122"/>
      <c r="AM16" s="122"/>
      <c r="AN16" s="122"/>
      <c r="AO16" s="122"/>
      <c r="AP16" s="122"/>
      <c r="AQ16" s="122"/>
      <c r="AS16" s="137"/>
      <c r="AT16" s="146"/>
      <c r="AU16" s="139"/>
      <c r="AV16" s="139"/>
      <c r="AW16" s="139"/>
      <c r="AX16" s="139"/>
      <c r="AY16" s="139"/>
      <c r="AZ16" s="139"/>
      <c r="BA16" s="139"/>
      <c r="BC16" s="121"/>
      <c r="BD16" s="126"/>
      <c r="BE16" s="122"/>
      <c r="BF16" s="122"/>
      <c r="BG16" s="122"/>
      <c r="BH16" s="122"/>
      <c r="BI16" s="122"/>
      <c r="BJ16" s="122"/>
      <c r="BK16" s="122"/>
      <c r="BL16" s="122"/>
    </row>
    <row r="17" spans="1:64">
      <c r="A17" s="140">
        <v>-2</v>
      </c>
      <c r="B17" s="139" t="s">
        <v>316</v>
      </c>
      <c r="C17" s="139"/>
      <c r="D17" s="133">
        <v>12</v>
      </c>
      <c r="E17" s="133">
        <v>12</v>
      </c>
      <c r="F17" s="133">
        <v>12</v>
      </c>
      <c r="G17" s="133">
        <v>12</v>
      </c>
      <c r="H17" s="133">
        <v>12</v>
      </c>
      <c r="I17" s="133">
        <v>12</v>
      </c>
      <c r="J17" s="133">
        <v>12</v>
      </c>
      <c r="L17" s="127">
        <v>-2</v>
      </c>
      <c r="M17" s="122" t="s">
        <v>316</v>
      </c>
      <c r="N17" s="122"/>
      <c r="O17" s="130">
        <v>12</v>
      </c>
      <c r="P17" s="130">
        <v>12</v>
      </c>
      <c r="Q17" s="130">
        <v>12</v>
      </c>
      <c r="R17" s="130">
        <v>12</v>
      </c>
      <c r="S17" s="130">
        <v>12</v>
      </c>
      <c r="T17" s="130">
        <v>12</v>
      </c>
      <c r="U17" s="130">
        <v>12</v>
      </c>
      <c r="W17" s="140">
        <v>-2</v>
      </c>
      <c r="X17" s="139" t="s">
        <v>316</v>
      </c>
      <c r="Y17" s="139"/>
      <c r="Z17" s="133">
        <v>12</v>
      </c>
      <c r="AA17" s="133">
        <v>12</v>
      </c>
      <c r="AB17" s="133">
        <v>12</v>
      </c>
      <c r="AC17" s="133">
        <v>12</v>
      </c>
      <c r="AD17" s="133">
        <v>12</v>
      </c>
      <c r="AE17" s="133">
        <v>12</v>
      </c>
      <c r="AF17" s="133">
        <v>12</v>
      </c>
      <c r="AH17" s="127">
        <v>-2</v>
      </c>
      <c r="AI17" s="122" t="s">
        <v>316</v>
      </c>
      <c r="AJ17" s="122"/>
      <c r="AK17" s="130">
        <v>12</v>
      </c>
      <c r="AL17" s="130">
        <v>12</v>
      </c>
      <c r="AM17" s="130">
        <v>12</v>
      </c>
      <c r="AN17" s="130">
        <v>12</v>
      </c>
      <c r="AO17" s="130">
        <v>12</v>
      </c>
      <c r="AP17" s="130">
        <v>12</v>
      </c>
      <c r="AQ17" s="130">
        <v>12</v>
      </c>
      <c r="AS17" s="140">
        <v>-2</v>
      </c>
      <c r="AT17" s="139" t="s">
        <v>316</v>
      </c>
      <c r="AU17" s="139"/>
      <c r="AV17" s="133">
        <v>12</v>
      </c>
      <c r="AW17" s="133">
        <v>12</v>
      </c>
      <c r="AX17" s="133">
        <v>12</v>
      </c>
      <c r="AY17" s="133">
        <v>12</v>
      </c>
      <c r="AZ17" s="133">
        <v>12</v>
      </c>
      <c r="BA17" s="133">
        <v>12</v>
      </c>
      <c r="BC17" s="127">
        <v>-2</v>
      </c>
      <c r="BD17" s="122" t="s">
        <v>316</v>
      </c>
      <c r="BE17" s="122"/>
      <c r="BF17" s="130">
        <v>12</v>
      </c>
      <c r="BG17" s="130">
        <v>12</v>
      </c>
      <c r="BH17" s="130">
        <v>12</v>
      </c>
      <c r="BI17" s="130">
        <v>12</v>
      </c>
      <c r="BJ17" s="130">
        <v>12</v>
      </c>
      <c r="BK17" s="130">
        <v>12</v>
      </c>
      <c r="BL17" s="130">
        <v>12</v>
      </c>
    </row>
    <row r="18" spans="1:64">
      <c r="A18" s="140">
        <v>-3</v>
      </c>
      <c r="B18" s="139" t="s">
        <v>317</v>
      </c>
      <c r="C18" s="139"/>
      <c r="D18" s="149">
        <v>0.86060000000000003</v>
      </c>
      <c r="E18" s="149">
        <v>0.86060000000000003</v>
      </c>
      <c r="F18" s="149">
        <v>0.86060000000000003</v>
      </c>
      <c r="G18" s="149">
        <v>0.86060000000000003</v>
      </c>
      <c r="H18" s="149">
        <v>0.86060000000000003</v>
      </c>
      <c r="I18" s="149">
        <v>0.86060000000000003</v>
      </c>
      <c r="J18" s="149">
        <v>0.86060000000000003</v>
      </c>
      <c r="L18" s="127">
        <v>-3</v>
      </c>
      <c r="M18" s="122" t="s">
        <v>318</v>
      </c>
      <c r="N18" s="122"/>
      <c r="O18" s="131">
        <v>0.49759999999999999</v>
      </c>
      <c r="P18" s="131">
        <v>0.49759999999999999</v>
      </c>
      <c r="Q18" s="131">
        <v>0.49759999999999999</v>
      </c>
      <c r="R18" s="131">
        <v>0.49759999999999999</v>
      </c>
      <c r="S18" s="131">
        <v>0.49759999999999999</v>
      </c>
      <c r="T18" s="131">
        <v>0.49759999999999999</v>
      </c>
      <c r="U18" s="131">
        <v>0.49759999999999999</v>
      </c>
      <c r="W18" s="140">
        <v>-3</v>
      </c>
      <c r="X18" s="139" t="s">
        <v>317</v>
      </c>
      <c r="Y18" s="139"/>
      <c r="Z18" s="149">
        <v>0.86060000000000003</v>
      </c>
      <c r="AA18" s="149">
        <v>0.86060000000000003</v>
      </c>
      <c r="AB18" s="149">
        <v>0.86060000000000003</v>
      </c>
      <c r="AC18" s="149">
        <v>0.86060000000000003</v>
      </c>
      <c r="AD18" s="149">
        <v>0.86060000000000003</v>
      </c>
      <c r="AE18" s="149">
        <v>0.86060000000000003</v>
      </c>
      <c r="AF18" s="149">
        <v>0.86060000000000003</v>
      </c>
      <c r="AH18" s="127">
        <v>-3</v>
      </c>
      <c r="AI18" s="122" t="s">
        <v>318</v>
      </c>
      <c r="AJ18" s="122"/>
      <c r="AK18" s="131">
        <v>0.49759999999999999</v>
      </c>
      <c r="AL18" s="131">
        <v>0.49759999999999999</v>
      </c>
      <c r="AM18" s="131">
        <v>0.49759999999999999</v>
      </c>
      <c r="AN18" s="131">
        <v>0.49759999999999999</v>
      </c>
      <c r="AO18" s="131">
        <v>0.49759999999999999</v>
      </c>
      <c r="AP18" s="131">
        <v>0.49759999999999999</v>
      </c>
      <c r="AQ18" s="131">
        <v>0.49759999999999999</v>
      </c>
      <c r="AS18" s="140">
        <v>-3</v>
      </c>
      <c r="AT18" s="139" t="s">
        <v>317</v>
      </c>
      <c r="AU18" s="139"/>
      <c r="AV18" s="149">
        <v>0.86060000000000003</v>
      </c>
      <c r="AW18" s="149">
        <v>0.86060000000000003</v>
      </c>
      <c r="AX18" s="149">
        <v>0.86060000000000003</v>
      </c>
      <c r="AY18" s="149">
        <v>0.86060000000000003</v>
      </c>
      <c r="AZ18" s="149">
        <v>0.86060000000000003</v>
      </c>
      <c r="BA18" s="149">
        <v>0.86060000000000003</v>
      </c>
      <c r="BC18" s="127">
        <v>-3</v>
      </c>
      <c r="BD18" s="122" t="s">
        <v>318</v>
      </c>
      <c r="BE18" s="122"/>
      <c r="BF18" s="131">
        <v>0.49759999999999999</v>
      </c>
      <c r="BG18" s="131">
        <v>0.49759999999999999</v>
      </c>
      <c r="BH18" s="131">
        <v>0.49759999999999999</v>
      </c>
      <c r="BI18" s="131">
        <v>0.49759999999999999</v>
      </c>
      <c r="BJ18" s="131">
        <v>0.49759999999999999</v>
      </c>
      <c r="BK18" s="131">
        <v>0.49759999999999999</v>
      </c>
      <c r="BL18" s="131">
        <v>0.49759999999999999</v>
      </c>
    </row>
    <row r="19" spans="1:64">
      <c r="A19" s="140">
        <v>-4</v>
      </c>
      <c r="B19" s="139" t="s">
        <v>319</v>
      </c>
      <c r="C19" s="139"/>
      <c r="D19" s="149">
        <v>0.11940000000000001</v>
      </c>
      <c r="E19" s="149">
        <v>0.11940000000000001</v>
      </c>
      <c r="F19" s="149">
        <v>0.11940000000000001</v>
      </c>
      <c r="G19" s="149">
        <v>0.11940000000000001</v>
      </c>
      <c r="H19" s="149">
        <v>0.11940000000000001</v>
      </c>
      <c r="I19" s="149">
        <v>0.11940000000000001</v>
      </c>
      <c r="J19" s="149">
        <v>0.11940000000000001</v>
      </c>
      <c r="L19" s="127">
        <v>-4</v>
      </c>
      <c r="M19" s="122" t="s">
        <v>319</v>
      </c>
      <c r="N19" s="122"/>
      <c r="O19" s="131">
        <v>2.1299999999999999E-2</v>
      </c>
      <c r="P19" s="131">
        <v>2.1299999999999999E-2</v>
      </c>
      <c r="Q19" s="131">
        <v>2.1299999999999999E-2</v>
      </c>
      <c r="R19" s="131">
        <v>2.1299999999999999E-2</v>
      </c>
      <c r="S19" s="131">
        <v>2.1299999999999999E-2</v>
      </c>
      <c r="T19" s="131">
        <v>2.1299999999999999E-2</v>
      </c>
      <c r="U19" s="131">
        <v>2.1299999999999999E-2</v>
      </c>
      <c r="W19" s="140">
        <v>-4</v>
      </c>
      <c r="X19" s="139" t="s">
        <v>319</v>
      </c>
      <c r="Y19" s="139"/>
      <c r="Z19" s="149">
        <v>0.11940000000000001</v>
      </c>
      <c r="AA19" s="149">
        <v>0.11940000000000001</v>
      </c>
      <c r="AB19" s="149">
        <v>0.11940000000000001</v>
      </c>
      <c r="AC19" s="149">
        <v>0.11940000000000001</v>
      </c>
      <c r="AD19" s="149">
        <v>0.11940000000000001</v>
      </c>
      <c r="AE19" s="149">
        <v>0.11940000000000001</v>
      </c>
      <c r="AF19" s="149">
        <v>0.11940000000000001</v>
      </c>
      <c r="AH19" s="127">
        <v>-4</v>
      </c>
      <c r="AI19" s="122" t="s">
        <v>319</v>
      </c>
      <c r="AJ19" s="122"/>
      <c r="AK19" s="131">
        <v>2.1299999999999999E-2</v>
      </c>
      <c r="AL19" s="131">
        <v>2.1299999999999999E-2</v>
      </c>
      <c r="AM19" s="131">
        <v>2.1299999999999999E-2</v>
      </c>
      <c r="AN19" s="131">
        <v>2.1299999999999999E-2</v>
      </c>
      <c r="AO19" s="131">
        <v>2.1299999999999999E-2</v>
      </c>
      <c r="AP19" s="131">
        <v>2.1299999999999999E-2</v>
      </c>
      <c r="AQ19" s="131">
        <v>2.1299999999999999E-2</v>
      </c>
      <c r="AS19" s="140">
        <v>-4</v>
      </c>
      <c r="AT19" s="139" t="s">
        <v>319</v>
      </c>
      <c r="AU19" s="139"/>
      <c r="AV19" s="149">
        <v>0.11940000000000001</v>
      </c>
      <c r="AW19" s="149">
        <v>0.11940000000000001</v>
      </c>
      <c r="AX19" s="149">
        <v>0.11940000000000001</v>
      </c>
      <c r="AY19" s="149">
        <v>0.11940000000000001</v>
      </c>
      <c r="AZ19" s="149">
        <v>0.11940000000000001</v>
      </c>
      <c r="BA19" s="149">
        <v>0.11940000000000001</v>
      </c>
      <c r="BC19" s="127">
        <v>-4</v>
      </c>
      <c r="BD19" s="122" t="s">
        <v>319</v>
      </c>
      <c r="BE19" s="122"/>
      <c r="BF19" s="131">
        <v>2.1299999999999999E-2</v>
      </c>
      <c r="BG19" s="131">
        <v>2.1299999999999999E-2</v>
      </c>
      <c r="BH19" s="131">
        <v>2.1299999999999999E-2</v>
      </c>
      <c r="BI19" s="131">
        <v>2.1299999999999999E-2</v>
      </c>
      <c r="BJ19" s="131">
        <v>2.1299999999999999E-2</v>
      </c>
      <c r="BK19" s="131">
        <v>2.1299999999999999E-2</v>
      </c>
      <c r="BL19" s="131">
        <v>2.1299999999999999E-2</v>
      </c>
    </row>
    <row r="20" spans="1:64">
      <c r="A20" s="140">
        <v>-5</v>
      </c>
      <c r="B20" s="139" t="s">
        <v>76</v>
      </c>
      <c r="C20" s="139"/>
      <c r="D20" s="149">
        <v>0.84809999999999997</v>
      </c>
      <c r="E20" s="149">
        <v>0.84809999999999997</v>
      </c>
      <c r="F20" s="149">
        <v>0.84809999999999997</v>
      </c>
      <c r="G20" s="149">
        <v>0.84809999999999997</v>
      </c>
      <c r="H20" s="149">
        <v>0.84809999999999997</v>
      </c>
      <c r="I20" s="149">
        <v>0.84809999999999997</v>
      </c>
      <c r="J20" s="149">
        <v>0.84809999999999997</v>
      </c>
      <c r="L20" s="127">
        <v>-5</v>
      </c>
      <c r="M20" s="122" t="s">
        <v>76</v>
      </c>
      <c r="N20" s="122"/>
      <c r="O20" s="131">
        <v>0.36910000000000004</v>
      </c>
      <c r="P20" s="131">
        <v>0.36910000000000004</v>
      </c>
      <c r="Q20" s="131">
        <v>0.36910000000000004</v>
      </c>
      <c r="R20" s="131">
        <v>0.36910000000000004</v>
      </c>
      <c r="S20" s="131">
        <v>0.36910000000000004</v>
      </c>
      <c r="T20" s="131">
        <v>0.36910000000000004</v>
      </c>
      <c r="U20" s="131">
        <v>0.36910000000000004</v>
      </c>
      <c r="W20" s="140">
        <v>-5</v>
      </c>
      <c r="X20" s="139" t="s">
        <v>76</v>
      </c>
      <c r="Y20" s="139"/>
      <c r="Z20" s="149">
        <v>0.84809999999999997</v>
      </c>
      <c r="AA20" s="149">
        <v>0.84809999999999997</v>
      </c>
      <c r="AB20" s="149">
        <v>0.84809999999999997</v>
      </c>
      <c r="AC20" s="149">
        <v>0.84809999999999997</v>
      </c>
      <c r="AD20" s="149">
        <v>0.84809999999999997</v>
      </c>
      <c r="AE20" s="149">
        <v>0.84809999999999997</v>
      </c>
      <c r="AF20" s="149">
        <v>0.84809999999999997</v>
      </c>
      <c r="AH20" s="127">
        <v>-5</v>
      </c>
      <c r="AI20" s="122" t="s">
        <v>76</v>
      </c>
      <c r="AJ20" s="122"/>
      <c r="AK20" s="131">
        <v>0.36909999999999998</v>
      </c>
      <c r="AL20" s="131">
        <v>0.36909999999999998</v>
      </c>
      <c r="AM20" s="131">
        <v>0.36909999999999998</v>
      </c>
      <c r="AN20" s="131">
        <v>0.36909999999999998</v>
      </c>
      <c r="AO20" s="131">
        <v>0.36909999999999998</v>
      </c>
      <c r="AP20" s="131">
        <v>0.36909999999999998</v>
      </c>
      <c r="AQ20" s="131">
        <v>0.36909999999999998</v>
      </c>
      <c r="AS20" s="140">
        <v>-5</v>
      </c>
      <c r="AT20" s="139" t="s">
        <v>76</v>
      </c>
      <c r="AU20" s="139"/>
      <c r="AV20" s="149">
        <v>0.84809999999999997</v>
      </c>
      <c r="AW20" s="149">
        <v>0.84809999999999997</v>
      </c>
      <c r="AX20" s="149">
        <v>0.84809999999999997</v>
      </c>
      <c r="AY20" s="149">
        <v>0.84809999999999997</v>
      </c>
      <c r="AZ20" s="149">
        <v>0.84809999999999997</v>
      </c>
      <c r="BA20" s="149">
        <v>0.84809999999999997</v>
      </c>
      <c r="BC20" s="127">
        <v>-5</v>
      </c>
      <c r="BD20" s="122" t="s">
        <v>76</v>
      </c>
      <c r="BE20" s="122"/>
      <c r="BF20" s="131">
        <v>0.36909999999999998</v>
      </c>
      <c r="BG20" s="131">
        <v>0.36909999999999998</v>
      </c>
      <c r="BH20" s="131">
        <v>0.36909999999999998</v>
      </c>
      <c r="BI20" s="131">
        <v>0.36909999999999998</v>
      </c>
      <c r="BJ20" s="131">
        <v>0.36909999999999998</v>
      </c>
      <c r="BK20" s="131">
        <v>0.36909999999999998</v>
      </c>
      <c r="BL20" s="131">
        <v>0.36909999999999998</v>
      </c>
    </row>
    <row r="21" spans="1:64">
      <c r="A21" s="140">
        <v>-6</v>
      </c>
      <c r="B21" s="139" t="s">
        <v>320</v>
      </c>
      <c r="C21" s="139"/>
      <c r="D21" s="149">
        <v>0.20419999999999999</v>
      </c>
      <c r="E21" s="149">
        <v>0.20419999999999999</v>
      </c>
      <c r="F21" s="149">
        <v>0.20419999999999999</v>
      </c>
      <c r="G21" s="149">
        <v>0.20419999999999999</v>
      </c>
      <c r="H21" s="149">
        <v>0.20419999999999999</v>
      </c>
      <c r="I21" s="149">
        <v>0.20419999999999999</v>
      </c>
      <c r="J21" s="149">
        <v>0.20419999999999999</v>
      </c>
      <c r="L21" s="127">
        <v>-6</v>
      </c>
      <c r="M21" s="122" t="s">
        <v>320</v>
      </c>
      <c r="N21" s="122"/>
      <c r="O21" s="131">
        <v>0.20419999999999999</v>
      </c>
      <c r="P21" s="131">
        <v>0.20419999999999999</v>
      </c>
      <c r="Q21" s="131">
        <v>0.20419999999999999</v>
      </c>
      <c r="R21" s="131">
        <v>0.20419999999999999</v>
      </c>
      <c r="S21" s="131">
        <v>0.20419999999999999</v>
      </c>
      <c r="T21" s="131">
        <v>0.20419999999999999</v>
      </c>
      <c r="U21" s="131">
        <v>0.20419999999999999</v>
      </c>
      <c r="W21" s="140">
        <v>-6</v>
      </c>
      <c r="X21" s="139" t="s">
        <v>320</v>
      </c>
      <c r="Y21" s="139"/>
      <c r="Z21" s="149">
        <v>0.20419999999999999</v>
      </c>
      <c r="AA21" s="149">
        <v>0.20419999999999999</v>
      </c>
      <c r="AB21" s="149">
        <v>0.20419999999999999</v>
      </c>
      <c r="AC21" s="149">
        <v>0.20419999999999999</v>
      </c>
      <c r="AD21" s="149">
        <v>0.20419999999999999</v>
      </c>
      <c r="AE21" s="149">
        <v>0.20419999999999999</v>
      </c>
      <c r="AF21" s="149">
        <v>0.20419999999999999</v>
      </c>
      <c r="AH21" s="127">
        <v>-6</v>
      </c>
      <c r="AI21" s="122" t="s">
        <v>320</v>
      </c>
      <c r="AJ21" s="122"/>
      <c r="AK21" s="131">
        <v>0.20419999999999999</v>
      </c>
      <c r="AL21" s="131">
        <v>0.20419999999999999</v>
      </c>
      <c r="AM21" s="131">
        <v>0.20419999999999999</v>
      </c>
      <c r="AN21" s="131">
        <v>0.20419999999999999</v>
      </c>
      <c r="AO21" s="131">
        <v>0.20419999999999999</v>
      </c>
      <c r="AP21" s="131">
        <v>0.20419999999999999</v>
      </c>
      <c r="AQ21" s="131">
        <v>0.20419999999999999</v>
      </c>
      <c r="AS21" s="140">
        <v>-6</v>
      </c>
      <c r="AT21" s="139" t="s">
        <v>320</v>
      </c>
      <c r="AU21" s="139"/>
      <c r="AV21" s="149">
        <v>0.20419999999999999</v>
      </c>
      <c r="AW21" s="149">
        <v>0.20419999999999999</v>
      </c>
      <c r="AX21" s="149">
        <v>0.20419999999999999</v>
      </c>
      <c r="AY21" s="149">
        <v>0.20419999999999999</v>
      </c>
      <c r="AZ21" s="149">
        <v>0.20419999999999999</v>
      </c>
      <c r="BA21" s="149">
        <v>0.20419999999999999</v>
      </c>
      <c r="BC21" s="127">
        <v>-6</v>
      </c>
      <c r="BD21" s="122" t="s">
        <v>320</v>
      </c>
      <c r="BE21" s="122"/>
      <c r="BF21" s="131">
        <v>0.20419999999999999</v>
      </c>
      <c r="BG21" s="131">
        <v>0.20419999999999999</v>
      </c>
      <c r="BH21" s="131">
        <v>0.20419999999999999</v>
      </c>
      <c r="BI21" s="131">
        <v>0.20419999999999999</v>
      </c>
      <c r="BJ21" s="131">
        <v>0.20419999999999999</v>
      </c>
      <c r="BK21" s="131">
        <v>0.20419999999999999</v>
      </c>
      <c r="BL21" s="131">
        <v>0.20419999999999999</v>
      </c>
    </row>
    <row r="22" spans="1:64">
      <c r="A22" s="140">
        <v>-7</v>
      </c>
      <c r="B22" s="139" t="s">
        <v>321</v>
      </c>
      <c r="C22" s="139"/>
      <c r="D22" s="150">
        <v>0.48039999999999999</v>
      </c>
      <c r="E22" s="150">
        <v>0.48039999999999999</v>
      </c>
      <c r="F22" s="150">
        <v>0.48039999999999999</v>
      </c>
      <c r="G22" s="150">
        <v>0.48039999999999999</v>
      </c>
      <c r="H22" s="150">
        <v>0.48039999999999999</v>
      </c>
      <c r="I22" s="150">
        <v>0.48039999999999999</v>
      </c>
      <c r="J22" s="150">
        <v>0.48039999999999999</v>
      </c>
      <c r="L22" s="127">
        <v>-7</v>
      </c>
      <c r="M22" s="122" t="s">
        <v>321</v>
      </c>
      <c r="N22" s="122"/>
      <c r="O22" s="132">
        <v>0.48039999999999999</v>
      </c>
      <c r="P22" s="132">
        <v>0.48039999999999999</v>
      </c>
      <c r="Q22" s="132">
        <v>0.48039999999999999</v>
      </c>
      <c r="R22" s="132">
        <v>0.48039999999999999</v>
      </c>
      <c r="S22" s="132">
        <v>0.48039999999999999</v>
      </c>
      <c r="T22" s="132">
        <v>0.48039999999999999</v>
      </c>
      <c r="U22" s="132">
        <v>0.48039999999999999</v>
      </c>
      <c r="W22" s="140">
        <v>-7</v>
      </c>
      <c r="X22" s="139" t="s">
        <v>321</v>
      </c>
      <c r="Y22" s="139"/>
      <c r="Z22" s="150">
        <v>0.3271</v>
      </c>
      <c r="AA22" s="150">
        <v>0.3271</v>
      </c>
      <c r="AB22" s="150">
        <v>0.3271</v>
      </c>
      <c r="AC22" s="150">
        <v>0.3271</v>
      </c>
      <c r="AD22" s="150">
        <v>0.3271</v>
      </c>
      <c r="AE22" s="150">
        <v>0.3271</v>
      </c>
      <c r="AF22" s="149">
        <v>0.3271</v>
      </c>
      <c r="AH22" s="127">
        <v>-7</v>
      </c>
      <c r="AI22" s="122" t="s">
        <v>321</v>
      </c>
      <c r="AJ22" s="122"/>
      <c r="AK22" s="132">
        <v>0.3271</v>
      </c>
      <c r="AL22" s="132">
        <v>0.3271</v>
      </c>
      <c r="AM22" s="132">
        <v>0.3271</v>
      </c>
      <c r="AN22" s="132">
        <v>0.3271</v>
      </c>
      <c r="AO22" s="132">
        <v>0.3271</v>
      </c>
      <c r="AP22" s="132">
        <v>0.3271</v>
      </c>
      <c r="AQ22" s="132">
        <v>0.3271</v>
      </c>
      <c r="AS22" s="140">
        <v>-7</v>
      </c>
      <c r="AT22" s="139" t="s">
        <v>321</v>
      </c>
      <c r="AU22" s="139"/>
      <c r="AV22" s="150">
        <v>0.36669999999999997</v>
      </c>
      <c r="AW22" s="150">
        <v>0.36669999999999997</v>
      </c>
      <c r="AX22" s="150">
        <v>0.36669999999999997</v>
      </c>
      <c r="AY22" s="150">
        <v>0.36669999999999997</v>
      </c>
      <c r="AZ22" s="150">
        <v>0.36669999999999997</v>
      </c>
      <c r="BA22" s="150">
        <v>0.36669999999999997</v>
      </c>
      <c r="BC22" s="154">
        <v>-7</v>
      </c>
      <c r="BD22" s="155" t="s">
        <v>321</v>
      </c>
      <c r="BE22" s="155"/>
      <c r="BF22" s="132">
        <v>0.36669999999999997</v>
      </c>
      <c r="BG22" s="132">
        <v>0.36669999999999997</v>
      </c>
      <c r="BH22" s="132">
        <v>0.36669999999999997</v>
      </c>
      <c r="BI22" s="132">
        <v>0.36669999999999997</v>
      </c>
      <c r="BJ22" s="132">
        <v>0.36669999999999997</v>
      </c>
      <c r="BK22" s="132">
        <v>0.36669999999999997</v>
      </c>
      <c r="BL22" s="132">
        <v>0.36669999999999997</v>
      </c>
    </row>
    <row r="23" spans="1:64">
      <c r="A23" s="140">
        <v>-8</v>
      </c>
      <c r="B23" s="139" t="s">
        <v>322</v>
      </c>
      <c r="C23" s="139"/>
      <c r="D23" s="133">
        <v>42.41</v>
      </c>
      <c r="E23" s="133">
        <v>84.81</v>
      </c>
      <c r="F23" s="133">
        <v>90.87</v>
      </c>
      <c r="G23" s="133">
        <v>126.52</v>
      </c>
      <c r="H23" s="133">
        <v>212.03</v>
      </c>
      <c r="I23" s="133">
        <v>254.43</v>
      </c>
      <c r="J23" s="133">
        <v>339.24</v>
      </c>
      <c r="L23" s="127">
        <v>-8</v>
      </c>
      <c r="M23" s="122" t="s">
        <v>322</v>
      </c>
      <c r="N23" s="122"/>
      <c r="O23" s="133">
        <v>7.38</v>
      </c>
      <c r="P23" s="133">
        <v>11.07</v>
      </c>
      <c r="Q23" s="133">
        <v>8.49</v>
      </c>
      <c r="R23" s="133">
        <v>17.079999999999998</v>
      </c>
      <c r="S23" s="133">
        <v>44.29</v>
      </c>
      <c r="T23" s="133">
        <v>59.06</v>
      </c>
      <c r="U23" s="133">
        <v>73.819999999999993</v>
      </c>
      <c r="W23" s="140">
        <v>-8</v>
      </c>
      <c r="X23" s="139" t="s">
        <v>322</v>
      </c>
      <c r="Y23" s="139"/>
      <c r="Z23" s="133">
        <v>42.41</v>
      </c>
      <c r="AA23" s="133">
        <v>84.81</v>
      </c>
      <c r="AB23" s="133">
        <v>90.87</v>
      </c>
      <c r="AC23" s="133">
        <v>126.52</v>
      </c>
      <c r="AD23" s="133">
        <v>212.03</v>
      </c>
      <c r="AE23" s="133">
        <v>254.43</v>
      </c>
      <c r="AF23" s="133">
        <v>339.24</v>
      </c>
      <c r="AH23" s="127">
        <v>-8</v>
      </c>
      <c r="AI23" s="122" t="s">
        <v>322</v>
      </c>
      <c r="AJ23" s="122"/>
      <c r="AK23" s="133">
        <v>7.38</v>
      </c>
      <c r="AL23" s="133">
        <v>11.07</v>
      </c>
      <c r="AM23" s="133">
        <v>8.49</v>
      </c>
      <c r="AN23" s="133">
        <v>17.079999999999998</v>
      </c>
      <c r="AO23" s="133">
        <v>44.29</v>
      </c>
      <c r="AP23" s="133">
        <v>59.06</v>
      </c>
      <c r="AQ23" s="133">
        <v>73.819999999999993</v>
      </c>
      <c r="AS23" s="140">
        <v>-8</v>
      </c>
      <c r="AT23" s="139" t="s">
        <v>322</v>
      </c>
      <c r="AU23" s="139"/>
      <c r="AV23" s="133">
        <v>42.41</v>
      </c>
      <c r="AW23" s="133">
        <v>84.81</v>
      </c>
      <c r="AX23" s="133">
        <v>90.87</v>
      </c>
      <c r="AY23" s="133">
        <v>126.52</v>
      </c>
      <c r="AZ23" s="133">
        <v>212.03</v>
      </c>
      <c r="BA23" s="133">
        <v>254.43</v>
      </c>
      <c r="BC23" s="127">
        <v>-8</v>
      </c>
      <c r="BD23" s="122" t="s">
        <v>322</v>
      </c>
      <c r="BE23" s="122"/>
      <c r="BF23" s="133">
        <v>7.38</v>
      </c>
      <c r="BG23" s="133">
        <v>11.07</v>
      </c>
      <c r="BH23" s="133">
        <v>8.49</v>
      </c>
      <c r="BI23" s="133">
        <v>17.079999999999998</v>
      </c>
      <c r="BJ23" s="133">
        <v>44.29</v>
      </c>
      <c r="BK23" s="133">
        <v>59.06</v>
      </c>
      <c r="BL23" s="133">
        <v>73.819999999999993</v>
      </c>
    </row>
    <row r="24" spans="1:64">
      <c r="A24" s="140">
        <v>-9</v>
      </c>
      <c r="B24" s="139" t="s">
        <v>323</v>
      </c>
      <c r="C24" s="139"/>
      <c r="D24" s="133">
        <v>10.210000000000001</v>
      </c>
      <c r="E24" s="133">
        <v>20.420000000000002</v>
      </c>
      <c r="F24" s="133">
        <v>21.88</v>
      </c>
      <c r="G24" s="133">
        <v>30.46</v>
      </c>
      <c r="H24" s="133">
        <v>51.05</v>
      </c>
      <c r="I24" s="133">
        <v>61.26</v>
      </c>
      <c r="J24" s="133">
        <v>81.680000000000007</v>
      </c>
      <c r="L24" s="127">
        <v>-9</v>
      </c>
      <c r="M24" s="122" t="s">
        <v>323</v>
      </c>
      <c r="N24" s="122"/>
      <c r="O24" s="133">
        <v>4.08</v>
      </c>
      <c r="P24" s="133">
        <v>6.13</v>
      </c>
      <c r="Q24" s="133">
        <v>4.7</v>
      </c>
      <c r="R24" s="133">
        <v>9.4499999999999993</v>
      </c>
      <c r="S24" s="133">
        <v>24.5</v>
      </c>
      <c r="T24" s="133">
        <v>32.67</v>
      </c>
      <c r="U24" s="133">
        <v>40.840000000000003</v>
      </c>
      <c r="W24" s="140">
        <v>-9</v>
      </c>
      <c r="X24" s="139" t="s">
        <v>323</v>
      </c>
      <c r="Y24" s="139"/>
      <c r="Z24" s="133">
        <v>10.210000000000001</v>
      </c>
      <c r="AA24" s="133">
        <v>20.420000000000002</v>
      </c>
      <c r="AB24" s="133">
        <v>21.88</v>
      </c>
      <c r="AC24" s="133">
        <v>30.46</v>
      </c>
      <c r="AD24" s="133">
        <v>51.05</v>
      </c>
      <c r="AE24" s="133">
        <v>61.26</v>
      </c>
      <c r="AF24" s="133">
        <v>81.680000000000007</v>
      </c>
      <c r="AH24" s="127">
        <v>-9</v>
      </c>
      <c r="AI24" s="122" t="s">
        <v>323</v>
      </c>
      <c r="AJ24" s="122"/>
      <c r="AK24" s="133">
        <v>4.08</v>
      </c>
      <c r="AL24" s="133">
        <v>6.13</v>
      </c>
      <c r="AM24" s="133">
        <v>4.7</v>
      </c>
      <c r="AN24" s="133">
        <v>9.4499999999999993</v>
      </c>
      <c r="AO24" s="133">
        <v>24.5</v>
      </c>
      <c r="AP24" s="133">
        <v>32.67</v>
      </c>
      <c r="AQ24" s="133">
        <v>40.840000000000003</v>
      </c>
      <c r="AS24" s="140">
        <v>-9</v>
      </c>
      <c r="AT24" s="139" t="s">
        <v>323</v>
      </c>
      <c r="AU24" s="139"/>
      <c r="AV24" s="133">
        <v>10.210000000000001</v>
      </c>
      <c r="AW24" s="133">
        <v>20.420000000000002</v>
      </c>
      <c r="AX24" s="133">
        <v>21.88</v>
      </c>
      <c r="AY24" s="133">
        <v>30.46</v>
      </c>
      <c r="AZ24" s="133">
        <v>51.05</v>
      </c>
      <c r="BA24" s="133">
        <v>61.26</v>
      </c>
      <c r="BC24" s="127">
        <v>-9</v>
      </c>
      <c r="BD24" s="122" t="s">
        <v>323</v>
      </c>
      <c r="BE24" s="122"/>
      <c r="BF24" s="133">
        <v>4.08</v>
      </c>
      <c r="BG24" s="133">
        <v>6.13</v>
      </c>
      <c r="BH24" s="133">
        <v>4.7</v>
      </c>
      <c r="BI24" s="133">
        <v>9.4499999999999993</v>
      </c>
      <c r="BJ24" s="133">
        <v>24.5</v>
      </c>
      <c r="BK24" s="133">
        <v>32.67</v>
      </c>
      <c r="BL24" s="133">
        <v>40.840000000000003</v>
      </c>
    </row>
    <row r="25" spans="1:64">
      <c r="A25" s="140">
        <v>-10</v>
      </c>
      <c r="B25" s="139" t="s">
        <v>324</v>
      </c>
      <c r="C25" s="139"/>
      <c r="D25" s="133">
        <v>24.02</v>
      </c>
      <c r="E25" s="133">
        <v>48.04</v>
      </c>
      <c r="F25" s="133">
        <v>51.47</v>
      </c>
      <c r="G25" s="133">
        <v>71.67</v>
      </c>
      <c r="H25" s="133">
        <v>120.1</v>
      </c>
      <c r="I25" s="133">
        <v>144.12</v>
      </c>
      <c r="J25" s="133">
        <v>192.16</v>
      </c>
      <c r="L25" s="127">
        <v>-10</v>
      </c>
      <c r="M25" s="122" t="s">
        <v>324</v>
      </c>
      <c r="N25" s="122"/>
      <c r="O25" s="133">
        <v>9.61</v>
      </c>
      <c r="P25" s="133">
        <v>14.41</v>
      </c>
      <c r="Q25" s="133">
        <v>11.05</v>
      </c>
      <c r="R25" s="133">
        <v>22.23</v>
      </c>
      <c r="S25" s="133">
        <v>57.65</v>
      </c>
      <c r="T25" s="133">
        <v>76.86</v>
      </c>
      <c r="U25" s="133">
        <v>96.08</v>
      </c>
      <c r="W25" s="140">
        <v>-10</v>
      </c>
      <c r="X25" s="139" t="s">
        <v>324</v>
      </c>
      <c r="Y25" s="139"/>
      <c r="Z25" s="133">
        <v>16.36</v>
      </c>
      <c r="AA25" s="133">
        <v>32.71</v>
      </c>
      <c r="AB25" s="133">
        <v>35.049999999999997</v>
      </c>
      <c r="AC25" s="133">
        <v>48.8</v>
      </c>
      <c r="AD25" s="133">
        <v>81.78</v>
      </c>
      <c r="AE25" s="133">
        <v>98.13</v>
      </c>
      <c r="AF25" s="133">
        <v>130.84</v>
      </c>
      <c r="AH25" s="127">
        <v>-10</v>
      </c>
      <c r="AI25" s="122" t="s">
        <v>324</v>
      </c>
      <c r="AJ25" s="122"/>
      <c r="AK25" s="133">
        <v>6.54</v>
      </c>
      <c r="AL25" s="133">
        <v>9.81</v>
      </c>
      <c r="AM25" s="133">
        <v>7.53</v>
      </c>
      <c r="AN25" s="133">
        <v>15.13</v>
      </c>
      <c r="AO25" s="133">
        <v>39.25</v>
      </c>
      <c r="AP25" s="133">
        <v>52.34</v>
      </c>
      <c r="AQ25" s="133">
        <v>65.42</v>
      </c>
      <c r="AS25" s="140">
        <v>-10</v>
      </c>
      <c r="AT25" s="139" t="s">
        <v>324</v>
      </c>
      <c r="AU25" s="139"/>
      <c r="AV25" s="133">
        <v>18.34</v>
      </c>
      <c r="AW25" s="133">
        <v>36.67</v>
      </c>
      <c r="AX25" s="133">
        <v>39.29</v>
      </c>
      <c r="AY25" s="133">
        <v>54.7</v>
      </c>
      <c r="AZ25" s="133">
        <v>91.68</v>
      </c>
      <c r="BA25" s="133">
        <v>110.01</v>
      </c>
      <c r="BC25" s="127">
        <v>-10</v>
      </c>
      <c r="BD25" s="122" t="s">
        <v>324</v>
      </c>
      <c r="BE25" s="122"/>
      <c r="BF25" s="133">
        <v>7.33</v>
      </c>
      <c r="BG25" s="133">
        <v>11</v>
      </c>
      <c r="BH25" s="133">
        <v>8.44</v>
      </c>
      <c r="BI25" s="133">
        <v>16.97</v>
      </c>
      <c r="BJ25" s="133">
        <v>44</v>
      </c>
      <c r="BK25" s="133">
        <v>58.67</v>
      </c>
      <c r="BL25" s="133">
        <v>73.34</v>
      </c>
    </row>
    <row r="26" spans="1:64">
      <c r="A26" s="140">
        <v>-11</v>
      </c>
      <c r="B26" s="139" t="s">
        <v>325</v>
      </c>
      <c r="C26" s="139"/>
      <c r="D26" s="133">
        <v>43.03</v>
      </c>
      <c r="E26" s="133">
        <v>86.06</v>
      </c>
      <c r="F26" s="133">
        <v>92.21</v>
      </c>
      <c r="G26" s="133">
        <v>128.38</v>
      </c>
      <c r="H26" s="133">
        <v>215.15</v>
      </c>
      <c r="I26" s="133">
        <v>258.18</v>
      </c>
      <c r="J26" s="133">
        <v>344.24</v>
      </c>
      <c r="L26" s="127">
        <v>-11</v>
      </c>
      <c r="M26" s="122" t="s">
        <v>325</v>
      </c>
      <c r="N26" s="122"/>
      <c r="O26" s="133">
        <v>9.9499999999999993</v>
      </c>
      <c r="P26" s="133">
        <v>14.93</v>
      </c>
      <c r="Q26" s="133">
        <v>11.45</v>
      </c>
      <c r="R26" s="133">
        <v>23.02</v>
      </c>
      <c r="S26" s="133">
        <v>59.71</v>
      </c>
      <c r="T26" s="133">
        <v>79.62</v>
      </c>
      <c r="U26" s="133">
        <v>99.52</v>
      </c>
      <c r="W26" s="140">
        <v>-11</v>
      </c>
      <c r="X26" s="139" t="s">
        <v>325</v>
      </c>
      <c r="Y26" s="139"/>
      <c r="Z26" s="133">
        <v>43.03</v>
      </c>
      <c r="AA26" s="133">
        <v>86.06</v>
      </c>
      <c r="AB26" s="133">
        <v>92.21</v>
      </c>
      <c r="AC26" s="133">
        <v>128.38</v>
      </c>
      <c r="AD26" s="133">
        <v>215.15</v>
      </c>
      <c r="AE26" s="133">
        <v>258.18</v>
      </c>
      <c r="AF26" s="133">
        <v>344.24</v>
      </c>
      <c r="AH26" s="127">
        <v>-11</v>
      </c>
      <c r="AI26" s="122" t="s">
        <v>325</v>
      </c>
      <c r="AJ26" s="122"/>
      <c r="AK26" s="133">
        <v>9.9499999999999993</v>
      </c>
      <c r="AL26" s="133">
        <v>14.93</v>
      </c>
      <c r="AM26" s="133">
        <v>11.45</v>
      </c>
      <c r="AN26" s="133">
        <v>23.02</v>
      </c>
      <c r="AO26" s="133">
        <v>59.71</v>
      </c>
      <c r="AP26" s="133">
        <v>79.62</v>
      </c>
      <c r="AQ26" s="133">
        <v>99.52</v>
      </c>
      <c r="AS26" s="140">
        <v>-11</v>
      </c>
      <c r="AT26" s="139" t="s">
        <v>325</v>
      </c>
      <c r="AU26" s="139"/>
      <c r="AV26" s="133">
        <v>43.03</v>
      </c>
      <c r="AW26" s="133">
        <v>86.06</v>
      </c>
      <c r="AX26" s="133">
        <v>92.21</v>
      </c>
      <c r="AY26" s="133">
        <v>128.38</v>
      </c>
      <c r="AZ26" s="133">
        <v>215.15</v>
      </c>
      <c r="BA26" s="133">
        <v>258.18</v>
      </c>
      <c r="BC26" s="127">
        <v>-11</v>
      </c>
      <c r="BD26" s="122" t="s">
        <v>325</v>
      </c>
      <c r="BE26" s="122"/>
      <c r="BF26" s="133">
        <v>9.9499999999999993</v>
      </c>
      <c r="BG26" s="133">
        <v>14.93</v>
      </c>
      <c r="BH26" s="133">
        <v>11.45</v>
      </c>
      <c r="BI26" s="133">
        <v>23.02</v>
      </c>
      <c r="BJ26" s="133">
        <v>59.71</v>
      </c>
      <c r="BK26" s="133">
        <v>79.62</v>
      </c>
      <c r="BL26" s="133">
        <v>99.52</v>
      </c>
    </row>
    <row r="27" spans="1:64">
      <c r="A27" s="140">
        <v>-12</v>
      </c>
      <c r="B27" s="139" t="s">
        <v>326</v>
      </c>
      <c r="C27" s="139"/>
      <c r="D27" s="133">
        <v>5.97</v>
      </c>
      <c r="E27" s="133">
        <v>11.94</v>
      </c>
      <c r="F27" s="133">
        <v>12.79</v>
      </c>
      <c r="G27" s="133">
        <v>17.809999999999999</v>
      </c>
      <c r="H27" s="133">
        <v>29.85</v>
      </c>
      <c r="I27" s="133">
        <v>35.82</v>
      </c>
      <c r="J27" s="133">
        <v>47.76</v>
      </c>
      <c r="L27" s="127">
        <v>-12</v>
      </c>
      <c r="M27" s="128" t="s">
        <v>326</v>
      </c>
      <c r="N27" s="122"/>
      <c r="O27" s="133">
        <v>0.43</v>
      </c>
      <c r="P27" s="133">
        <v>0.64</v>
      </c>
      <c r="Q27" s="133">
        <v>0.49</v>
      </c>
      <c r="R27" s="133">
        <v>0.99</v>
      </c>
      <c r="S27" s="133">
        <v>2.56</v>
      </c>
      <c r="T27" s="133">
        <v>3.41</v>
      </c>
      <c r="U27" s="133">
        <v>4.26</v>
      </c>
      <c r="W27" s="140">
        <v>-12</v>
      </c>
      <c r="X27" s="139" t="s">
        <v>326</v>
      </c>
      <c r="Y27" s="139"/>
      <c r="Z27" s="133">
        <v>5.97</v>
      </c>
      <c r="AA27" s="133">
        <v>11.94</v>
      </c>
      <c r="AB27" s="133">
        <v>12.79</v>
      </c>
      <c r="AC27" s="133">
        <v>17.809999999999999</v>
      </c>
      <c r="AD27" s="133">
        <v>29.85</v>
      </c>
      <c r="AE27" s="133">
        <v>35.82</v>
      </c>
      <c r="AF27" s="133">
        <v>47.76</v>
      </c>
      <c r="AH27" s="127">
        <v>-12</v>
      </c>
      <c r="AI27" s="128" t="s">
        <v>326</v>
      </c>
      <c r="AJ27" s="122"/>
      <c r="AK27" s="133">
        <v>0.43</v>
      </c>
      <c r="AL27" s="133">
        <v>0.64</v>
      </c>
      <c r="AM27" s="133">
        <v>0.49</v>
      </c>
      <c r="AN27" s="133">
        <v>0.99</v>
      </c>
      <c r="AO27" s="133">
        <v>2.56</v>
      </c>
      <c r="AP27" s="133">
        <v>3.41</v>
      </c>
      <c r="AQ27" s="133">
        <v>4.26</v>
      </c>
      <c r="AS27" s="140">
        <v>-12</v>
      </c>
      <c r="AT27" s="139" t="s">
        <v>326</v>
      </c>
      <c r="AU27" s="139"/>
      <c r="AV27" s="133">
        <v>5.97</v>
      </c>
      <c r="AW27" s="133">
        <v>11.94</v>
      </c>
      <c r="AX27" s="133">
        <v>12.79</v>
      </c>
      <c r="AY27" s="133">
        <v>17.809999999999999</v>
      </c>
      <c r="AZ27" s="133">
        <v>29.85</v>
      </c>
      <c r="BA27" s="133">
        <v>35.82</v>
      </c>
      <c r="BC27" s="127">
        <v>-12</v>
      </c>
      <c r="BD27" s="128" t="s">
        <v>326</v>
      </c>
      <c r="BE27" s="122"/>
      <c r="BF27" s="133">
        <v>0.43</v>
      </c>
      <c r="BG27" s="133">
        <v>0.64</v>
      </c>
      <c r="BH27" s="133">
        <v>0.49</v>
      </c>
      <c r="BI27" s="133">
        <v>0.99</v>
      </c>
      <c r="BJ27" s="133">
        <v>2.56</v>
      </c>
      <c r="BK27" s="133">
        <v>3.41</v>
      </c>
      <c r="BL27" s="133">
        <v>4.26</v>
      </c>
    </row>
    <row r="28" spans="1:64">
      <c r="A28" s="140">
        <v>-13</v>
      </c>
      <c r="B28" s="139" t="s">
        <v>72</v>
      </c>
      <c r="C28" s="139"/>
      <c r="D28" s="133">
        <v>12</v>
      </c>
      <c r="E28" s="133">
        <v>12</v>
      </c>
      <c r="F28" s="133">
        <v>12</v>
      </c>
      <c r="G28" s="133">
        <v>12</v>
      </c>
      <c r="H28" s="133">
        <v>12</v>
      </c>
      <c r="I28" s="133">
        <v>12</v>
      </c>
      <c r="J28" s="133">
        <v>12</v>
      </c>
      <c r="L28" s="127">
        <v>-13</v>
      </c>
      <c r="M28" s="122" t="s">
        <v>72</v>
      </c>
      <c r="N28" s="122"/>
      <c r="O28" s="130">
        <v>12</v>
      </c>
      <c r="P28" s="130">
        <v>12</v>
      </c>
      <c r="Q28" s="130">
        <v>12</v>
      </c>
      <c r="R28" s="130">
        <v>12</v>
      </c>
      <c r="S28" s="130">
        <v>12</v>
      </c>
      <c r="T28" s="130">
        <v>12</v>
      </c>
      <c r="U28" s="130">
        <v>12</v>
      </c>
      <c r="W28" s="140">
        <v>-13</v>
      </c>
      <c r="X28" s="139" t="s">
        <v>72</v>
      </c>
      <c r="Y28" s="139"/>
      <c r="Z28" s="133">
        <v>12</v>
      </c>
      <c r="AA28" s="133">
        <v>12</v>
      </c>
      <c r="AB28" s="133">
        <v>12</v>
      </c>
      <c r="AC28" s="133">
        <v>12</v>
      </c>
      <c r="AD28" s="133">
        <v>12</v>
      </c>
      <c r="AE28" s="133">
        <v>12</v>
      </c>
      <c r="AF28" s="133">
        <v>12</v>
      </c>
      <c r="AH28" s="127">
        <v>-13</v>
      </c>
      <c r="AI28" s="122" t="s">
        <v>72</v>
      </c>
      <c r="AJ28" s="122"/>
      <c r="AK28" s="130">
        <v>12</v>
      </c>
      <c r="AL28" s="130">
        <v>12</v>
      </c>
      <c r="AM28" s="130">
        <v>12</v>
      </c>
      <c r="AN28" s="130">
        <v>12</v>
      </c>
      <c r="AO28" s="130">
        <v>12</v>
      </c>
      <c r="AP28" s="130">
        <v>12</v>
      </c>
      <c r="AQ28" s="130">
        <v>12</v>
      </c>
      <c r="AS28" s="140">
        <v>-13</v>
      </c>
      <c r="AT28" s="139" t="s">
        <v>72</v>
      </c>
      <c r="AU28" s="139"/>
      <c r="AV28" s="133">
        <v>12</v>
      </c>
      <c r="AW28" s="133">
        <v>12</v>
      </c>
      <c r="AX28" s="133">
        <v>12</v>
      </c>
      <c r="AY28" s="133">
        <v>12</v>
      </c>
      <c r="AZ28" s="133">
        <v>12</v>
      </c>
      <c r="BA28" s="133">
        <v>12</v>
      </c>
      <c r="BC28" s="127">
        <v>-13</v>
      </c>
      <c r="BD28" s="122" t="s">
        <v>72</v>
      </c>
      <c r="BE28" s="122"/>
      <c r="BF28" s="130">
        <v>12</v>
      </c>
      <c r="BG28" s="130">
        <v>12</v>
      </c>
      <c r="BH28" s="130">
        <v>12</v>
      </c>
      <c r="BI28" s="130">
        <v>12</v>
      </c>
      <c r="BJ28" s="130">
        <v>12</v>
      </c>
      <c r="BK28" s="130">
        <v>12</v>
      </c>
      <c r="BL28" s="130">
        <v>12</v>
      </c>
    </row>
    <row r="29" spans="1:64">
      <c r="A29" s="137"/>
      <c r="B29" s="139"/>
      <c r="C29" s="139"/>
      <c r="D29" s="139"/>
      <c r="E29" s="139"/>
      <c r="F29" s="139"/>
      <c r="G29" s="139"/>
      <c r="H29" s="139"/>
      <c r="I29" s="139"/>
      <c r="J29" s="139"/>
      <c r="L29" s="121"/>
      <c r="M29" s="122"/>
      <c r="N29" s="122"/>
      <c r="O29" s="122"/>
      <c r="P29" s="122"/>
      <c r="Q29" s="122"/>
      <c r="R29" s="122"/>
      <c r="S29" s="122"/>
      <c r="T29" s="122"/>
      <c r="U29" s="122"/>
      <c r="W29" s="137"/>
      <c r="X29" s="139"/>
      <c r="Y29" s="139"/>
      <c r="Z29" s="139"/>
      <c r="AA29" s="139"/>
      <c r="AB29" s="139"/>
      <c r="AC29" s="139"/>
      <c r="AD29" s="139"/>
      <c r="AE29" s="139"/>
      <c r="AF29" s="139"/>
      <c r="AH29" s="121"/>
      <c r="AI29" s="122"/>
      <c r="AJ29" s="122"/>
      <c r="AK29" s="122"/>
      <c r="AL29" s="122"/>
      <c r="AM29" s="122"/>
      <c r="AN29" s="122"/>
      <c r="AO29" s="122"/>
      <c r="AP29" s="122"/>
      <c r="AQ29" s="122"/>
      <c r="AS29" s="137"/>
      <c r="AT29" s="139"/>
      <c r="AU29" s="139"/>
      <c r="AV29" s="139"/>
      <c r="AW29" s="139"/>
      <c r="AX29" s="139"/>
      <c r="AY29" s="139"/>
      <c r="AZ29" s="139"/>
      <c r="BA29" s="139"/>
      <c r="BC29" s="121"/>
      <c r="BD29" s="122"/>
      <c r="BE29" s="122"/>
      <c r="BF29" s="122"/>
      <c r="BG29" s="122"/>
      <c r="BH29" s="122"/>
      <c r="BI29" s="122"/>
      <c r="BJ29" s="122"/>
      <c r="BK29" s="122"/>
      <c r="BL29" s="122"/>
    </row>
    <row r="30" spans="1:64">
      <c r="A30" s="140">
        <v>-14</v>
      </c>
      <c r="B30" s="141" t="s">
        <v>327</v>
      </c>
      <c r="C30" s="141"/>
      <c r="D30" s="151">
        <v>137.63999999999999</v>
      </c>
      <c r="E30" s="151">
        <v>263.27</v>
      </c>
      <c r="F30" s="151">
        <v>281.22000000000003</v>
      </c>
      <c r="G30" s="151">
        <v>386.84</v>
      </c>
      <c r="H30" s="151">
        <v>640.17999999999995</v>
      </c>
      <c r="I30" s="151">
        <v>765.81000000000006</v>
      </c>
      <c r="J30" s="151">
        <v>1017.08</v>
      </c>
      <c r="L30" s="127">
        <v>-14</v>
      </c>
      <c r="M30" s="134" t="s">
        <v>327</v>
      </c>
      <c r="N30" s="134"/>
      <c r="O30" s="135">
        <v>43.45</v>
      </c>
      <c r="P30" s="135">
        <v>59.18</v>
      </c>
      <c r="Q30" s="135">
        <v>48.18</v>
      </c>
      <c r="R30" s="135">
        <v>84.77</v>
      </c>
      <c r="S30" s="135">
        <v>200.71</v>
      </c>
      <c r="T30" s="135">
        <v>263.62</v>
      </c>
      <c r="U30" s="135">
        <v>326.52</v>
      </c>
      <c r="W30" s="140">
        <v>-14</v>
      </c>
      <c r="X30" s="141" t="s">
        <v>327</v>
      </c>
      <c r="Y30" s="141"/>
      <c r="Z30" s="151">
        <v>129.97999999999999</v>
      </c>
      <c r="AA30" s="151">
        <v>247.94</v>
      </c>
      <c r="AB30" s="151">
        <v>264.79999999999995</v>
      </c>
      <c r="AC30" s="151">
        <v>363.96999999999997</v>
      </c>
      <c r="AD30" s="151">
        <v>601.86</v>
      </c>
      <c r="AE30" s="151">
        <v>719.82</v>
      </c>
      <c r="AF30" s="151">
        <v>955.76</v>
      </c>
      <c r="AH30" s="127">
        <v>-14</v>
      </c>
      <c r="AI30" s="134" t="s">
        <v>327</v>
      </c>
      <c r="AJ30" s="134"/>
      <c r="AK30" s="135">
        <v>40.379999999999995</v>
      </c>
      <c r="AL30" s="135">
        <v>54.58</v>
      </c>
      <c r="AM30" s="135">
        <v>44.660000000000004</v>
      </c>
      <c r="AN30" s="135">
        <v>77.669999999999987</v>
      </c>
      <c r="AO30" s="135">
        <v>182.31</v>
      </c>
      <c r="AP30" s="135">
        <v>239.1</v>
      </c>
      <c r="AQ30" s="135">
        <v>295.85999999999996</v>
      </c>
      <c r="AS30" s="140">
        <v>-14</v>
      </c>
      <c r="AT30" s="141" t="s">
        <v>327</v>
      </c>
      <c r="AU30" s="141"/>
      <c r="AV30" s="151">
        <v>131.95999999999998</v>
      </c>
      <c r="AW30" s="151">
        <v>251.9</v>
      </c>
      <c r="AX30" s="151">
        <v>269.04000000000002</v>
      </c>
      <c r="AY30" s="151">
        <v>369.87</v>
      </c>
      <c r="AZ30" s="151">
        <v>611.76</v>
      </c>
      <c r="BA30" s="151">
        <v>731.7</v>
      </c>
      <c r="BC30" s="127">
        <v>-14</v>
      </c>
      <c r="BD30" s="134" t="s">
        <v>327</v>
      </c>
      <c r="BE30" s="134"/>
      <c r="BF30" s="135">
        <v>41.17</v>
      </c>
      <c r="BG30" s="135">
        <v>55.769999999999996</v>
      </c>
      <c r="BH30" s="135">
        <v>45.57</v>
      </c>
      <c r="BI30" s="135">
        <v>79.509999999999991</v>
      </c>
      <c r="BJ30" s="135">
        <v>187.06</v>
      </c>
      <c r="BK30" s="135">
        <v>245.43</v>
      </c>
      <c r="BL30" s="135">
        <v>303.77999999999997</v>
      </c>
    </row>
    <row r="31" spans="1:64">
      <c r="A31" s="137"/>
      <c r="B31" s="141"/>
      <c r="C31" s="141"/>
      <c r="D31" s="151"/>
      <c r="E31" s="151"/>
      <c r="F31" s="151"/>
      <c r="G31" s="151"/>
      <c r="H31" s="151"/>
      <c r="I31" s="151"/>
      <c r="J31" s="151"/>
      <c r="L31" s="121"/>
      <c r="M31" s="134"/>
      <c r="N31" s="134"/>
      <c r="O31" s="135"/>
      <c r="P31" s="135"/>
      <c r="Q31" s="135"/>
      <c r="R31" s="135"/>
      <c r="S31" s="135"/>
      <c r="T31" s="135"/>
      <c r="U31" s="135"/>
      <c r="W31" s="137"/>
      <c r="X31" s="141"/>
      <c r="Y31" s="141"/>
      <c r="Z31" s="151"/>
      <c r="AA31" s="151"/>
      <c r="AB31" s="151"/>
      <c r="AC31" s="151"/>
      <c r="AD31" s="151"/>
      <c r="AE31" s="151"/>
      <c r="AF31" s="151"/>
      <c r="AH31" s="121"/>
      <c r="AI31" s="134"/>
      <c r="AJ31" s="134"/>
      <c r="AK31" s="135"/>
      <c r="AL31" s="135"/>
      <c r="AM31" s="135"/>
      <c r="AN31" s="135"/>
      <c r="AO31" s="135"/>
      <c r="AP31" s="135"/>
      <c r="AQ31" s="135"/>
      <c r="AS31" s="137"/>
      <c r="AT31" s="141"/>
      <c r="AU31" s="141"/>
      <c r="AV31" s="151"/>
      <c r="AW31" s="151"/>
      <c r="AX31" s="151"/>
      <c r="AY31" s="151"/>
      <c r="AZ31" s="151"/>
      <c r="BA31" s="151"/>
      <c r="BC31" s="121"/>
      <c r="BD31" s="134"/>
      <c r="BE31" s="134"/>
      <c r="BF31" s="135"/>
      <c r="BG31" s="135"/>
      <c r="BH31" s="135"/>
      <c r="BI31" s="135"/>
      <c r="BJ31" s="135"/>
      <c r="BK31" s="135"/>
      <c r="BL31" s="135"/>
    </row>
    <row r="32" spans="1:64">
      <c r="A32" s="137"/>
      <c r="B32" s="138" t="s">
        <v>296</v>
      </c>
      <c r="C32" s="141"/>
      <c r="D32" s="151"/>
      <c r="E32" s="151"/>
      <c r="F32" s="151"/>
      <c r="G32" s="151"/>
      <c r="H32" s="151"/>
      <c r="I32" s="151"/>
      <c r="J32" s="151"/>
      <c r="L32" s="121"/>
      <c r="M32" s="125" t="s">
        <v>296</v>
      </c>
      <c r="N32" s="134"/>
      <c r="O32" s="135"/>
      <c r="P32" s="135"/>
      <c r="Q32" s="135"/>
      <c r="R32" s="135"/>
      <c r="S32" s="135"/>
      <c r="T32" s="135"/>
      <c r="U32" s="135"/>
      <c r="W32" s="137"/>
      <c r="X32" s="138" t="s">
        <v>297</v>
      </c>
      <c r="Y32" s="141"/>
      <c r="Z32" s="151"/>
      <c r="AA32" s="151"/>
      <c r="AB32" s="151"/>
      <c r="AC32" s="151"/>
      <c r="AD32" s="151"/>
      <c r="AE32" s="151"/>
      <c r="AF32" s="151"/>
      <c r="AH32" s="121"/>
      <c r="AI32" s="125" t="s">
        <v>297</v>
      </c>
      <c r="AJ32" s="134"/>
      <c r="AK32" s="135"/>
      <c r="AL32" s="135"/>
      <c r="AM32" s="135"/>
      <c r="AN32" s="135"/>
      <c r="AO32" s="135"/>
      <c r="AP32" s="135"/>
      <c r="AQ32" s="135"/>
      <c r="AS32" s="137"/>
      <c r="AT32" s="138" t="s">
        <v>298</v>
      </c>
      <c r="AU32" s="141"/>
      <c r="AV32" s="151"/>
      <c r="AW32" s="151"/>
      <c r="AX32" s="151"/>
      <c r="AY32" s="151"/>
      <c r="AZ32" s="151"/>
      <c r="BA32" s="151"/>
      <c r="BC32" s="121"/>
      <c r="BD32" s="125" t="s">
        <v>298</v>
      </c>
      <c r="BE32" s="134"/>
      <c r="BF32" s="135"/>
      <c r="BG32" s="135"/>
      <c r="BH32" s="135"/>
      <c r="BI32" s="135"/>
      <c r="BJ32" s="135"/>
      <c r="BK32" s="135"/>
      <c r="BL32" s="135"/>
    </row>
    <row r="33" spans="1:64">
      <c r="A33" s="137"/>
      <c r="B33" s="138" t="s">
        <v>328</v>
      </c>
      <c r="C33" s="139"/>
      <c r="D33" s="139"/>
      <c r="E33" s="139"/>
      <c r="F33" s="139"/>
      <c r="G33" s="139"/>
      <c r="H33" s="139"/>
      <c r="I33" s="139"/>
      <c r="J33" s="139"/>
      <c r="L33" s="121"/>
      <c r="M33" s="125" t="s">
        <v>329</v>
      </c>
      <c r="N33" s="122"/>
      <c r="O33" s="122"/>
      <c r="P33" s="122"/>
      <c r="Q33" s="122"/>
      <c r="R33" s="122"/>
      <c r="S33" s="122"/>
      <c r="T33" s="122"/>
      <c r="U33" s="122"/>
      <c r="W33" s="137"/>
      <c r="X33" s="138" t="s">
        <v>299</v>
      </c>
      <c r="Y33" s="139"/>
      <c r="Z33" s="139"/>
      <c r="AA33" s="139"/>
      <c r="AB33" s="139"/>
      <c r="AC33" s="139"/>
      <c r="AD33" s="139"/>
      <c r="AE33" s="139"/>
      <c r="AF33" s="139"/>
      <c r="AH33" s="121"/>
      <c r="AI33" s="125" t="s">
        <v>300</v>
      </c>
      <c r="AJ33" s="122"/>
      <c r="AK33" s="122"/>
      <c r="AL33" s="122"/>
      <c r="AM33" s="122"/>
      <c r="AN33" s="122"/>
      <c r="AO33" s="122"/>
      <c r="AP33" s="122"/>
      <c r="AQ33" s="122"/>
      <c r="AS33" s="137"/>
      <c r="AT33" s="138" t="s">
        <v>301</v>
      </c>
      <c r="AU33" s="139"/>
      <c r="AV33" s="139"/>
      <c r="AW33" s="139"/>
      <c r="AX33" s="139"/>
      <c r="AY33" s="139"/>
      <c r="AZ33" s="139"/>
      <c r="BA33" s="139"/>
      <c r="BC33" s="121"/>
      <c r="BD33" s="125" t="s">
        <v>302</v>
      </c>
      <c r="BE33" s="122"/>
      <c r="BF33" s="122"/>
      <c r="BG33" s="122"/>
      <c r="BH33" s="122"/>
      <c r="BI33" s="122"/>
      <c r="BJ33" s="122"/>
      <c r="BK33" s="122"/>
      <c r="BL33" s="122"/>
    </row>
    <row r="34" spans="1:64">
      <c r="A34" s="137"/>
      <c r="B34" s="138" t="s">
        <v>330</v>
      </c>
      <c r="C34" s="139"/>
      <c r="D34" s="139"/>
      <c r="E34" s="139"/>
      <c r="F34" s="139"/>
      <c r="G34" s="139"/>
      <c r="H34" s="139"/>
      <c r="I34" s="139"/>
      <c r="J34" s="139"/>
      <c r="L34" s="121"/>
      <c r="M34" s="125" t="s">
        <v>331</v>
      </c>
      <c r="N34" s="122"/>
      <c r="O34" s="122"/>
      <c r="P34" s="122"/>
      <c r="Q34" s="122"/>
      <c r="R34" s="122"/>
      <c r="S34" s="122"/>
      <c r="T34" s="122"/>
      <c r="U34" s="122"/>
      <c r="W34" s="137"/>
      <c r="X34" s="138" t="s">
        <v>305</v>
      </c>
      <c r="Y34" s="139"/>
      <c r="Z34" s="139"/>
      <c r="AA34" s="139"/>
      <c r="AB34" s="139"/>
      <c r="AC34" s="139"/>
      <c r="AD34" s="139"/>
      <c r="AE34" s="139"/>
      <c r="AF34" s="139"/>
      <c r="AH34" s="121"/>
      <c r="AI34" s="125" t="s">
        <v>332</v>
      </c>
      <c r="AJ34" s="122"/>
      <c r="AK34" s="122"/>
      <c r="AL34" s="122"/>
      <c r="AM34" s="122"/>
      <c r="AN34" s="122"/>
      <c r="AO34" s="122"/>
      <c r="AP34" s="122"/>
      <c r="AQ34" s="122"/>
      <c r="AS34" s="137"/>
      <c r="AT34" s="138" t="s">
        <v>309</v>
      </c>
      <c r="AU34" s="139"/>
      <c r="AV34" s="139"/>
      <c r="AW34" s="139"/>
      <c r="AX34" s="139"/>
      <c r="AY34" s="139"/>
      <c r="AZ34" s="139"/>
      <c r="BA34" s="139"/>
      <c r="BC34" s="121"/>
      <c r="BD34" s="125" t="s">
        <v>310</v>
      </c>
      <c r="BE34" s="122"/>
      <c r="BF34" s="122"/>
      <c r="BG34" s="122"/>
      <c r="BH34" s="122"/>
      <c r="BI34" s="122"/>
      <c r="BJ34" s="122"/>
      <c r="BK34" s="122"/>
      <c r="BL34" s="122"/>
    </row>
    <row r="35" spans="1:64">
      <c r="A35" s="137"/>
      <c r="B35" s="146"/>
      <c r="C35" s="139"/>
      <c r="D35" s="139"/>
      <c r="E35" s="139"/>
      <c r="F35" s="139"/>
      <c r="G35" s="139"/>
      <c r="H35" s="139"/>
      <c r="I35" s="139"/>
      <c r="J35" s="139"/>
      <c r="L35" s="121"/>
      <c r="M35" s="126"/>
      <c r="N35" s="122"/>
      <c r="O35" s="122"/>
      <c r="P35" s="122"/>
      <c r="Q35" s="122"/>
      <c r="R35" s="122"/>
      <c r="S35" s="122"/>
      <c r="T35" s="122"/>
      <c r="U35" s="122"/>
      <c r="W35" s="137"/>
      <c r="X35" s="146"/>
      <c r="Y35" s="139"/>
      <c r="Z35" s="139"/>
      <c r="AA35" s="139"/>
      <c r="AB35" s="139"/>
      <c r="AC35" s="139"/>
      <c r="AD35" s="139"/>
      <c r="AE35" s="139"/>
      <c r="AF35" s="139"/>
      <c r="AH35" s="121"/>
      <c r="AI35" s="126"/>
      <c r="AJ35" s="122"/>
      <c r="AK35" s="122"/>
      <c r="AL35" s="122"/>
      <c r="AM35" s="122"/>
      <c r="AN35" s="122"/>
      <c r="AO35" s="122"/>
      <c r="AP35" s="122"/>
      <c r="AQ35" s="122"/>
      <c r="AS35" s="137"/>
      <c r="AT35" s="146"/>
      <c r="AU35" s="139"/>
      <c r="AV35" s="139"/>
      <c r="AW35" s="139"/>
      <c r="AX35" s="139"/>
      <c r="AY35" s="139"/>
      <c r="AZ35" s="139"/>
      <c r="BA35" s="139"/>
      <c r="BC35" s="121"/>
      <c r="BD35" s="126"/>
      <c r="BE35" s="122"/>
      <c r="BF35" s="122"/>
      <c r="BG35" s="122"/>
      <c r="BH35" s="122"/>
      <c r="BI35" s="122"/>
      <c r="BJ35" s="122"/>
      <c r="BK35" s="122"/>
      <c r="BL35" s="122"/>
    </row>
    <row r="36" spans="1:64">
      <c r="A36" s="140">
        <v>-15</v>
      </c>
      <c r="B36" s="139" t="s">
        <v>316</v>
      </c>
      <c r="C36" s="139"/>
      <c r="D36" s="133">
        <v>12</v>
      </c>
      <c r="E36" s="133">
        <v>12</v>
      </c>
      <c r="F36" s="133">
        <v>12</v>
      </c>
      <c r="G36" s="133">
        <v>12</v>
      </c>
      <c r="H36" s="133">
        <v>12</v>
      </c>
      <c r="I36" s="133">
        <v>12</v>
      </c>
      <c r="J36" s="133">
        <v>12</v>
      </c>
      <c r="L36" s="127">
        <v>-15</v>
      </c>
      <c r="M36" s="122" t="s">
        <v>316</v>
      </c>
      <c r="N36" s="122"/>
      <c r="O36" s="130">
        <v>12</v>
      </c>
      <c r="P36" s="130">
        <v>12</v>
      </c>
      <c r="Q36" s="130">
        <v>12</v>
      </c>
      <c r="R36" s="130">
        <v>12</v>
      </c>
      <c r="S36" s="130">
        <v>12</v>
      </c>
      <c r="T36" s="130">
        <v>12</v>
      </c>
      <c r="U36" s="130">
        <v>12</v>
      </c>
      <c r="W36" s="140">
        <v>-15</v>
      </c>
      <c r="X36" s="139" t="s">
        <v>316</v>
      </c>
      <c r="Y36" s="139"/>
      <c r="Z36" s="133">
        <v>12</v>
      </c>
      <c r="AA36" s="133">
        <v>12</v>
      </c>
      <c r="AB36" s="133">
        <v>12</v>
      </c>
      <c r="AC36" s="133">
        <v>12</v>
      </c>
      <c r="AD36" s="133">
        <v>12</v>
      </c>
      <c r="AE36" s="133">
        <v>12</v>
      </c>
      <c r="AF36" s="133">
        <v>12</v>
      </c>
      <c r="AH36" s="127">
        <v>-15</v>
      </c>
      <c r="AI36" s="122" t="s">
        <v>316</v>
      </c>
      <c r="AJ36" s="122"/>
      <c r="AK36" s="130">
        <v>12</v>
      </c>
      <c r="AL36" s="130">
        <v>12</v>
      </c>
      <c r="AM36" s="130">
        <v>12</v>
      </c>
      <c r="AN36" s="130">
        <v>12</v>
      </c>
      <c r="AO36" s="130">
        <v>12</v>
      </c>
      <c r="AP36" s="130">
        <v>12</v>
      </c>
      <c r="AQ36" s="130">
        <v>12</v>
      </c>
      <c r="AS36" s="140">
        <v>-15</v>
      </c>
      <c r="AT36" s="139" t="s">
        <v>316</v>
      </c>
      <c r="AU36" s="139"/>
      <c r="AV36" s="133">
        <v>12</v>
      </c>
      <c r="AW36" s="133">
        <v>12</v>
      </c>
      <c r="AX36" s="133">
        <v>12</v>
      </c>
      <c r="AY36" s="133">
        <v>12</v>
      </c>
      <c r="AZ36" s="133">
        <v>12</v>
      </c>
      <c r="BA36" s="133">
        <v>12</v>
      </c>
      <c r="BC36" s="127">
        <v>-15</v>
      </c>
      <c r="BD36" s="122" t="s">
        <v>316</v>
      </c>
      <c r="BE36" s="122"/>
      <c r="BF36" s="130">
        <v>12</v>
      </c>
      <c r="BG36" s="130">
        <v>12</v>
      </c>
      <c r="BH36" s="130">
        <v>12</v>
      </c>
      <c r="BI36" s="130">
        <v>12</v>
      </c>
      <c r="BJ36" s="130">
        <v>12</v>
      </c>
      <c r="BK36" s="130">
        <v>12</v>
      </c>
      <c r="BL36" s="130">
        <v>12</v>
      </c>
    </row>
    <row r="37" spans="1:64">
      <c r="A37" s="140">
        <v>-16</v>
      </c>
      <c r="B37" s="139" t="s">
        <v>317</v>
      </c>
      <c r="C37" s="139"/>
      <c r="D37" s="149">
        <v>0.86060000000000003</v>
      </c>
      <c r="E37" s="149">
        <v>0.86060000000000003</v>
      </c>
      <c r="F37" s="149">
        <v>0.86060000000000003</v>
      </c>
      <c r="G37" s="149">
        <v>0.86060000000000003</v>
      </c>
      <c r="H37" s="149">
        <v>0.86060000000000003</v>
      </c>
      <c r="I37" s="149">
        <v>0.86060000000000003</v>
      </c>
      <c r="J37" s="149">
        <v>0.86060000000000003</v>
      </c>
      <c r="L37" s="127">
        <v>-16</v>
      </c>
      <c r="M37" s="122" t="s">
        <v>318</v>
      </c>
      <c r="N37" s="122"/>
      <c r="O37" s="131">
        <v>0.49759999999999999</v>
      </c>
      <c r="P37" s="131">
        <v>0.49759999999999999</v>
      </c>
      <c r="Q37" s="131">
        <v>0.49759999999999999</v>
      </c>
      <c r="R37" s="131">
        <v>0.49759999999999999</v>
      </c>
      <c r="S37" s="131">
        <v>0.49759999999999999</v>
      </c>
      <c r="T37" s="131">
        <v>0.49759999999999999</v>
      </c>
      <c r="U37" s="131">
        <v>0.49759999999999999</v>
      </c>
      <c r="W37" s="140">
        <v>-16</v>
      </c>
      <c r="X37" s="139" t="s">
        <v>317</v>
      </c>
      <c r="Y37" s="139"/>
      <c r="Z37" s="149">
        <v>0.86060000000000003</v>
      </c>
      <c r="AA37" s="149">
        <v>0.86060000000000003</v>
      </c>
      <c r="AB37" s="149">
        <v>0.86060000000000003</v>
      </c>
      <c r="AC37" s="149">
        <v>0.86060000000000003</v>
      </c>
      <c r="AD37" s="149">
        <v>0.86060000000000003</v>
      </c>
      <c r="AE37" s="149">
        <v>0.86060000000000003</v>
      </c>
      <c r="AF37" s="149">
        <v>0.86060000000000003</v>
      </c>
      <c r="AH37" s="127">
        <v>-16</v>
      </c>
      <c r="AI37" s="122" t="s">
        <v>318</v>
      </c>
      <c r="AJ37" s="122"/>
      <c r="AK37" s="131">
        <v>0.49759999999999999</v>
      </c>
      <c r="AL37" s="131">
        <v>0.49759999999999999</v>
      </c>
      <c r="AM37" s="131">
        <v>0.49759999999999999</v>
      </c>
      <c r="AN37" s="131">
        <v>0.49759999999999999</v>
      </c>
      <c r="AO37" s="131">
        <v>0.49759999999999999</v>
      </c>
      <c r="AP37" s="131">
        <v>0.49759999999999999</v>
      </c>
      <c r="AQ37" s="131">
        <v>0.49759999999999999</v>
      </c>
      <c r="AS37" s="140">
        <v>-16</v>
      </c>
      <c r="AT37" s="139" t="s">
        <v>317</v>
      </c>
      <c r="AU37" s="139"/>
      <c r="AV37" s="149">
        <v>0.86060000000000003</v>
      </c>
      <c r="AW37" s="149">
        <v>0.86060000000000003</v>
      </c>
      <c r="AX37" s="149">
        <v>0.86060000000000003</v>
      </c>
      <c r="AY37" s="149">
        <v>0.86060000000000003</v>
      </c>
      <c r="AZ37" s="149">
        <v>0.86060000000000003</v>
      </c>
      <c r="BA37" s="149">
        <v>0.86060000000000003</v>
      </c>
      <c r="BC37" s="127">
        <v>-16</v>
      </c>
      <c r="BD37" s="122" t="s">
        <v>318</v>
      </c>
      <c r="BE37" s="122"/>
      <c r="BF37" s="131">
        <v>0.49759999999999999</v>
      </c>
      <c r="BG37" s="131">
        <v>0.49759999999999999</v>
      </c>
      <c r="BH37" s="131">
        <v>0.49759999999999999</v>
      </c>
      <c r="BI37" s="131">
        <v>0.49759999999999999</v>
      </c>
      <c r="BJ37" s="131">
        <v>0.49759999999999999</v>
      </c>
      <c r="BK37" s="131">
        <v>0.49759999999999999</v>
      </c>
      <c r="BL37" s="131">
        <v>0.49759999999999999</v>
      </c>
    </row>
    <row r="38" spans="1:64">
      <c r="A38" s="140">
        <v>-17</v>
      </c>
      <c r="B38" s="139" t="s">
        <v>319</v>
      </c>
      <c r="C38" s="139"/>
      <c r="D38" s="149">
        <v>0.11940000000000001</v>
      </c>
      <c r="E38" s="149">
        <v>0.11940000000000001</v>
      </c>
      <c r="F38" s="149">
        <v>0.11940000000000001</v>
      </c>
      <c r="G38" s="149">
        <v>0.11940000000000001</v>
      </c>
      <c r="H38" s="149">
        <v>0.11940000000000001</v>
      </c>
      <c r="I38" s="149">
        <v>0.11940000000000001</v>
      </c>
      <c r="J38" s="149">
        <v>0.11940000000000001</v>
      </c>
      <c r="L38" s="127">
        <v>-17</v>
      </c>
      <c r="M38" s="122" t="s">
        <v>319</v>
      </c>
      <c r="N38" s="122"/>
      <c r="O38" s="131">
        <v>2.1299999999999999E-2</v>
      </c>
      <c r="P38" s="131">
        <v>2.1299999999999999E-2</v>
      </c>
      <c r="Q38" s="131">
        <v>2.1299999999999999E-2</v>
      </c>
      <c r="R38" s="131">
        <v>2.1299999999999999E-2</v>
      </c>
      <c r="S38" s="131">
        <v>2.1299999999999999E-2</v>
      </c>
      <c r="T38" s="131">
        <v>2.1299999999999999E-2</v>
      </c>
      <c r="U38" s="131">
        <v>2.1299999999999999E-2</v>
      </c>
      <c r="W38" s="140">
        <v>-17</v>
      </c>
      <c r="X38" s="139" t="s">
        <v>319</v>
      </c>
      <c r="Y38" s="139"/>
      <c r="Z38" s="149">
        <v>0.11940000000000001</v>
      </c>
      <c r="AA38" s="149">
        <v>0.11940000000000001</v>
      </c>
      <c r="AB38" s="149">
        <v>0.11940000000000001</v>
      </c>
      <c r="AC38" s="149">
        <v>0.11940000000000001</v>
      </c>
      <c r="AD38" s="149">
        <v>0.11940000000000001</v>
      </c>
      <c r="AE38" s="149">
        <v>0.11940000000000001</v>
      </c>
      <c r="AF38" s="149">
        <v>0.11940000000000001</v>
      </c>
      <c r="AH38" s="127">
        <v>-17</v>
      </c>
      <c r="AI38" s="122" t="s">
        <v>319</v>
      </c>
      <c r="AJ38" s="122"/>
      <c r="AK38" s="131">
        <v>2.1299999999999999E-2</v>
      </c>
      <c r="AL38" s="131">
        <v>2.1299999999999999E-2</v>
      </c>
      <c r="AM38" s="131">
        <v>2.1299999999999999E-2</v>
      </c>
      <c r="AN38" s="131">
        <v>2.1299999999999999E-2</v>
      </c>
      <c r="AO38" s="131">
        <v>2.1299999999999999E-2</v>
      </c>
      <c r="AP38" s="131">
        <v>2.1299999999999999E-2</v>
      </c>
      <c r="AQ38" s="131">
        <v>2.1299999999999999E-2</v>
      </c>
      <c r="AS38" s="140">
        <v>-17</v>
      </c>
      <c r="AT38" s="139" t="s">
        <v>319</v>
      </c>
      <c r="AU38" s="139"/>
      <c r="AV38" s="149">
        <v>0.11940000000000001</v>
      </c>
      <c r="AW38" s="149">
        <v>0.11940000000000001</v>
      </c>
      <c r="AX38" s="149">
        <v>0.11940000000000001</v>
      </c>
      <c r="AY38" s="149">
        <v>0.11940000000000001</v>
      </c>
      <c r="AZ38" s="149">
        <v>0.11940000000000001</v>
      </c>
      <c r="BA38" s="149">
        <v>0.11940000000000001</v>
      </c>
      <c r="BC38" s="127">
        <v>-17</v>
      </c>
      <c r="BD38" s="122" t="s">
        <v>319</v>
      </c>
      <c r="BE38" s="122"/>
      <c r="BF38" s="131">
        <v>2.1299999999999999E-2</v>
      </c>
      <c r="BG38" s="131">
        <v>2.1299999999999999E-2</v>
      </c>
      <c r="BH38" s="131">
        <v>2.1299999999999999E-2</v>
      </c>
      <c r="BI38" s="131">
        <v>2.1299999999999999E-2</v>
      </c>
      <c r="BJ38" s="131">
        <v>2.1299999999999999E-2</v>
      </c>
      <c r="BK38" s="131">
        <v>2.1299999999999999E-2</v>
      </c>
      <c r="BL38" s="131">
        <v>2.1299999999999999E-2</v>
      </c>
    </row>
    <row r="39" spans="1:64">
      <c r="A39" s="140">
        <v>-18</v>
      </c>
      <c r="B39" s="139" t="s">
        <v>76</v>
      </c>
      <c r="C39" s="139"/>
      <c r="D39" s="149">
        <v>0.84809999999999997</v>
      </c>
      <c r="E39" s="149">
        <v>0.84809999999999997</v>
      </c>
      <c r="F39" s="149">
        <v>0.84809999999999997</v>
      </c>
      <c r="G39" s="149">
        <v>0.84809999999999997</v>
      </c>
      <c r="H39" s="149">
        <v>0.84809999999999997</v>
      </c>
      <c r="I39" s="149">
        <v>0.84809999999999997</v>
      </c>
      <c r="J39" s="149">
        <v>0.84809999999999997</v>
      </c>
      <c r="L39" s="127">
        <v>-18</v>
      </c>
      <c r="M39" s="122" t="s">
        <v>76</v>
      </c>
      <c r="N39" s="122"/>
      <c r="O39" s="131">
        <v>0.36910000000000004</v>
      </c>
      <c r="P39" s="131">
        <v>0.36910000000000004</v>
      </c>
      <c r="Q39" s="131">
        <v>0.36910000000000004</v>
      </c>
      <c r="R39" s="131">
        <v>0.36910000000000004</v>
      </c>
      <c r="S39" s="131">
        <v>0.36910000000000004</v>
      </c>
      <c r="T39" s="131">
        <v>0.36910000000000004</v>
      </c>
      <c r="U39" s="131">
        <v>0.36910000000000004</v>
      </c>
      <c r="W39" s="140">
        <v>-18</v>
      </c>
      <c r="X39" s="139" t="s">
        <v>76</v>
      </c>
      <c r="Y39" s="139"/>
      <c r="Z39" s="149">
        <v>0.84809999999999997</v>
      </c>
      <c r="AA39" s="149">
        <v>0.84809999999999997</v>
      </c>
      <c r="AB39" s="149">
        <v>0.84809999999999997</v>
      </c>
      <c r="AC39" s="149">
        <v>0.84809999999999997</v>
      </c>
      <c r="AD39" s="149">
        <v>0.84809999999999997</v>
      </c>
      <c r="AE39" s="149">
        <v>0.84809999999999997</v>
      </c>
      <c r="AF39" s="149">
        <v>0.84809999999999997</v>
      </c>
      <c r="AH39" s="127">
        <v>-18</v>
      </c>
      <c r="AI39" s="122" t="s">
        <v>76</v>
      </c>
      <c r="AJ39" s="122"/>
      <c r="AK39" s="131">
        <v>0.36909999999999998</v>
      </c>
      <c r="AL39" s="131">
        <v>0.36909999999999998</v>
      </c>
      <c r="AM39" s="131">
        <v>0.36909999999999998</v>
      </c>
      <c r="AN39" s="131">
        <v>0.36909999999999998</v>
      </c>
      <c r="AO39" s="131">
        <v>0.36909999999999998</v>
      </c>
      <c r="AP39" s="131">
        <v>0.36909999999999998</v>
      </c>
      <c r="AQ39" s="131">
        <v>0.36909999999999998</v>
      </c>
      <c r="AS39" s="140">
        <v>-18</v>
      </c>
      <c r="AT39" s="139" t="s">
        <v>76</v>
      </c>
      <c r="AU39" s="139"/>
      <c r="AV39" s="149">
        <v>0.84809999999999997</v>
      </c>
      <c r="AW39" s="149">
        <v>0.84809999999999997</v>
      </c>
      <c r="AX39" s="149">
        <v>0.84809999999999997</v>
      </c>
      <c r="AY39" s="149">
        <v>0.84809999999999997</v>
      </c>
      <c r="AZ39" s="149">
        <v>0.84809999999999997</v>
      </c>
      <c r="BA39" s="149">
        <v>0.84809999999999997</v>
      </c>
      <c r="BC39" s="127">
        <v>-18</v>
      </c>
      <c r="BD39" s="122" t="s">
        <v>76</v>
      </c>
      <c r="BE39" s="122"/>
      <c r="BF39" s="131">
        <v>0.36909999999999998</v>
      </c>
      <c r="BG39" s="131">
        <v>0.36909999999999998</v>
      </c>
      <c r="BH39" s="131">
        <v>0.36909999999999998</v>
      </c>
      <c r="BI39" s="131">
        <v>0.36909999999999998</v>
      </c>
      <c r="BJ39" s="131">
        <v>0.36909999999999998</v>
      </c>
      <c r="BK39" s="131">
        <v>0.36909999999999998</v>
      </c>
      <c r="BL39" s="131">
        <v>0.36909999999999998</v>
      </c>
    </row>
    <row r="40" spans="1:64">
      <c r="A40" s="140">
        <v>-19</v>
      </c>
      <c r="B40" s="139" t="s">
        <v>320</v>
      </c>
      <c r="C40" s="139"/>
      <c r="D40" s="149">
        <v>0.20419999999999999</v>
      </c>
      <c r="E40" s="149">
        <v>0.20419999999999999</v>
      </c>
      <c r="F40" s="149">
        <v>0.20419999999999999</v>
      </c>
      <c r="G40" s="149">
        <v>0.20419999999999999</v>
      </c>
      <c r="H40" s="149">
        <v>0.20419999999999999</v>
      </c>
      <c r="I40" s="149">
        <v>0.20419999999999999</v>
      </c>
      <c r="J40" s="149">
        <v>0.20419999999999999</v>
      </c>
      <c r="L40" s="127">
        <v>-19</v>
      </c>
      <c r="M40" s="122" t="s">
        <v>320</v>
      </c>
      <c r="N40" s="122"/>
      <c r="O40" s="131">
        <v>0.20419999999999999</v>
      </c>
      <c r="P40" s="131">
        <v>0.20419999999999999</v>
      </c>
      <c r="Q40" s="131">
        <v>0.20419999999999999</v>
      </c>
      <c r="R40" s="131">
        <v>0.20419999999999999</v>
      </c>
      <c r="S40" s="131">
        <v>0.20419999999999999</v>
      </c>
      <c r="T40" s="131">
        <v>0.20419999999999999</v>
      </c>
      <c r="U40" s="131">
        <v>0.20419999999999999</v>
      </c>
      <c r="W40" s="140">
        <v>-19</v>
      </c>
      <c r="X40" s="139" t="s">
        <v>320</v>
      </c>
      <c r="Y40" s="139"/>
      <c r="Z40" s="149">
        <v>0.20419999999999999</v>
      </c>
      <c r="AA40" s="149">
        <v>0.20419999999999999</v>
      </c>
      <c r="AB40" s="149">
        <v>0.20419999999999999</v>
      </c>
      <c r="AC40" s="149">
        <v>0.20419999999999999</v>
      </c>
      <c r="AD40" s="149">
        <v>0.20419999999999999</v>
      </c>
      <c r="AE40" s="149">
        <v>0.20419999999999999</v>
      </c>
      <c r="AF40" s="149">
        <v>0.20419999999999999</v>
      </c>
      <c r="AH40" s="127">
        <v>-19</v>
      </c>
      <c r="AI40" s="122" t="s">
        <v>320</v>
      </c>
      <c r="AJ40" s="122"/>
      <c r="AK40" s="131">
        <v>0.20419999999999999</v>
      </c>
      <c r="AL40" s="131">
        <v>0.20419999999999999</v>
      </c>
      <c r="AM40" s="131">
        <v>0.20419999999999999</v>
      </c>
      <c r="AN40" s="131">
        <v>0.20419999999999999</v>
      </c>
      <c r="AO40" s="131">
        <v>0.20419999999999999</v>
      </c>
      <c r="AP40" s="131">
        <v>0.20419999999999999</v>
      </c>
      <c r="AQ40" s="131">
        <v>0.20419999999999999</v>
      </c>
      <c r="AS40" s="140">
        <v>-19</v>
      </c>
      <c r="AT40" s="139" t="s">
        <v>320</v>
      </c>
      <c r="AU40" s="139"/>
      <c r="AV40" s="149">
        <v>0.20419999999999999</v>
      </c>
      <c r="AW40" s="149">
        <v>0.20419999999999999</v>
      </c>
      <c r="AX40" s="149">
        <v>0.20419999999999999</v>
      </c>
      <c r="AY40" s="149">
        <v>0.20419999999999999</v>
      </c>
      <c r="AZ40" s="149">
        <v>0.20419999999999999</v>
      </c>
      <c r="BA40" s="149">
        <v>0.20419999999999999</v>
      </c>
      <c r="BC40" s="127">
        <v>-19</v>
      </c>
      <c r="BD40" s="122" t="s">
        <v>320</v>
      </c>
      <c r="BE40" s="122"/>
      <c r="BF40" s="131">
        <v>0.20419999999999999</v>
      </c>
      <c r="BG40" s="131">
        <v>0.20419999999999999</v>
      </c>
      <c r="BH40" s="131">
        <v>0.20419999999999999</v>
      </c>
      <c r="BI40" s="131">
        <v>0.20419999999999999</v>
      </c>
      <c r="BJ40" s="131">
        <v>0.20419999999999999</v>
      </c>
      <c r="BK40" s="131">
        <v>0.20419999999999999</v>
      </c>
      <c r="BL40" s="131">
        <v>0.20419999999999999</v>
      </c>
    </row>
    <row r="41" spans="1:64">
      <c r="A41" s="140">
        <v>-20</v>
      </c>
      <c r="B41" s="139" t="s">
        <v>321</v>
      </c>
      <c r="C41" s="139"/>
      <c r="D41" s="150">
        <v>0.29859999999999998</v>
      </c>
      <c r="E41" s="150">
        <v>0.29859999999999998</v>
      </c>
      <c r="F41" s="150">
        <v>0.29859999999999998</v>
      </c>
      <c r="G41" s="150">
        <v>0.29859999999999998</v>
      </c>
      <c r="H41" s="150">
        <v>0.29859999999999998</v>
      </c>
      <c r="I41" s="150">
        <v>0.29859999999999998</v>
      </c>
      <c r="J41" s="150">
        <v>0.29859999999999998</v>
      </c>
      <c r="L41" s="127">
        <v>-20</v>
      </c>
      <c r="M41" s="122" t="s">
        <v>321</v>
      </c>
      <c r="N41" s="122"/>
      <c r="O41" s="132">
        <v>0.29859999999999998</v>
      </c>
      <c r="P41" s="132">
        <v>0.29859999999999998</v>
      </c>
      <c r="Q41" s="132">
        <v>0.29859999999999998</v>
      </c>
      <c r="R41" s="132">
        <v>0.29859999999999998</v>
      </c>
      <c r="S41" s="132">
        <v>0.29859999999999998</v>
      </c>
      <c r="T41" s="132">
        <v>0.29859999999999998</v>
      </c>
      <c r="U41" s="132">
        <v>0.29859999999999998</v>
      </c>
      <c r="W41" s="140">
        <v>-20</v>
      </c>
      <c r="X41" s="139" t="s">
        <v>321</v>
      </c>
      <c r="Y41" s="139"/>
      <c r="Z41" s="149">
        <v>0.48039999999999999</v>
      </c>
      <c r="AA41" s="149">
        <v>0.48039999999999999</v>
      </c>
      <c r="AB41" s="149">
        <v>0.48039999999999999</v>
      </c>
      <c r="AC41" s="149">
        <v>0.48039999999999999</v>
      </c>
      <c r="AD41" s="149">
        <v>0.48039999999999999</v>
      </c>
      <c r="AE41" s="149">
        <v>0.48039999999999999</v>
      </c>
      <c r="AF41" s="149">
        <v>0.48039999999999999</v>
      </c>
      <c r="AH41" s="127">
        <v>-20</v>
      </c>
      <c r="AI41" s="122" t="s">
        <v>321</v>
      </c>
      <c r="AJ41" s="122"/>
      <c r="AK41" s="131">
        <v>0.48039999999999999</v>
      </c>
      <c r="AL41" s="131">
        <v>0.48039999999999999</v>
      </c>
      <c r="AM41" s="131">
        <v>0.48039999999999999</v>
      </c>
      <c r="AN41" s="131">
        <v>0.48039999999999999</v>
      </c>
      <c r="AO41" s="131">
        <v>0.48039999999999999</v>
      </c>
      <c r="AP41" s="131">
        <v>0.48039999999999999</v>
      </c>
      <c r="AQ41" s="131">
        <v>0.48039999999999999</v>
      </c>
      <c r="AS41" s="140">
        <v>-20</v>
      </c>
      <c r="AT41" s="139" t="s">
        <v>321</v>
      </c>
      <c r="AU41" s="139"/>
      <c r="AV41" s="149">
        <v>0.32699999999999996</v>
      </c>
      <c r="AW41" s="149">
        <v>0.32699999999999996</v>
      </c>
      <c r="AX41" s="149">
        <v>0.32699999999999996</v>
      </c>
      <c r="AY41" s="149">
        <v>0.32699999999999996</v>
      </c>
      <c r="AZ41" s="149">
        <v>0.32699999999999996</v>
      </c>
      <c r="BA41" s="149">
        <v>0.32699999999999996</v>
      </c>
      <c r="BC41" s="127">
        <v>-20</v>
      </c>
      <c r="BD41" s="122" t="s">
        <v>321</v>
      </c>
      <c r="BE41" s="122"/>
      <c r="BF41" s="131">
        <v>0.32699999999999996</v>
      </c>
      <c r="BG41" s="131">
        <v>0.32699999999999996</v>
      </c>
      <c r="BH41" s="131">
        <v>0.32699999999999996</v>
      </c>
      <c r="BI41" s="131">
        <v>0.32699999999999996</v>
      </c>
      <c r="BJ41" s="131">
        <v>0.32699999999999996</v>
      </c>
      <c r="BK41" s="131">
        <v>0.32699999999999996</v>
      </c>
      <c r="BL41" s="131">
        <v>0.32699999999999996</v>
      </c>
    </row>
    <row r="42" spans="1:64">
      <c r="A42" s="140">
        <v>-21</v>
      </c>
      <c r="B42" s="139" t="s">
        <v>322</v>
      </c>
      <c r="C42" s="139"/>
      <c r="D42" s="133">
        <v>42.405000000000001</v>
      </c>
      <c r="E42" s="133">
        <v>84.81</v>
      </c>
      <c r="F42" s="133">
        <v>90.870848729329992</v>
      </c>
      <c r="G42" s="133">
        <v>126.51989513353094</v>
      </c>
      <c r="H42" s="133">
        <v>212.02499999999998</v>
      </c>
      <c r="I42" s="133">
        <v>254.42999999999998</v>
      </c>
      <c r="J42" s="133">
        <v>339.24</v>
      </c>
      <c r="L42" s="127">
        <v>-21</v>
      </c>
      <c r="M42" s="122" t="s">
        <v>322</v>
      </c>
      <c r="N42" s="122"/>
      <c r="O42" s="133">
        <v>7.38</v>
      </c>
      <c r="P42" s="133">
        <v>11.07</v>
      </c>
      <c r="Q42" s="133">
        <v>8.49</v>
      </c>
      <c r="R42" s="133">
        <v>17.079999999999998</v>
      </c>
      <c r="S42" s="133">
        <v>44.29</v>
      </c>
      <c r="T42" s="133">
        <v>59.06</v>
      </c>
      <c r="U42" s="133">
        <v>73.819999999999993</v>
      </c>
      <c r="W42" s="140">
        <v>-21</v>
      </c>
      <c r="X42" s="139" t="s">
        <v>322</v>
      </c>
      <c r="Y42" s="139"/>
      <c r="Z42" s="133">
        <v>42.405000000000001</v>
      </c>
      <c r="AA42" s="133">
        <v>84.81</v>
      </c>
      <c r="AB42" s="133">
        <v>90.870848729329992</v>
      </c>
      <c r="AC42" s="133">
        <v>126.51989513353094</v>
      </c>
      <c r="AD42" s="133">
        <v>212.02499999999998</v>
      </c>
      <c r="AE42" s="133">
        <v>254.42999999999998</v>
      </c>
      <c r="AF42" s="133">
        <v>339.24</v>
      </c>
      <c r="AH42" s="127">
        <v>-21</v>
      </c>
      <c r="AI42" s="122" t="s">
        <v>322</v>
      </c>
      <c r="AJ42" s="122"/>
      <c r="AK42" s="133">
        <v>7.38</v>
      </c>
      <c r="AL42" s="133">
        <v>11.07</v>
      </c>
      <c r="AM42" s="133">
        <v>8.49</v>
      </c>
      <c r="AN42" s="133">
        <v>17.079999999999998</v>
      </c>
      <c r="AO42" s="133">
        <v>44.29</v>
      </c>
      <c r="AP42" s="133">
        <v>59.06</v>
      </c>
      <c r="AQ42" s="133">
        <v>73.819999999999993</v>
      </c>
      <c r="AS42" s="140">
        <v>-21</v>
      </c>
      <c r="AT42" s="139" t="s">
        <v>322</v>
      </c>
      <c r="AU42" s="139"/>
      <c r="AV42" s="133">
        <v>42.405000000000001</v>
      </c>
      <c r="AW42" s="133">
        <v>84.81</v>
      </c>
      <c r="AX42" s="133">
        <v>90.870848729329992</v>
      </c>
      <c r="AY42" s="133">
        <v>126.51989513353094</v>
      </c>
      <c r="AZ42" s="133">
        <v>212.02499999999998</v>
      </c>
      <c r="BA42" s="133">
        <v>254.42999999999998</v>
      </c>
      <c r="BC42" s="127">
        <v>-21</v>
      </c>
      <c r="BD42" s="122" t="s">
        <v>322</v>
      </c>
      <c r="BE42" s="122"/>
      <c r="BF42" s="133">
        <v>7.38</v>
      </c>
      <c r="BG42" s="133">
        <v>11.07</v>
      </c>
      <c r="BH42" s="133">
        <v>8.49</v>
      </c>
      <c r="BI42" s="133">
        <v>17.079999999999998</v>
      </c>
      <c r="BJ42" s="133">
        <v>44.29</v>
      </c>
      <c r="BK42" s="133">
        <v>59.06</v>
      </c>
      <c r="BL42" s="133">
        <v>73.819999999999993</v>
      </c>
    </row>
    <row r="43" spans="1:64">
      <c r="A43" s="140">
        <v>-22</v>
      </c>
      <c r="B43" s="139" t="s">
        <v>323</v>
      </c>
      <c r="C43" s="139"/>
      <c r="D43" s="133">
        <v>10.209999999999999</v>
      </c>
      <c r="E43" s="133">
        <v>20.419999999999998</v>
      </c>
      <c r="F43" s="133">
        <v>21.879291723298177</v>
      </c>
      <c r="G43" s="133">
        <v>30.462637172818084</v>
      </c>
      <c r="H43" s="133">
        <v>51.05</v>
      </c>
      <c r="I43" s="133">
        <v>61.26</v>
      </c>
      <c r="J43" s="133">
        <v>81.679999999999993</v>
      </c>
      <c r="L43" s="127">
        <v>-22</v>
      </c>
      <c r="M43" s="122" t="s">
        <v>323</v>
      </c>
      <c r="N43" s="122"/>
      <c r="O43" s="133">
        <v>4.08</v>
      </c>
      <c r="P43" s="133">
        <v>6.13</v>
      </c>
      <c r="Q43" s="133">
        <v>4.7</v>
      </c>
      <c r="R43" s="133">
        <v>9.4499999999999993</v>
      </c>
      <c r="S43" s="133">
        <v>24.5</v>
      </c>
      <c r="T43" s="133">
        <v>32.67</v>
      </c>
      <c r="U43" s="133">
        <v>40.840000000000003</v>
      </c>
      <c r="W43" s="140">
        <v>-22</v>
      </c>
      <c r="X43" s="139" t="s">
        <v>323</v>
      </c>
      <c r="Y43" s="139"/>
      <c r="Z43" s="133">
        <v>10.209999999999999</v>
      </c>
      <c r="AA43" s="133">
        <v>20.419999999999998</v>
      </c>
      <c r="AB43" s="133">
        <v>21.879291723298177</v>
      </c>
      <c r="AC43" s="133">
        <v>30.462637172818084</v>
      </c>
      <c r="AD43" s="133">
        <v>51.05</v>
      </c>
      <c r="AE43" s="133">
        <v>61.26</v>
      </c>
      <c r="AF43" s="133">
        <v>81.679999999999993</v>
      </c>
      <c r="AH43" s="127">
        <v>-22</v>
      </c>
      <c r="AI43" s="122" t="s">
        <v>323</v>
      </c>
      <c r="AJ43" s="122"/>
      <c r="AK43" s="133">
        <v>4.08</v>
      </c>
      <c r="AL43" s="133">
        <v>6.13</v>
      </c>
      <c r="AM43" s="133">
        <v>4.7</v>
      </c>
      <c r="AN43" s="133">
        <v>9.4499999999999993</v>
      </c>
      <c r="AO43" s="133">
        <v>24.5</v>
      </c>
      <c r="AP43" s="133">
        <v>32.67</v>
      </c>
      <c r="AQ43" s="133">
        <v>40.840000000000003</v>
      </c>
      <c r="AS43" s="140">
        <v>-22</v>
      </c>
      <c r="AT43" s="139" t="s">
        <v>323</v>
      </c>
      <c r="AU43" s="139"/>
      <c r="AV43" s="133">
        <v>10.209999999999999</v>
      </c>
      <c r="AW43" s="133">
        <v>20.419999999999998</v>
      </c>
      <c r="AX43" s="133">
        <v>21.879291723298177</v>
      </c>
      <c r="AY43" s="133">
        <v>30.462637172818084</v>
      </c>
      <c r="AZ43" s="133">
        <v>51.05</v>
      </c>
      <c r="BA43" s="133">
        <v>61.26</v>
      </c>
      <c r="BC43" s="127">
        <v>-22</v>
      </c>
      <c r="BD43" s="122" t="s">
        <v>323</v>
      </c>
      <c r="BE43" s="122"/>
      <c r="BF43" s="133">
        <v>4.08</v>
      </c>
      <c r="BG43" s="133">
        <v>6.13</v>
      </c>
      <c r="BH43" s="133">
        <v>4.7</v>
      </c>
      <c r="BI43" s="133">
        <v>9.4499999999999993</v>
      </c>
      <c r="BJ43" s="133">
        <v>24.5</v>
      </c>
      <c r="BK43" s="133">
        <v>32.67</v>
      </c>
      <c r="BL43" s="133">
        <v>40.840000000000003</v>
      </c>
    </row>
    <row r="44" spans="1:64">
      <c r="A44" s="140">
        <v>-23</v>
      </c>
      <c r="B44" s="139" t="s">
        <v>324</v>
      </c>
      <c r="C44" s="139"/>
      <c r="D44" s="133">
        <v>14.93</v>
      </c>
      <c r="E44" s="133">
        <v>29.86</v>
      </c>
      <c r="F44" s="133">
        <v>31.993910423980584</v>
      </c>
      <c r="G44" s="133">
        <v>44.545266698352009</v>
      </c>
      <c r="H44" s="133">
        <v>74.649999999999991</v>
      </c>
      <c r="I44" s="133">
        <v>89.58</v>
      </c>
      <c r="J44" s="133">
        <v>119.44</v>
      </c>
      <c r="L44" s="127">
        <v>-23</v>
      </c>
      <c r="M44" s="122" t="s">
        <v>324</v>
      </c>
      <c r="N44" s="122"/>
      <c r="O44" s="133">
        <v>5.97</v>
      </c>
      <c r="P44" s="133">
        <v>8.9600000000000009</v>
      </c>
      <c r="Q44" s="133">
        <v>6.87</v>
      </c>
      <c r="R44" s="133">
        <v>13.82</v>
      </c>
      <c r="S44" s="133">
        <v>35.83</v>
      </c>
      <c r="T44" s="133">
        <v>47.78</v>
      </c>
      <c r="U44" s="133">
        <v>59.72</v>
      </c>
      <c r="W44" s="140">
        <v>-23</v>
      </c>
      <c r="X44" s="139" t="s">
        <v>324</v>
      </c>
      <c r="Y44" s="139"/>
      <c r="Z44" s="133">
        <v>24.02</v>
      </c>
      <c r="AA44" s="133">
        <v>48.04</v>
      </c>
      <c r="AB44" s="133">
        <v>51.473123133557515</v>
      </c>
      <c r="AC44" s="133">
        <v>71.666262966806116</v>
      </c>
      <c r="AD44" s="133">
        <v>120.1</v>
      </c>
      <c r="AE44" s="133">
        <v>144.12</v>
      </c>
      <c r="AF44" s="133">
        <v>192.16</v>
      </c>
      <c r="AH44" s="127">
        <v>-23</v>
      </c>
      <c r="AI44" s="122" t="s">
        <v>324</v>
      </c>
      <c r="AJ44" s="122"/>
      <c r="AK44" s="133">
        <v>9.61</v>
      </c>
      <c r="AL44" s="133">
        <v>14.41</v>
      </c>
      <c r="AM44" s="133">
        <v>11.05</v>
      </c>
      <c r="AN44" s="133">
        <v>22.23</v>
      </c>
      <c r="AO44" s="133">
        <v>57.65</v>
      </c>
      <c r="AP44" s="133">
        <v>76.86</v>
      </c>
      <c r="AQ44" s="133">
        <v>96.08</v>
      </c>
      <c r="AS44" s="140">
        <v>-23</v>
      </c>
      <c r="AT44" s="139" t="s">
        <v>324</v>
      </c>
      <c r="AU44" s="139"/>
      <c r="AV44" s="133">
        <v>16.349999999999998</v>
      </c>
      <c r="AW44" s="133">
        <v>32.699999999999996</v>
      </c>
      <c r="AX44" s="133">
        <v>35.036867744948594</v>
      </c>
      <c r="AY44" s="133">
        <v>48.781989987813482</v>
      </c>
      <c r="AZ44" s="133">
        <v>81.749999999999986</v>
      </c>
      <c r="BA44" s="133">
        <v>98.1</v>
      </c>
      <c r="BC44" s="127">
        <v>-23</v>
      </c>
      <c r="BD44" s="122" t="s">
        <v>324</v>
      </c>
      <c r="BE44" s="122"/>
      <c r="BF44" s="133">
        <v>6.54</v>
      </c>
      <c r="BG44" s="133">
        <v>9.81</v>
      </c>
      <c r="BH44" s="133">
        <v>7.52</v>
      </c>
      <c r="BI44" s="133">
        <v>15.13</v>
      </c>
      <c r="BJ44" s="133">
        <v>39.24</v>
      </c>
      <c r="BK44" s="133">
        <v>52.32</v>
      </c>
      <c r="BL44" s="133">
        <v>65.400000000000006</v>
      </c>
    </row>
    <row r="45" spans="1:64">
      <c r="A45" s="140">
        <v>-24</v>
      </c>
      <c r="B45" s="139" t="s">
        <v>325</v>
      </c>
      <c r="C45" s="139"/>
      <c r="D45" s="133">
        <v>43.03</v>
      </c>
      <c r="E45" s="133">
        <v>86.06</v>
      </c>
      <c r="F45" s="133">
        <v>92.210178536094091</v>
      </c>
      <c r="G45" s="133">
        <v>128.38465010248407</v>
      </c>
      <c r="H45" s="133">
        <v>215.15</v>
      </c>
      <c r="I45" s="133">
        <v>258.18</v>
      </c>
      <c r="J45" s="133">
        <v>344.24</v>
      </c>
      <c r="L45" s="127">
        <v>-24</v>
      </c>
      <c r="M45" s="122" t="s">
        <v>325</v>
      </c>
      <c r="N45" s="122"/>
      <c r="O45" s="133">
        <v>9.9499999999999993</v>
      </c>
      <c r="P45" s="133">
        <v>14.93</v>
      </c>
      <c r="Q45" s="133">
        <v>11.45</v>
      </c>
      <c r="R45" s="133">
        <v>23.02</v>
      </c>
      <c r="S45" s="133">
        <v>59.71</v>
      </c>
      <c r="T45" s="133">
        <v>79.62</v>
      </c>
      <c r="U45" s="133">
        <v>99.52</v>
      </c>
      <c r="W45" s="140">
        <v>-24</v>
      </c>
      <c r="X45" s="139" t="s">
        <v>325</v>
      </c>
      <c r="Y45" s="139"/>
      <c r="Z45" s="133">
        <v>43.03</v>
      </c>
      <c r="AA45" s="133">
        <v>86.06</v>
      </c>
      <c r="AB45" s="133">
        <v>92.210178536094091</v>
      </c>
      <c r="AC45" s="133">
        <v>128.38465010248407</v>
      </c>
      <c r="AD45" s="133">
        <v>215.15</v>
      </c>
      <c r="AE45" s="133">
        <v>258.18</v>
      </c>
      <c r="AF45" s="133">
        <v>344.24</v>
      </c>
      <c r="AH45" s="127">
        <v>-24</v>
      </c>
      <c r="AI45" s="122" t="s">
        <v>325</v>
      </c>
      <c r="AJ45" s="122"/>
      <c r="AK45" s="133">
        <v>9.9499999999999993</v>
      </c>
      <c r="AL45" s="133">
        <v>14.93</v>
      </c>
      <c r="AM45" s="133">
        <v>11.45</v>
      </c>
      <c r="AN45" s="133">
        <v>23.02</v>
      </c>
      <c r="AO45" s="133">
        <v>59.71</v>
      </c>
      <c r="AP45" s="133">
        <v>79.62</v>
      </c>
      <c r="AQ45" s="133">
        <v>99.52</v>
      </c>
      <c r="AS45" s="140">
        <v>-24</v>
      </c>
      <c r="AT45" s="139" t="s">
        <v>325</v>
      </c>
      <c r="AU45" s="139"/>
      <c r="AV45" s="133">
        <v>43.03</v>
      </c>
      <c r="AW45" s="133">
        <v>86.06</v>
      </c>
      <c r="AX45" s="133">
        <v>92.210178536094091</v>
      </c>
      <c r="AY45" s="133">
        <v>128.38465010248407</v>
      </c>
      <c r="AZ45" s="133">
        <v>215.15</v>
      </c>
      <c r="BA45" s="133">
        <v>258.18</v>
      </c>
      <c r="BC45" s="127">
        <v>-24</v>
      </c>
      <c r="BD45" s="122" t="s">
        <v>325</v>
      </c>
      <c r="BE45" s="122"/>
      <c r="BF45" s="133">
        <v>9.9499999999999993</v>
      </c>
      <c r="BG45" s="133">
        <v>14.93</v>
      </c>
      <c r="BH45" s="133">
        <v>11.45</v>
      </c>
      <c r="BI45" s="133">
        <v>23.02</v>
      </c>
      <c r="BJ45" s="133">
        <v>59.71</v>
      </c>
      <c r="BK45" s="133">
        <v>79.62</v>
      </c>
      <c r="BL45" s="133">
        <v>99.52</v>
      </c>
    </row>
    <row r="46" spans="1:64">
      <c r="A46" s="140">
        <v>-25</v>
      </c>
      <c r="B46" s="139" t="s">
        <v>326</v>
      </c>
      <c r="C46" s="139"/>
      <c r="D46" s="133">
        <v>5.9700000000000006</v>
      </c>
      <c r="E46" s="133">
        <v>11.940000000000001</v>
      </c>
      <c r="F46" s="133">
        <v>12.793278314210591</v>
      </c>
      <c r="G46" s="133">
        <v>17.812139463440154</v>
      </c>
      <c r="H46" s="133">
        <v>29.85</v>
      </c>
      <c r="I46" s="133">
        <v>35.82</v>
      </c>
      <c r="J46" s="133">
        <v>47.760000000000005</v>
      </c>
      <c r="L46" s="127">
        <v>-25</v>
      </c>
      <c r="M46" s="128" t="s">
        <v>326</v>
      </c>
      <c r="N46" s="122"/>
      <c r="O46" s="133">
        <v>0.43</v>
      </c>
      <c r="P46" s="133">
        <v>0.64</v>
      </c>
      <c r="Q46" s="133">
        <v>0.49</v>
      </c>
      <c r="R46" s="133">
        <v>0.99</v>
      </c>
      <c r="S46" s="133">
        <v>2.56</v>
      </c>
      <c r="T46" s="133">
        <v>3.41</v>
      </c>
      <c r="U46" s="133">
        <v>4.26</v>
      </c>
      <c r="W46" s="140">
        <v>-25</v>
      </c>
      <c r="X46" s="139" t="s">
        <v>326</v>
      </c>
      <c r="Y46" s="139"/>
      <c r="Z46" s="133">
        <v>5.9700000000000006</v>
      </c>
      <c r="AA46" s="133">
        <v>11.940000000000001</v>
      </c>
      <c r="AB46" s="133">
        <v>12.793278314210591</v>
      </c>
      <c r="AC46" s="133">
        <v>17.812139463440154</v>
      </c>
      <c r="AD46" s="133">
        <v>29.85</v>
      </c>
      <c r="AE46" s="133">
        <v>35.82</v>
      </c>
      <c r="AF46" s="133">
        <v>47.760000000000005</v>
      </c>
      <c r="AH46" s="127">
        <v>-25</v>
      </c>
      <c r="AI46" s="128" t="s">
        <v>326</v>
      </c>
      <c r="AJ46" s="122"/>
      <c r="AK46" s="133">
        <v>0.43</v>
      </c>
      <c r="AL46" s="133">
        <v>0.64</v>
      </c>
      <c r="AM46" s="133">
        <v>0.49</v>
      </c>
      <c r="AN46" s="133">
        <v>0.99</v>
      </c>
      <c r="AO46" s="133">
        <v>2.56</v>
      </c>
      <c r="AP46" s="133">
        <v>3.41</v>
      </c>
      <c r="AQ46" s="133">
        <v>4.26</v>
      </c>
      <c r="AS46" s="140">
        <v>-25</v>
      </c>
      <c r="AT46" s="139" t="s">
        <v>326</v>
      </c>
      <c r="AU46" s="139"/>
      <c r="AV46" s="133">
        <v>5.9700000000000006</v>
      </c>
      <c r="AW46" s="133">
        <v>11.940000000000001</v>
      </c>
      <c r="AX46" s="133">
        <v>12.793278314210591</v>
      </c>
      <c r="AY46" s="133">
        <v>17.812139463440154</v>
      </c>
      <c r="AZ46" s="133">
        <v>29.85</v>
      </c>
      <c r="BA46" s="133">
        <v>35.82</v>
      </c>
      <c r="BC46" s="127">
        <v>-25</v>
      </c>
      <c r="BD46" s="128" t="s">
        <v>326</v>
      </c>
      <c r="BE46" s="122"/>
      <c r="BF46" s="133">
        <v>0.43</v>
      </c>
      <c r="BG46" s="133">
        <v>0.64</v>
      </c>
      <c r="BH46" s="133">
        <v>0.49</v>
      </c>
      <c r="BI46" s="133">
        <v>0.99</v>
      </c>
      <c r="BJ46" s="133">
        <v>2.56</v>
      </c>
      <c r="BK46" s="133">
        <v>3.41</v>
      </c>
      <c r="BL46" s="133">
        <v>4.26</v>
      </c>
    </row>
    <row r="47" spans="1:64">
      <c r="A47" s="140">
        <v>-26</v>
      </c>
      <c r="B47" s="139" t="s">
        <v>72</v>
      </c>
      <c r="C47" s="139"/>
      <c r="D47" s="133">
        <v>12</v>
      </c>
      <c r="E47" s="133">
        <v>12</v>
      </c>
      <c r="F47" s="133">
        <v>12</v>
      </c>
      <c r="G47" s="133">
        <v>12</v>
      </c>
      <c r="H47" s="133">
        <v>12</v>
      </c>
      <c r="I47" s="133">
        <v>12</v>
      </c>
      <c r="J47" s="133">
        <v>12</v>
      </c>
      <c r="L47" s="127">
        <v>-26</v>
      </c>
      <c r="M47" s="122" t="s">
        <v>72</v>
      </c>
      <c r="N47" s="122"/>
      <c r="O47" s="130">
        <v>12</v>
      </c>
      <c r="P47" s="130">
        <v>12</v>
      </c>
      <c r="Q47" s="130">
        <v>12</v>
      </c>
      <c r="R47" s="130">
        <v>12</v>
      </c>
      <c r="S47" s="130">
        <v>12</v>
      </c>
      <c r="T47" s="130">
        <v>12</v>
      </c>
      <c r="U47" s="130">
        <v>12</v>
      </c>
      <c r="W47" s="140">
        <v>-26</v>
      </c>
      <c r="X47" s="139" t="s">
        <v>72</v>
      </c>
      <c r="Y47" s="139"/>
      <c r="Z47" s="133">
        <v>12</v>
      </c>
      <c r="AA47" s="133">
        <v>12</v>
      </c>
      <c r="AB47" s="133">
        <v>12</v>
      </c>
      <c r="AC47" s="133">
        <v>12</v>
      </c>
      <c r="AD47" s="133">
        <v>12</v>
      </c>
      <c r="AE47" s="133">
        <v>12</v>
      </c>
      <c r="AF47" s="133">
        <v>12</v>
      </c>
      <c r="AH47" s="127">
        <v>-26</v>
      </c>
      <c r="AI47" s="122" t="s">
        <v>72</v>
      </c>
      <c r="AJ47" s="122"/>
      <c r="AK47" s="130">
        <v>12</v>
      </c>
      <c r="AL47" s="130">
        <v>12</v>
      </c>
      <c r="AM47" s="130">
        <v>12</v>
      </c>
      <c r="AN47" s="130">
        <v>12</v>
      </c>
      <c r="AO47" s="130">
        <v>12</v>
      </c>
      <c r="AP47" s="130">
        <v>12</v>
      </c>
      <c r="AQ47" s="130">
        <v>12</v>
      </c>
      <c r="AS47" s="140">
        <v>-26</v>
      </c>
      <c r="AT47" s="139" t="s">
        <v>72</v>
      </c>
      <c r="AU47" s="139"/>
      <c r="AV47" s="133">
        <v>12</v>
      </c>
      <c r="AW47" s="133">
        <v>12</v>
      </c>
      <c r="AX47" s="133">
        <v>12</v>
      </c>
      <c r="AY47" s="133">
        <v>12</v>
      </c>
      <c r="AZ47" s="133">
        <v>12</v>
      </c>
      <c r="BA47" s="133">
        <v>12</v>
      </c>
      <c r="BC47" s="127">
        <v>-26</v>
      </c>
      <c r="BD47" s="122" t="s">
        <v>72</v>
      </c>
      <c r="BE47" s="122"/>
      <c r="BF47" s="130">
        <v>12</v>
      </c>
      <c r="BG47" s="130">
        <v>12</v>
      </c>
      <c r="BH47" s="130">
        <v>12</v>
      </c>
      <c r="BI47" s="130">
        <v>12</v>
      </c>
      <c r="BJ47" s="130">
        <v>12</v>
      </c>
      <c r="BK47" s="130">
        <v>12</v>
      </c>
      <c r="BL47" s="130">
        <v>12</v>
      </c>
    </row>
    <row r="48" spans="1:64">
      <c r="A48" s="137"/>
      <c r="B48" s="139"/>
      <c r="C48" s="139"/>
      <c r="D48" s="139"/>
      <c r="E48" s="139"/>
      <c r="F48" s="139"/>
      <c r="G48" s="139"/>
      <c r="H48" s="139"/>
      <c r="I48" s="139"/>
      <c r="J48" s="139"/>
      <c r="L48" s="121"/>
      <c r="M48" s="122"/>
      <c r="N48" s="122"/>
      <c r="O48" s="122"/>
      <c r="P48" s="122"/>
      <c r="Q48" s="122"/>
      <c r="R48" s="122"/>
      <c r="S48" s="122"/>
      <c r="T48" s="122"/>
      <c r="U48" s="122"/>
      <c r="W48" s="137"/>
      <c r="X48" s="139"/>
      <c r="Y48" s="139"/>
      <c r="Z48" s="139"/>
      <c r="AA48" s="139"/>
      <c r="AB48" s="139"/>
      <c r="AC48" s="139"/>
      <c r="AD48" s="139"/>
      <c r="AE48" s="139"/>
      <c r="AF48" s="139"/>
      <c r="AH48" s="121"/>
      <c r="AI48" s="122"/>
      <c r="AJ48" s="122"/>
      <c r="AK48" s="122"/>
      <c r="AL48" s="122"/>
      <c r="AM48" s="122"/>
      <c r="AN48" s="122"/>
      <c r="AO48" s="122"/>
      <c r="AP48" s="122"/>
      <c r="AQ48" s="122"/>
      <c r="AS48" s="137"/>
      <c r="AT48" s="139"/>
      <c r="AU48" s="139"/>
      <c r="AV48" s="139"/>
      <c r="AW48" s="139"/>
      <c r="AX48" s="139"/>
      <c r="AY48" s="139"/>
      <c r="AZ48" s="139"/>
      <c r="BA48" s="139"/>
      <c r="BC48" s="121"/>
      <c r="BD48" s="122"/>
      <c r="BE48" s="122"/>
      <c r="BF48" s="122"/>
      <c r="BG48" s="122"/>
      <c r="BH48" s="122"/>
      <c r="BI48" s="122"/>
      <c r="BJ48" s="122"/>
      <c r="BK48" s="122"/>
      <c r="BL48" s="122"/>
    </row>
    <row r="49" spans="1:64">
      <c r="A49" s="140">
        <v>-27</v>
      </c>
      <c r="B49" s="141" t="s">
        <v>327</v>
      </c>
      <c r="C49" s="141"/>
      <c r="D49" s="152">
        <v>128.54500000000002</v>
      </c>
      <c r="E49" s="152">
        <v>245.09</v>
      </c>
      <c r="F49" s="152">
        <v>261.74750772691345</v>
      </c>
      <c r="G49" s="152">
        <v>359.72458857062526</v>
      </c>
      <c r="H49" s="152">
        <v>594.72500000000002</v>
      </c>
      <c r="I49" s="152">
        <v>711.2700000000001</v>
      </c>
      <c r="J49" s="152">
        <v>944.36</v>
      </c>
      <c r="L49" s="127">
        <v>-27</v>
      </c>
      <c r="M49" s="134" t="s">
        <v>327</v>
      </c>
      <c r="N49" s="134"/>
      <c r="O49" s="135">
        <v>39.81</v>
      </c>
      <c r="P49" s="135">
        <v>53.730000000000004</v>
      </c>
      <c r="Q49" s="135">
        <v>44</v>
      </c>
      <c r="R49" s="135">
        <v>76.359999999999985</v>
      </c>
      <c r="S49" s="135">
        <v>178.89</v>
      </c>
      <c r="T49" s="135">
        <v>234.54</v>
      </c>
      <c r="U49" s="135">
        <v>290.15999999999997</v>
      </c>
      <c r="W49" s="140">
        <v>-27</v>
      </c>
      <c r="X49" s="141" t="s">
        <v>327</v>
      </c>
      <c r="Y49" s="141"/>
      <c r="Z49" s="152">
        <v>137.63499999999999</v>
      </c>
      <c r="AA49" s="152">
        <v>263.27</v>
      </c>
      <c r="AB49" s="152">
        <v>281.22672043649033</v>
      </c>
      <c r="AC49" s="152">
        <v>386.84558483907932</v>
      </c>
      <c r="AD49" s="152">
        <v>640.17499999999995</v>
      </c>
      <c r="AE49" s="152">
        <v>765.81000000000006</v>
      </c>
      <c r="AF49" s="152">
        <v>1017.08</v>
      </c>
      <c r="AH49" s="127">
        <v>-27</v>
      </c>
      <c r="AI49" s="134" t="s">
        <v>327</v>
      </c>
      <c r="AJ49" s="134"/>
      <c r="AK49" s="135">
        <v>43.45</v>
      </c>
      <c r="AL49" s="135">
        <v>59.18</v>
      </c>
      <c r="AM49" s="135">
        <v>48.18</v>
      </c>
      <c r="AN49" s="135">
        <v>84.77</v>
      </c>
      <c r="AO49" s="135">
        <v>200.71</v>
      </c>
      <c r="AP49" s="135">
        <v>263.62</v>
      </c>
      <c r="AQ49" s="135">
        <v>326.52</v>
      </c>
      <c r="AS49" s="140">
        <v>-27</v>
      </c>
      <c r="AT49" s="141" t="s">
        <v>327</v>
      </c>
      <c r="AU49" s="141"/>
      <c r="AV49" s="152">
        <v>129.965</v>
      </c>
      <c r="AW49" s="152">
        <v>247.93</v>
      </c>
      <c r="AX49" s="152">
        <v>264.79046504788141</v>
      </c>
      <c r="AY49" s="152">
        <v>363.96131186008671</v>
      </c>
      <c r="AZ49" s="152">
        <v>601.82500000000005</v>
      </c>
      <c r="BA49" s="152">
        <v>719.79000000000008</v>
      </c>
      <c r="BC49" s="127">
        <v>-27</v>
      </c>
      <c r="BD49" s="134" t="s">
        <v>327</v>
      </c>
      <c r="BE49" s="134"/>
      <c r="BF49" s="135">
        <v>40.379999999999995</v>
      </c>
      <c r="BG49" s="135">
        <v>54.58</v>
      </c>
      <c r="BH49" s="135">
        <v>44.65</v>
      </c>
      <c r="BI49" s="135">
        <v>77.669999999999987</v>
      </c>
      <c r="BJ49" s="135">
        <v>182.3</v>
      </c>
      <c r="BK49" s="135">
        <v>239.08</v>
      </c>
      <c r="BL49" s="135">
        <v>295.83999999999997</v>
      </c>
    </row>
    <row r="50" spans="1:64">
      <c r="A50" s="137"/>
      <c r="B50" s="139"/>
      <c r="C50" s="139"/>
      <c r="D50" s="153"/>
      <c r="E50" s="153"/>
      <c r="F50" s="153"/>
      <c r="G50" s="153"/>
      <c r="H50" s="153"/>
      <c r="I50" s="153"/>
      <c r="J50" s="153"/>
      <c r="L50" s="121"/>
      <c r="M50" s="122"/>
      <c r="N50" s="122"/>
      <c r="O50" s="130"/>
      <c r="P50" s="130"/>
      <c r="Q50" s="130"/>
      <c r="R50" s="130"/>
      <c r="S50" s="130"/>
      <c r="T50" s="130"/>
      <c r="U50" s="130"/>
      <c r="W50" s="137"/>
      <c r="X50" s="139"/>
      <c r="Y50" s="139"/>
      <c r="Z50" s="153"/>
      <c r="AA50" s="153"/>
      <c r="AB50" s="153"/>
      <c r="AC50" s="153"/>
      <c r="AD50" s="153"/>
      <c r="AE50" s="153"/>
      <c r="AF50" s="153"/>
      <c r="AH50" s="121"/>
      <c r="AI50" s="122"/>
      <c r="AJ50" s="122"/>
      <c r="AK50" s="130"/>
      <c r="AL50" s="130"/>
      <c r="AM50" s="130"/>
      <c r="AN50" s="130"/>
      <c r="AO50" s="130"/>
      <c r="AP50" s="130"/>
      <c r="AQ50" s="130"/>
      <c r="AS50" s="137"/>
      <c r="AT50" s="139"/>
      <c r="AU50" s="139"/>
      <c r="AV50" s="153"/>
      <c r="AW50" s="153"/>
      <c r="AX50" s="153"/>
      <c r="AY50" s="153"/>
      <c r="AZ50" s="153"/>
      <c r="BA50" s="153"/>
      <c r="BC50" s="121"/>
      <c r="BD50" s="122"/>
      <c r="BE50" s="122"/>
      <c r="BF50" s="130"/>
      <c r="BG50" s="130"/>
      <c r="BH50" s="130"/>
      <c r="BI50" s="130"/>
      <c r="BJ50" s="130"/>
      <c r="BK50" s="130"/>
      <c r="BL50" s="130"/>
    </row>
    <row r="51" spans="1:64">
      <c r="A51" s="140">
        <v>-28</v>
      </c>
      <c r="B51" s="141" t="s">
        <v>333</v>
      </c>
      <c r="C51" s="141"/>
      <c r="D51" s="152">
        <v>9.0949999999999704</v>
      </c>
      <c r="E51" s="152">
        <v>18.179999999999978</v>
      </c>
      <c r="F51" s="152">
        <v>19.472492273086573</v>
      </c>
      <c r="G51" s="152">
        <v>27.115411429374717</v>
      </c>
      <c r="H51" s="152">
        <v>45.454999999999927</v>
      </c>
      <c r="I51" s="152">
        <v>54.539999999999964</v>
      </c>
      <c r="J51" s="152">
        <v>72.720000000000027</v>
      </c>
      <c r="L51" s="127">
        <v>-28</v>
      </c>
      <c r="M51" s="134" t="s">
        <v>334</v>
      </c>
      <c r="N51" s="134"/>
      <c r="O51" s="135">
        <v>3.6400000000000006</v>
      </c>
      <c r="P51" s="135">
        <v>5.4499999999999957</v>
      </c>
      <c r="Q51" s="135">
        <v>4.18</v>
      </c>
      <c r="R51" s="135">
        <v>8.4100000000000108</v>
      </c>
      <c r="S51" s="135">
        <v>21.820000000000022</v>
      </c>
      <c r="T51" s="135">
        <v>29.080000000000013</v>
      </c>
      <c r="U51" s="135">
        <v>36.360000000000014</v>
      </c>
      <c r="W51" s="140">
        <v>-28</v>
      </c>
      <c r="X51" s="141" t="s">
        <v>333</v>
      </c>
      <c r="Y51" s="141"/>
      <c r="Z51" s="135">
        <v>-7.6550000000000011</v>
      </c>
      <c r="AA51" s="135">
        <v>-15.329999999999984</v>
      </c>
      <c r="AB51" s="135">
        <v>-16.426720436490371</v>
      </c>
      <c r="AC51" s="135">
        <v>-22.875584839079352</v>
      </c>
      <c r="AD51" s="135">
        <v>-38.314999999999941</v>
      </c>
      <c r="AE51" s="135">
        <v>-45.990000000000009</v>
      </c>
      <c r="AF51" s="135">
        <v>-61.32000000000005</v>
      </c>
      <c r="AH51" s="127">
        <v>-28</v>
      </c>
      <c r="AI51" s="134" t="s">
        <v>334</v>
      </c>
      <c r="AJ51" s="134"/>
      <c r="AK51" s="135">
        <v>-3.0700000000000074</v>
      </c>
      <c r="AL51" s="135">
        <v>-4.6000000000000014</v>
      </c>
      <c r="AM51" s="135">
        <v>-3.519999999999996</v>
      </c>
      <c r="AN51" s="135">
        <v>-7.1000000000000085</v>
      </c>
      <c r="AO51" s="135">
        <v>-18.400000000000006</v>
      </c>
      <c r="AP51" s="135">
        <v>-24.52000000000001</v>
      </c>
      <c r="AQ51" s="135">
        <v>-30.660000000000025</v>
      </c>
      <c r="AS51" s="140">
        <v>-28</v>
      </c>
      <c r="AT51" s="141" t="s">
        <v>333</v>
      </c>
      <c r="AU51" s="141"/>
      <c r="AV51" s="135">
        <v>1.9949999999999761</v>
      </c>
      <c r="AW51" s="135">
        <v>3.9699999999999989</v>
      </c>
      <c r="AX51" s="135">
        <v>4.2495349521186085</v>
      </c>
      <c r="AY51" s="135">
        <v>5.9086881399132949</v>
      </c>
      <c r="AZ51" s="135">
        <v>9.9349999999999454</v>
      </c>
      <c r="BA51" s="135">
        <v>11.909999999999968</v>
      </c>
      <c r="BC51" s="127">
        <v>-28</v>
      </c>
      <c r="BD51" s="134" t="s">
        <v>334</v>
      </c>
      <c r="BE51" s="134"/>
      <c r="BF51" s="135">
        <v>0.79000000000000625</v>
      </c>
      <c r="BG51" s="135">
        <v>1.1899999999999977</v>
      </c>
      <c r="BH51" s="135">
        <v>0.92000000000000171</v>
      </c>
      <c r="BI51" s="135">
        <v>1.8400000000000034</v>
      </c>
      <c r="BJ51" s="135">
        <v>4.7599999999999909</v>
      </c>
      <c r="BK51" s="135">
        <v>6.3499999999999943</v>
      </c>
      <c r="BL51" s="135">
        <v>7.9399999999999977</v>
      </c>
    </row>
    <row r="52" spans="1:64">
      <c r="A52" s="140">
        <v>-29</v>
      </c>
      <c r="B52" s="141" t="s">
        <v>335</v>
      </c>
      <c r="C52" s="141"/>
      <c r="D52" s="136">
        <v>7.0753432650044495E-2</v>
      </c>
      <c r="E52" s="136">
        <v>7.4176833000122316E-2</v>
      </c>
      <c r="F52" s="136">
        <v>7.4394184082939283E-2</v>
      </c>
      <c r="G52" s="136">
        <v>7.5378254061304203E-2</v>
      </c>
      <c r="H52" s="136">
        <v>7.6430282903863E-2</v>
      </c>
      <c r="I52" s="136">
        <v>7.6679741870175816E-2</v>
      </c>
      <c r="J52" s="136">
        <v>7.7004532169935219E-2</v>
      </c>
      <c r="L52" s="127">
        <v>-29</v>
      </c>
      <c r="M52" s="134" t="s">
        <v>336</v>
      </c>
      <c r="N52" s="134"/>
      <c r="O52" s="136">
        <v>9.1434312986686778E-2</v>
      </c>
      <c r="P52" s="136">
        <v>0.10143309138284004</v>
      </c>
      <c r="Q52" s="136">
        <v>9.4999999999999987E-2</v>
      </c>
      <c r="R52" s="136">
        <v>0.11013619696176025</v>
      </c>
      <c r="S52" s="136">
        <v>0.12197439767454873</v>
      </c>
      <c r="T52" s="136">
        <v>0.1239873795514625</v>
      </c>
      <c r="U52" s="136">
        <v>0.12531017369727054</v>
      </c>
      <c r="W52" s="140">
        <v>-29</v>
      </c>
      <c r="X52" s="141" t="s">
        <v>335</v>
      </c>
      <c r="Y52" s="141"/>
      <c r="Z52" s="136">
        <v>-5.561812039088896E-2</v>
      </c>
      <c r="AA52" s="136">
        <v>-5.8229194363201217E-2</v>
      </c>
      <c r="AB52" s="136">
        <v>-5.8410951886060311E-2</v>
      </c>
      <c r="AC52" s="136">
        <v>-5.9133632993627616E-2</v>
      </c>
      <c r="AD52" s="136">
        <v>-5.9850822040848115E-2</v>
      </c>
      <c r="AE52" s="136">
        <v>-6.0054060406628286E-2</v>
      </c>
      <c r="AF52" s="136">
        <v>-6.0290242655445046E-2</v>
      </c>
      <c r="AH52" s="127">
        <v>-29</v>
      </c>
      <c r="AI52" s="134" t="s">
        <v>336</v>
      </c>
      <c r="AJ52" s="134"/>
      <c r="AK52" s="136">
        <v>-7.0655926352129056E-2</v>
      </c>
      <c r="AL52" s="136">
        <v>-7.772896248732683E-2</v>
      </c>
      <c r="AM52" s="136">
        <v>-7.305936073059352E-2</v>
      </c>
      <c r="AN52" s="136">
        <v>-8.3756045770909629E-2</v>
      </c>
      <c r="AO52" s="136">
        <v>-9.1674555328583554E-2</v>
      </c>
      <c r="AP52" s="136">
        <v>-9.3012669751915675E-2</v>
      </c>
      <c r="AQ52" s="136">
        <v>-9.389930172730622E-2</v>
      </c>
      <c r="AS52" s="140">
        <v>-29</v>
      </c>
      <c r="AT52" s="141" t="s">
        <v>335</v>
      </c>
      <c r="AU52" s="141"/>
      <c r="AV52" s="136">
        <v>1.5350286615627101E-2</v>
      </c>
      <c r="AW52" s="136">
        <v>1.6012584197152416E-2</v>
      </c>
      <c r="AX52" s="136">
        <v>1.6048670602055764E-2</v>
      </c>
      <c r="AY52" s="136">
        <v>1.6234385214505164E-2</v>
      </c>
      <c r="AZ52" s="136">
        <v>1.6508121131558084E-2</v>
      </c>
      <c r="BA52" s="136">
        <v>1.6546492727045344E-2</v>
      </c>
      <c r="BC52" s="127">
        <v>-29</v>
      </c>
      <c r="BD52" s="134" t="s">
        <v>336</v>
      </c>
      <c r="BE52" s="134"/>
      <c r="BF52" s="136">
        <v>1.9564140663695054E-2</v>
      </c>
      <c r="BG52" s="136">
        <v>2.1802858189813076E-2</v>
      </c>
      <c r="BH52" s="136">
        <v>2.0604703247480441E-2</v>
      </c>
      <c r="BI52" s="136">
        <v>2.3689970387537063E-2</v>
      </c>
      <c r="BJ52" s="136">
        <v>2.6110806363137635E-2</v>
      </c>
      <c r="BK52" s="136">
        <v>2.6560147231052343E-2</v>
      </c>
      <c r="BL52" s="136">
        <v>2.6838831800973493E-2</v>
      </c>
    </row>
    <row r="53" spans="1:64">
      <c r="A53" s="137"/>
      <c r="B53" s="139"/>
      <c r="C53" s="139"/>
      <c r="D53" s="139"/>
      <c r="E53" s="139"/>
      <c r="F53" s="139"/>
      <c r="G53" s="139"/>
      <c r="H53" s="139"/>
      <c r="I53" s="139"/>
      <c r="J53" s="139"/>
      <c r="L53" s="121"/>
      <c r="M53" s="122"/>
      <c r="N53" s="122"/>
      <c r="O53" s="122"/>
      <c r="P53" s="122"/>
      <c r="Q53" s="122"/>
      <c r="R53" s="122"/>
      <c r="S53" s="122"/>
      <c r="T53" s="122"/>
      <c r="U53" s="122"/>
      <c r="W53" s="137"/>
      <c r="X53" s="139"/>
      <c r="Y53" s="139"/>
      <c r="Z53" s="139"/>
      <c r="AA53" s="139"/>
      <c r="AB53" s="139"/>
      <c r="AC53" s="139"/>
      <c r="AD53" s="139"/>
      <c r="AE53" s="139"/>
      <c r="AF53" s="139"/>
      <c r="AH53" s="121"/>
      <c r="AI53" s="122"/>
      <c r="AJ53" s="122"/>
      <c r="AK53" s="122"/>
      <c r="AL53" s="122"/>
      <c r="AM53" s="122"/>
      <c r="AN53" s="122"/>
      <c r="AO53" s="122"/>
      <c r="AP53" s="122"/>
      <c r="AQ53" s="122"/>
      <c r="AS53" s="137"/>
      <c r="AT53" s="139"/>
      <c r="AU53" s="139"/>
      <c r="AV53" s="139"/>
      <c r="AW53" s="139"/>
      <c r="AX53" s="139"/>
      <c r="AY53" s="139"/>
      <c r="AZ53" s="139"/>
      <c r="BA53" s="139"/>
      <c r="BC53" s="121"/>
      <c r="BD53" s="122"/>
      <c r="BE53" s="122"/>
      <c r="BF53" s="122"/>
      <c r="BG53" s="122"/>
      <c r="BH53" s="122"/>
      <c r="BI53" s="122"/>
      <c r="BJ53" s="122"/>
      <c r="BK53" s="122"/>
      <c r="BL53" s="122"/>
    </row>
    <row r="54" spans="1:64">
      <c r="A54" s="137"/>
      <c r="B54" s="138" t="s">
        <v>337</v>
      </c>
      <c r="C54" s="139"/>
      <c r="D54" s="139"/>
      <c r="E54" s="139"/>
      <c r="F54" s="139"/>
      <c r="G54" s="139"/>
      <c r="H54" s="139"/>
      <c r="I54" s="139"/>
      <c r="J54" s="139"/>
      <c r="L54" s="137"/>
      <c r="M54" s="138" t="s">
        <v>337</v>
      </c>
      <c r="N54" s="139"/>
      <c r="O54" s="139"/>
      <c r="P54" s="139"/>
      <c r="Q54" s="139"/>
      <c r="R54" s="139"/>
      <c r="S54" s="139"/>
      <c r="T54" s="139"/>
      <c r="U54" s="139"/>
      <c r="W54" s="137"/>
      <c r="X54" s="138" t="s">
        <v>337</v>
      </c>
      <c r="Y54" s="139"/>
      <c r="Z54" s="139"/>
      <c r="AA54" s="139"/>
      <c r="AB54" s="139"/>
      <c r="AC54" s="139"/>
      <c r="AD54" s="139"/>
      <c r="AE54" s="139"/>
      <c r="AF54" s="139"/>
      <c r="AH54" s="137"/>
      <c r="AI54" s="138" t="s">
        <v>337</v>
      </c>
      <c r="AJ54" s="139"/>
      <c r="AK54" s="139"/>
      <c r="AL54" s="139"/>
      <c r="AM54" s="139"/>
      <c r="AN54" s="139"/>
      <c r="AO54" s="139"/>
      <c r="AP54" s="139"/>
      <c r="AQ54" s="139"/>
      <c r="AS54" s="137"/>
      <c r="AT54" s="138" t="s">
        <v>337</v>
      </c>
      <c r="AU54" s="139"/>
      <c r="AV54" s="139"/>
      <c r="AW54" s="139"/>
      <c r="AX54" s="139"/>
      <c r="AY54" s="139"/>
      <c r="AZ54" s="139"/>
      <c r="BA54" s="139"/>
      <c r="BC54" s="137"/>
      <c r="BD54" s="138" t="s">
        <v>337</v>
      </c>
      <c r="BE54" s="139"/>
      <c r="BF54" s="139"/>
      <c r="BG54" s="139"/>
      <c r="BH54" s="139"/>
      <c r="BI54" s="139"/>
      <c r="BJ54" s="139"/>
      <c r="BK54" s="139"/>
      <c r="BL54" s="139"/>
    </row>
    <row r="55" spans="1:64">
      <c r="A55" s="140">
        <v>-30</v>
      </c>
      <c r="B55" s="141" t="s">
        <v>338</v>
      </c>
      <c r="C55" s="139"/>
      <c r="D55" s="142">
        <v>2.625</v>
      </c>
      <c r="E55" s="142">
        <v>5.2300000000000182</v>
      </c>
      <c r="F55" s="142">
        <v>6.0536606073299595</v>
      </c>
      <c r="G55" s="142">
        <v>8.3697462472682673</v>
      </c>
      <c r="H55" s="142">
        <v>13.08499999999998</v>
      </c>
      <c r="I55" s="142">
        <v>15.689999999999941</v>
      </c>
      <c r="J55" s="142">
        <v>20.920000000000073</v>
      </c>
      <c r="L55" s="140">
        <v>-30</v>
      </c>
      <c r="M55" s="141" t="s">
        <v>338</v>
      </c>
      <c r="N55" s="139"/>
      <c r="O55" s="142">
        <v>1.039999999999992</v>
      </c>
      <c r="P55" s="142">
        <v>1.5700000000000074</v>
      </c>
      <c r="Q55" s="142">
        <v>1.4000000000000057</v>
      </c>
      <c r="R55" s="142">
        <v>3.1300000000000097</v>
      </c>
      <c r="S55" s="142">
        <v>6.2699999999999818</v>
      </c>
      <c r="T55" s="142">
        <v>8.3699999999999761</v>
      </c>
      <c r="U55" s="142">
        <v>10.460000000000036</v>
      </c>
      <c r="W55" s="140">
        <v>-30</v>
      </c>
      <c r="X55" s="141" t="s">
        <v>338</v>
      </c>
      <c r="Y55" s="139"/>
      <c r="Z55" s="135">
        <v>-0.5</v>
      </c>
      <c r="AA55" s="135">
        <v>-1.0099999999999909</v>
      </c>
      <c r="AB55" s="135">
        <v>-1.1673178299743654</v>
      </c>
      <c r="AC55" s="135">
        <v>-1.6238782095610986</v>
      </c>
      <c r="AD55" s="135">
        <v>-2.5199999999999818</v>
      </c>
      <c r="AE55" s="135">
        <v>-3.0299999999999727</v>
      </c>
      <c r="AF55" s="135">
        <v>-4.0399999999999636</v>
      </c>
      <c r="AH55" s="140">
        <v>-30</v>
      </c>
      <c r="AI55" s="141" t="s">
        <v>338</v>
      </c>
      <c r="AJ55" s="139"/>
      <c r="AK55" s="135">
        <v>-0.19999999999999574</v>
      </c>
      <c r="AL55" s="135">
        <v>-0.30000000000001137</v>
      </c>
      <c r="AM55" s="135">
        <v>-0.27000000000000313</v>
      </c>
      <c r="AN55" s="135">
        <v>-0.60999999999999943</v>
      </c>
      <c r="AO55" s="135">
        <v>-1.210000000000008</v>
      </c>
      <c r="AP55" s="135">
        <v>-1.6199999999999761</v>
      </c>
      <c r="AQ55" s="135">
        <v>-2.0200000000000387</v>
      </c>
      <c r="AS55" s="140">
        <v>-30</v>
      </c>
      <c r="AT55" s="141" t="s">
        <v>338</v>
      </c>
      <c r="AU55" s="139"/>
      <c r="AV55" s="142">
        <v>0.71500000000000341</v>
      </c>
      <c r="AW55" s="142">
        <v>1.4099999999999682</v>
      </c>
      <c r="AX55" s="142">
        <v>1.6312267630806048</v>
      </c>
      <c r="AY55" s="142">
        <v>2.2532079666143545</v>
      </c>
      <c r="AZ55" s="142">
        <v>3.5349999999999682</v>
      </c>
      <c r="BA55" s="142">
        <v>4.2300000000000182</v>
      </c>
      <c r="BC55" s="140">
        <v>-30</v>
      </c>
      <c r="BD55" s="141" t="s">
        <v>338</v>
      </c>
      <c r="BE55" s="139"/>
      <c r="BF55" s="142">
        <v>0.28000000000000114</v>
      </c>
      <c r="BG55" s="142">
        <v>0.42000000000000171</v>
      </c>
      <c r="BH55" s="142">
        <v>0.38000000000000256</v>
      </c>
      <c r="BI55" s="142">
        <v>0.84999999999999432</v>
      </c>
      <c r="BJ55" s="142">
        <v>1.6900000000000261</v>
      </c>
      <c r="BK55" s="142">
        <v>2.2600000000000193</v>
      </c>
      <c r="BL55" s="142">
        <v>2.82000000000005</v>
      </c>
    </row>
    <row r="56" spans="1:64">
      <c r="A56" s="140">
        <v>-31</v>
      </c>
      <c r="B56" s="141" t="s">
        <v>339</v>
      </c>
      <c r="C56" s="139"/>
      <c r="D56" s="136">
        <v>2.5424960046491359E-2</v>
      </c>
      <c r="E56" s="136">
        <v>2.689084271684929E-2</v>
      </c>
      <c r="F56" s="136">
        <v>2.7129873259580866E-2</v>
      </c>
      <c r="G56" s="136">
        <v>2.7515744838821909E-2</v>
      </c>
      <c r="H56" s="136">
        <v>2.7945966148753224E-2</v>
      </c>
      <c r="I56" s="136">
        <v>2.8044399163493921E-2</v>
      </c>
      <c r="J56" s="136">
        <v>2.8195590058763376E-2</v>
      </c>
      <c r="L56" s="140">
        <v>-31</v>
      </c>
      <c r="M56" s="141" t="s">
        <v>339</v>
      </c>
      <c r="N56" s="139"/>
      <c r="O56" s="136">
        <v>3.1221855298708856E-2</v>
      </c>
      <c r="P56" s="136">
        <v>3.5730541647701584E-2</v>
      </c>
      <c r="Q56" s="136">
        <v>3.4602076124567623E-2</v>
      </c>
      <c r="R56" s="136">
        <v>4.13037740828716E-2</v>
      </c>
      <c r="S56" s="136">
        <v>4.484978540772519E-2</v>
      </c>
      <c r="T56" s="136">
        <v>4.5890673830801997E-2</v>
      </c>
      <c r="U56" s="136">
        <v>4.6490955153562545E-2</v>
      </c>
      <c r="W56" s="140">
        <v>-31</v>
      </c>
      <c r="X56" s="141" t="s">
        <v>339</v>
      </c>
      <c r="Y56" s="139"/>
      <c r="Z56" s="136">
        <v>-4.7232193463064426E-3</v>
      </c>
      <c r="AA56" s="136">
        <v>-5.057079911876582E-3</v>
      </c>
      <c r="AB56" s="136">
        <v>-5.093291553070819E-3</v>
      </c>
      <c r="AC56" s="136">
        <v>-5.1955145105328712E-3</v>
      </c>
      <c r="AD56" s="136">
        <v>-5.2358196551007307E-3</v>
      </c>
      <c r="AE56" s="136">
        <v>-5.2680993114958856E-3</v>
      </c>
      <c r="AF56" s="136">
        <v>-5.2957214765100196E-3</v>
      </c>
      <c r="AH56" s="140">
        <v>-31</v>
      </c>
      <c r="AI56" s="141" t="s">
        <v>339</v>
      </c>
      <c r="AJ56" s="139"/>
      <c r="AK56" s="136">
        <v>-5.8224163027655249E-3</v>
      </c>
      <c r="AL56" s="136">
        <v>-6.5919578114702554E-3</v>
      </c>
      <c r="AM56" s="136">
        <v>-6.4500716674630466E-3</v>
      </c>
      <c r="AN56" s="136">
        <v>-7.7303256874920716E-3</v>
      </c>
      <c r="AO56" s="136">
        <v>-8.2836995960841233E-3</v>
      </c>
      <c r="AP56" s="136">
        <v>-8.4923464038581271E-3</v>
      </c>
      <c r="AQ56" s="136">
        <v>-8.5793162030156651E-3</v>
      </c>
      <c r="AS56" s="140">
        <v>-31</v>
      </c>
      <c r="AT56" s="141" t="s">
        <v>339</v>
      </c>
      <c r="AU56" s="139"/>
      <c r="AV56" s="136">
        <v>6.7865787100754912E-3</v>
      </c>
      <c r="AW56" s="136">
        <v>7.0957677016756484E-3</v>
      </c>
      <c r="AX56" s="136">
        <v>7.1539143024232643E-3</v>
      </c>
      <c r="AY56" s="136">
        <v>7.2465144825075087E-3</v>
      </c>
      <c r="AZ56" s="136">
        <v>7.383426452926673E-3</v>
      </c>
      <c r="BA56" s="136">
        <v>7.3934245713387151E-3</v>
      </c>
      <c r="BC56" s="140">
        <v>-31</v>
      </c>
      <c r="BD56" s="141" t="s">
        <v>339</v>
      </c>
      <c r="BE56" s="139"/>
      <c r="BF56" s="136">
        <v>8.1991215226940306E-3</v>
      </c>
      <c r="BG56" s="136">
        <v>9.2899800928998404E-3</v>
      </c>
      <c r="BH56" s="136">
        <v>9.1368117335898676E-3</v>
      </c>
      <c r="BI56" s="136">
        <v>1.0855683269476299E-2</v>
      </c>
      <c r="BJ56" s="136">
        <v>1.1666436559436879E-2</v>
      </c>
      <c r="BK56" s="136">
        <v>1.1948820979168972E-2</v>
      </c>
      <c r="BL56" s="136">
        <v>1.2080709420383199E-2</v>
      </c>
    </row>
    <row r="57" spans="1:64">
      <c r="A57" s="137"/>
      <c r="B57" s="141"/>
      <c r="C57" s="139"/>
      <c r="D57" s="139"/>
      <c r="E57" s="139"/>
      <c r="F57" s="139"/>
      <c r="G57" s="139"/>
      <c r="H57" s="139"/>
      <c r="I57" s="139"/>
      <c r="J57" s="139"/>
      <c r="L57" s="137"/>
      <c r="M57" s="141"/>
      <c r="N57" s="139"/>
      <c r="O57" s="139"/>
      <c r="P57" s="139"/>
      <c r="Q57" s="139"/>
      <c r="R57" s="139"/>
      <c r="S57" s="139"/>
      <c r="T57" s="139"/>
      <c r="U57" s="139"/>
      <c r="W57" s="140"/>
      <c r="X57" s="141"/>
      <c r="Y57" s="139"/>
      <c r="Z57" s="136"/>
      <c r="AA57" s="136"/>
      <c r="AB57" s="136"/>
      <c r="AC57" s="136"/>
      <c r="AD57" s="136"/>
      <c r="AE57" s="136"/>
      <c r="AF57" s="136"/>
      <c r="AH57" s="140"/>
      <c r="AI57" s="141"/>
      <c r="AJ57" s="139"/>
      <c r="AK57" s="136"/>
      <c r="AL57" s="136"/>
      <c r="AM57" s="136"/>
      <c r="AN57" s="136"/>
      <c r="AO57" s="136"/>
      <c r="AP57" s="136"/>
      <c r="AQ57" s="136"/>
      <c r="AS57" s="137"/>
      <c r="AT57" s="141"/>
      <c r="AU57" s="139"/>
      <c r="AV57" s="139"/>
      <c r="AW57" s="139"/>
      <c r="AX57" s="139"/>
      <c r="AY57" s="139"/>
      <c r="AZ57" s="139"/>
      <c r="BA57" s="139"/>
      <c r="BC57" s="137"/>
      <c r="BD57" s="141"/>
      <c r="BE57" s="139"/>
      <c r="BF57" s="139"/>
      <c r="BG57" s="139"/>
      <c r="BH57" s="139"/>
      <c r="BI57" s="139"/>
      <c r="BJ57" s="139"/>
      <c r="BK57" s="139"/>
      <c r="BL57" s="139"/>
    </row>
    <row r="58" spans="1:64">
      <c r="A58" s="137"/>
      <c r="B58" s="143" t="s">
        <v>340</v>
      </c>
      <c r="C58" s="139"/>
      <c r="D58" s="139"/>
      <c r="E58" s="133"/>
      <c r="F58" s="139"/>
      <c r="G58" s="139"/>
      <c r="H58" s="139"/>
      <c r="I58" s="139"/>
      <c r="J58" s="139"/>
      <c r="L58" s="121"/>
      <c r="M58" s="143" t="s">
        <v>340</v>
      </c>
      <c r="N58" s="122"/>
      <c r="O58" s="122"/>
      <c r="P58" s="122"/>
      <c r="Q58" s="122"/>
      <c r="R58" s="122"/>
      <c r="S58" s="122"/>
      <c r="T58" s="122"/>
      <c r="U58" s="122"/>
      <c r="W58" s="137"/>
      <c r="X58" s="143" t="s">
        <v>340</v>
      </c>
      <c r="Y58" s="139"/>
      <c r="Z58" s="139"/>
      <c r="AA58" s="133"/>
      <c r="AB58" s="139"/>
      <c r="AC58" s="139"/>
      <c r="AD58" s="139"/>
      <c r="AE58" s="139"/>
      <c r="AF58" s="139"/>
      <c r="AH58" s="121"/>
      <c r="AI58" s="143" t="s">
        <v>340</v>
      </c>
      <c r="AJ58" s="122"/>
      <c r="AK58" s="122"/>
      <c r="AL58" s="122"/>
      <c r="AM58" s="122"/>
      <c r="AN58" s="122"/>
      <c r="AO58" s="122"/>
      <c r="AP58" s="122"/>
      <c r="AQ58" s="122"/>
      <c r="AS58" s="137"/>
      <c r="AT58" s="143" t="s">
        <v>340</v>
      </c>
      <c r="AU58" s="139"/>
      <c r="AV58" s="139"/>
      <c r="AW58" s="133"/>
      <c r="AX58" s="139"/>
      <c r="AY58" s="139"/>
      <c r="AZ58" s="139"/>
      <c r="BA58" s="139"/>
      <c r="BC58" s="121"/>
      <c r="BD58" s="143" t="s">
        <v>340</v>
      </c>
      <c r="BE58" s="122"/>
      <c r="BF58" s="122"/>
      <c r="BG58" s="122"/>
      <c r="BH58" s="122"/>
      <c r="BI58" s="122"/>
      <c r="BJ58" s="122"/>
      <c r="BK58" s="122"/>
      <c r="BL58" s="122"/>
    </row>
    <row r="59" spans="1:64">
      <c r="A59" s="137"/>
      <c r="B59" s="139" t="s">
        <v>341</v>
      </c>
      <c r="C59" s="139"/>
      <c r="D59" s="139"/>
      <c r="E59" s="139"/>
      <c r="F59" s="139"/>
      <c r="G59" s="139"/>
      <c r="H59" s="139"/>
      <c r="I59" s="139"/>
      <c r="J59" s="139"/>
      <c r="L59" s="121"/>
      <c r="M59" s="122" t="s">
        <v>341</v>
      </c>
      <c r="N59" s="122"/>
      <c r="O59" s="122"/>
      <c r="P59" s="122"/>
      <c r="Q59" s="122"/>
      <c r="R59" s="122"/>
      <c r="S59" s="122"/>
      <c r="T59" s="122"/>
      <c r="U59" s="122"/>
      <c r="W59" s="137"/>
      <c r="X59" s="139" t="s">
        <v>341</v>
      </c>
      <c r="Y59" s="139"/>
      <c r="Z59" s="139"/>
      <c r="AA59" s="139"/>
      <c r="AB59" s="139"/>
      <c r="AC59" s="139"/>
      <c r="AD59" s="139"/>
      <c r="AE59" s="139"/>
      <c r="AF59" s="139"/>
      <c r="AH59" s="121"/>
      <c r="AI59" s="122" t="s">
        <v>341</v>
      </c>
      <c r="AJ59" s="122"/>
      <c r="AK59" s="122"/>
      <c r="AL59" s="122"/>
      <c r="AM59" s="122"/>
      <c r="AN59" s="122"/>
      <c r="AO59" s="122"/>
      <c r="AP59" s="122"/>
      <c r="AQ59" s="122"/>
      <c r="AS59" s="137"/>
      <c r="AT59" s="139" t="s">
        <v>341</v>
      </c>
      <c r="AU59" s="139"/>
      <c r="AV59" s="139"/>
      <c r="AW59" s="139"/>
      <c r="AX59" s="139"/>
      <c r="AY59" s="139"/>
      <c r="AZ59" s="139"/>
      <c r="BA59" s="139"/>
      <c r="BC59" s="121"/>
      <c r="BD59" s="122" t="s">
        <v>341</v>
      </c>
      <c r="BE59" s="122"/>
      <c r="BF59" s="122"/>
      <c r="BG59" s="122"/>
      <c r="BH59" s="122"/>
      <c r="BI59" s="122"/>
      <c r="BJ59" s="122"/>
      <c r="BK59" s="122"/>
      <c r="BL59" s="122"/>
    </row>
    <row r="60" spans="1:64">
      <c r="A60" s="137"/>
      <c r="B60" s="139" t="s">
        <v>342</v>
      </c>
      <c r="C60" s="139"/>
      <c r="D60" s="139"/>
      <c r="E60" s="139"/>
      <c r="F60" s="139"/>
      <c r="G60" s="139"/>
      <c r="H60" s="139"/>
      <c r="I60" s="139"/>
      <c r="J60" s="139"/>
      <c r="L60" s="121"/>
      <c r="M60" s="122" t="s">
        <v>343</v>
      </c>
      <c r="N60" s="122"/>
      <c r="O60" s="122"/>
      <c r="P60" s="122"/>
      <c r="Q60" s="122"/>
      <c r="R60" s="122"/>
      <c r="S60" s="122"/>
      <c r="T60" s="122"/>
      <c r="U60" s="122"/>
      <c r="W60" s="137"/>
      <c r="X60" s="139" t="s">
        <v>342</v>
      </c>
      <c r="Y60" s="139"/>
      <c r="Z60" s="139"/>
      <c r="AA60" s="139"/>
      <c r="AB60" s="139"/>
      <c r="AC60" s="139"/>
      <c r="AD60" s="139"/>
      <c r="AE60" s="139"/>
      <c r="AF60" s="139"/>
      <c r="AH60" s="121"/>
      <c r="AI60" s="122" t="s">
        <v>343</v>
      </c>
      <c r="AJ60" s="122"/>
      <c r="AK60" s="122"/>
      <c r="AL60" s="122"/>
      <c r="AM60" s="122"/>
      <c r="AN60" s="122"/>
      <c r="AO60" s="122"/>
      <c r="AP60" s="122"/>
      <c r="AQ60" s="122"/>
      <c r="AS60" s="137"/>
      <c r="AT60" s="139" t="s">
        <v>342</v>
      </c>
      <c r="AU60" s="139"/>
      <c r="AV60" s="139"/>
      <c r="AW60" s="139"/>
      <c r="AX60" s="139"/>
      <c r="AY60" s="139"/>
      <c r="AZ60" s="139"/>
      <c r="BA60" s="139"/>
      <c r="BC60" s="121"/>
      <c r="BD60" s="122" t="s">
        <v>343</v>
      </c>
      <c r="BE60" s="122"/>
      <c r="BF60" s="122"/>
      <c r="BG60" s="122"/>
      <c r="BH60" s="122"/>
      <c r="BI60" s="122"/>
      <c r="BJ60" s="122"/>
      <c r="BK60" s="122"/>
      <c r="BL60" s="122"/>
    </row>
  </sheetData>
  <mergeCells count="11">
    <mergeCell ref="L7:U7"/>
    <mergeCell ref="L9:U9"/>
    <mergeCell ref="A7:J7"/>
    <mergeCell ref="A9:J9"/>
    <mergeCell ref="AS7:BA7"/>
    <mergeCell ref="AS9:BA9"/>
    <mergeCell ref="BC9:BL9"/>
    <mergeCell ref="W7:AF7"/>
    <mergeCell ref="W9:AF9"/>
    <mergeCell ref="AH7:AQ7"/>
    <mergeCell ref="AH9:AQ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CD98B-DC5C-4F69-ADB1-12366550BB66}">
  <dimension ref="A1:AA65"/>
  <sheetViews>
    <sheetView workbookViewId="0">
      <selection activeCell="A30" sqref="A30:XFD30"/>
    </sheetView>
  </sheetViews>
  <sheetFormatPr defaultColWidth="8.7109375" defaultRowHeight="15"/>
  <cols>
    <col min="1" max="1" width="4" style="157" bestFit="1" customWidth="1"/>
    <col min="2" max="2" width="5.5703125" style="157" bestFit="1" customWidth="1"/>
    <col min="3" max="6" width="12" style="157" customWidth="1"/>
    <col min="7" max="7" width="2" style="157" customWidth="1"/>
    <col min="8" max="10" width="12" style="157" customWidth="1"/>
    <col min="11" max="11" width="2" style="157" customWidth="1"/>
    <col min="12" max="13" width="12" style="157" customWidth="1"/>
    <col min="14" max="14" width="2" style="157" customWidth="1"/>
    <col min="15" max="17" width="12" style="157" customWidth="1"/>
    <col min="18" max="18" width="2" style="157" customWidth="1"/>
    <col min="19" max="20" width="12" style="157" customWidth="1"/>
    <col min="21" max="21" width="2" style="157" customWidth="1"/>
    <col min="22" max="24" width="12" style="157" customWidth="1"/>
    <col min="25" max="25" width="2" style="157" customWidth="1"/>
    <col min="26" max="27" width="12" style="157" customWidth="1"/>
    <col min="28" max="16384" width="8.7109375" style="157"/>
  </cols>
  <sheetData>
    <row r="1" spans="1:27">
      <c r="A1" s="179">
        <v>1</v>
      </c>
      <c r="B1" s="157" t="s">
        <v>344</v>
      </c>
    </row>
    <row r="2" spans="1:27">
      <c r="A2" s="179">
        <f>A1+1</f>
        <v>2</v>
      </c>
      <c r="C2" s="157" t="s">
        <v>345</v>
      </c>
    </row>
    <row r="3" spans="1:27">
      <c r="A3" s="179">
        <f t="shared" ref="A3:A57" si="0">A2+1</f>
        <v>3</v>
      </c>
      <c r="B3" s="156" t="s">
        <v>346</v>
      </c>
    </row>
    <row r="4" spans="1:27">
      <c r="A4" s="179">
        <f t="shared" si="0"/>
        <v>4</v>
      </c>
      <c r="B4" s="156" t="s">
        <v>347</v>
      </c>
      <c r="C4" s="158"/>
      <c r="D4" s="158"/>
      <c r="E4" s="158"/>
      <c r="F4" s="158"/>
      <c r="G4" s="158"/>
      <c r="H4" s="158"/>
      <c r="I4" s="158"/>
      <c r="J4" s="158"/>
      <c r="K4" s="158"/>
      <c r="M4" s="158"/>
      <c r="N4" s="158"/>
      <c r="O4" s="158"/>
      <c r="P4" s="158"/>
      <c r="Q4" s="158"/>
      <c r="R4" s="158"/>
      <c r="S4" s="158"/>
      <c r="T4" s="159"/>
    </row>
    <row r="5" spans="1:27">
      <c r="A5" s="179">
        <f t="shared" si="0"/>
        <v>5</v>
      </c>
      <c r="B5" s="156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9"/>
    </row>
    <row r="6" spans="1:27">
      <c r="A6" s="179">
        <f t="shared" si="0"/>
        <v>6</v>
      </c>
      <c r="B6" s="156" t="s">
        <v>348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9"/>
    </row>
    <row r="7" spans="1:27">
      <c r="A7" s="179">
        <f t="shared" si="0"/>
        <v>7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9"/>
    </row>
    <row r="8" spans="1:27">
      <c r="A8" s="179">
        <f t="shared" si="0"/>
        <v>8</v>
      </c>
      <c r="B8" s="160"/>
      <c r="C8" s="161"/>
      <c r="D8" s="161"/>
      <c r="E8" s="161"/>
      <c r="F8" s="162"/>
      <c r="G8" s="162"/>
    </row>
    <row r="9" spans="1:27">
      <c r="A9" s="179">
        <f t="shared" si="0"/>
        <v>9</v>
      </c>
      <c r="B9" s="160"/>
      <c r="C9" s="161"/>
      <c r="D9" s="161"/>
      <c r="E9" s="161"/>
      <c r="F9" s="163"/>
      <c r="G9" s="163"/>
    </row>
    <row r="10" spans="1:27">
      <c r="A10" s="179">
        <f t="shared" si="0"/>
        <v>10</v>
      </c>
      <c r="B10" s="164"/>
      <c r="C10" s="160" t="s">
        <v>349</v>
      </c>
      <c r="D10" s="255" t="s">
        <v>350</v>
      </c>
      <c r="E10" s="255"/>
      <c r="F10" s="255"/>
      <c r="G10" s="165"/>
      <c r="H10" s="255" t="s">
        <v>351</v>
      </c>
      <c r="I10" s="255"/>
      <c r="J10" s="255"/>
      <c r="L10" s="255" t="s">
        <v>352</v>
      </c>
      <c r="M10" s="255"/>
      <c r="N10" s="160"/>
      <c r="O10" s="255" t="s">
        <v>353</v>
      </c>
      <c r="P10" s="255"/>
      <c r="Q10" s="255"/>
      <c r="R10" s="165"/>
      <c r="S10" s="255" t="s">
        <v>354</v>
      </c>
      <c r="T10" s="255"/>
      <c r="V10" s="255" t="s">
        <v>355</v>
      </c>
      <c r="W10" s="255"/>
      <c r="X10" s="255"/>
      <c r="Y10" s="165"/>
      <c r="Z10" s="255" t="s">
        <v>356</v>
      </c>
      <c r="AA10" s="255"/>
    </row>
    <row r="11" spans="1:27">
      <c r="A11" s="179">
        <f t="shared" si="0"/>
        <v>11</v>
      </c>
      <c r="B11" s="164"/>
      <c r="C11" s="166" t="s">
        <v>357</v>
      </c>
      <c r="D11" s="166" t="s">
        <v>358</v>
      </c>
      <c r="E11" s="166" t="s">
        <v>359</v>
      </c>
      <c r="F11" s="166" t="s">
        <v>10</v>
      </c>
      <c r="G11" s="166"/>
      <c r="H11" s="166" t="s">
        <v>358</v>
      </c>
      <c r="I11" s="166" t="s">
        <v>359</v>
      </c>
      <c r="J11" s="166" t="s">
        <v>10</v>
      </c>
      <c r="L11" s="166" t="s">
        <v>360</v>
      </c>
      <c r="M11" s="166" t="s">
        <v>361</v>
      </c>
      <c r="N11" s="166"/>
      <c r="O11" s="166" t="s">
        <v>358</v>
      </c>
      <c r="P11" s="166" t="s">
        <v>359</v>
      </c>
      <c r="Q11" s="166" t="s">
        <v>10</v>
      </c>
      <c r="R11" s="166"/>
      <c r="S11" s="166" t="s">
        <v>360</v>
      </c>
      <c r="T11" s="166" t="s">
        <v>361</v>
      </c>
      <c r="V11" s="166" t="s">
        <v>358</v>
      </c>
      <c r="W11" s="166" t="s">
        <v>359</v>
      </c>
      <c r="X11" s="166" t="s">
        <v>10</v>
      </c>
      <c r="Y11" s="166"/>
      <c r="Z11" s="166" t="s">
        <v>360</v>
      </c>
      <c r="AA11" s="166" t="s">
        <v>361</v>
      </c>
    </row>
    <row r="12" spans="1:27">
      <c r="A12" s="179">
        <f t="shared" si="0"/>
        <v>12</v>
      </c>
      <c r="B12" s="164"/>
      <c r="C12" s="167">
        <v>100</v>
      </c>
      <c r="D12" s="168">
        <f t="shared" ref="D12:D25" si="1">ROUND(SUM($H$31:$H$56)*C12,2)+H$30</f>
        <v>27.56</v>
      </c>
      <c r="E12" s="168">
        <f t="shared" ref="E12:E25" si="2">ROUND($H$57*C12,2)</f>
        <v>15.77</v>
      </c>
      <c r="F12" s="168">
        <f>SUM(D12:E12)</f>
        <v>43.33</v>
      </c>
      <c r="G12" s="168"/>
      <c r="H12" s="168">
        <f t="shared" ref="H12:H25" si="3">ROUND(SUM($I$31:$I$56)*C12,2)+I$30</f>
        <v>28.42</v>
      </c>
      <c r="I12" s="168">
        <f t="shared" ref="I12:I25" si="4">ROUND($I$57*C12,2)</f>
        <v>15.77</v>
      </c>
      <c r="J12" s="168">
        <f>SUM(H12:I12)</f>
        <v>44.19</v>
      </c>
      <c r="K12" s="169"/>
      <c r="L12" s="168">
        <f>+J12-F12</f>
        <v>0.85999999999999943</v>
      </c>
      <c r="M12" s="170">
        <f>+L12/F12</f>
        <v>1.9847680590814664E-2</v>
      </c>
      <c r="N12" s="170"/>
      <c r="O12" s="168">
        <f t="shared" ref="O12:O25" si="5">ROUND(SUM($J$31:$J$56)*C12,2)+J$30</f>
        <v>28.65</v>
      </c>
      <c r="P12" s="168">
        <f t="shared" ref="P12:P25" si="6">ROUND($J$57*C12,2)</f>
        <v>15.77</v>
      </c>
      <c r="Q12" s="168">
        <f>SUM(O12:P12)</f>
        <v>44.42</v>
      </c>
      <c r="R12" s="168"/>
      <c r="S12" s="168">
        <f>+Q12-J12</f>
        <v>0.23000000000000398</v>
      </c>
      <c r="T12" s="170">
        <f>+S12/J12</f>
        <v>5.2047974654900204E-3</v>
      </c>
      <c r="V12" s="168">
        <f t="shared" ref="V12:V25" si="7">ROUND(SUM($L$31:$L$56)*C12,2)+L$30</f>
        <v>29.1</v>
      </c>
      <c r="W12" s="168">
        <f t="shared" ref="W12:W25" si="8">ROUND($L$57*C12,2)</f>
        <v>15.77</v>
      </c>
      <c r="X12" s="168">
        <f>SUM(V12:W12)</f>
        <v>44.870000000000005</v>
      </c>
      <c r="Y12" s="168"/>
      <c r="Z12" s="168">
        <f>X12-Q12</f>
        <v>0.45000000000000284</v>
      </c>
      <c r="AA12" s="170">
        <f>+Z12/Q12</f>
        <v>1.0130571814498038E-2</v>
      </c>
    </row>
    <row r="13" spans="1:27">
      <c r="A13" s="179">
        <f t="shared" si="0"/>
        <v>13</v>
      </c>
      <c r="B13" s="164"/>
      <c r="C13" s="167">
        <v>200</v>
      </c>
      <c r="D13" s="168">
        <f t="shared" si="1"/>
        <v>45.12</v>
      </c>
      <c r="E13" s="168">
        <f t="shared" si="2"/>
        <v>31.54</v>
      </c>
      <c r="F13" s="168">
        <f t="shared" ref="F13:F25" si="9">SUM(D13:E13)</f>
        <v>76.66</v>
      </c>
      <c r="G13" s="168"/>
      <c r="H13" s="168">
        <f t="shared" si="3"/>
        <v>46.84</v>
      </c>
      <c r="I13" s="168">
        <f t="shared" si="4"/>
        <v>31.54</v>
      </c>
      <c r="J13" s="168">
        <f t="shared" ref="J13:J25" si="10">SUM(H13:I13)</f>
        <v>78.38</v>
      </c>
      <c r="K13" s="169"/>
      <c r="L13" s="168">
        <f t="shared" ref="L13:L25" si="11">+J13-F13</f>
        <v>1.7199999999999989</v>
      </c>
      <c r="M13" s="170">
        <f t="shared" ref="M13:M25" si="12">+L13/F13</f>
        <v>2.2436733629011205E-2</v>
      </c>
      <c r="N13" s="170"/>
      <c r="O13" s="168">
        <f t="shared" si="5"/>
        <v>47.3</v>
      </c>
      <c r="P13" s="168">
        <f t="shared" si="6"/>
        <v>31.54</v>
      </c>
      <c r="Q13" s="168">
        <f t="shared" ref="Q13:Q25" si="13">SUM(O13:P13)</f>
        <v>78.84</v>
      </c>
      <c r="R13" s="168"/>
      <c r="S13" s="168">
        <f>+Q13-J13</f>
        <v>0.46000000000000796</v>
      </c>
      <c r="T13" s="170">
        <f t="shared" ref="T13:T25" si="14">+S13/J13</f>
        <v>5.8688440928809388E-3</v>
      </c>
      <c r="V13" s="168">
        <f t="shared" si="7"/>
        <v>48.2</v>
      </c>
      <c r="W13" s="168">
        <f t="shared" si="8"/>
        <v>31.54</v>
      </c>
      <c r="X13" s="168">
        <f t="shared" ref="X13:X25" si="15">SUM(V13:W13)</f>
        <v>79.740000000000009</v>
      </c>
      <c r="Y13" s="168"/>
      <c r="Z13" s="168">
        <f t="shared" ref="Z13:Z25" si="16">X13-Q13</f>
        <v>0.90000000000000568</v>
      </c>
      <c r="AA13" s="170">
        <f t="shared" ref="AA13:AA25" si="17">+Z13/Q13</f>
        <v>1.1415525114155323E-2</v>
      </c>
    </row>
    <row r="14" spans="1:27">
      <c r="A14" s="179">
        <f t="shared" si="0"/>
        <v>14</v>
      </c>
      <c r="B14" s="164"/>
      <c r="C14" s="167">
        <v>300</v>
      </c>
      <c r="D14" s="168">
        <f t="shared" si="1"/>
        <v>62.69</v>
      </c>
      <c r="E14" s="168">
        <f t="shared" si="2"/>
        <v>47.32</v>
      </c>
      <c r="F14" s="168">
        <f t="shared" si="9"/>
        <v>110.00999999999999</v>
      </c>
      <c r="G14" s="168"/>
      <c r="H14" s="168">
        <f t="shared" si="3"/>
        <v>65.259999999999991</v>
      </c>
      <c r="I14" s="168">
        <f t="shared" si="4"/>
        <v>47.32</v>
      </c>
      <c r="J14" s="168">
        <f t="shared" si="10"/>
        <v>112.57999999999998</v>
      </c>
      <c r="K14" s="169"/>
      <c r="L14" s="168">
        <f t="shared" si="11"/>
        <v>2.5699999999999932</v>
      </c>
      <c r="M14" s="170">
        <f t="shared" si="12"/>
        <v>2.3361512589764506E-2</v>
      </c>
      <c r="N14" s="170"/>
      <c r="O14" s="168">
        <f t="shared" si="5"/>
        <v>65.95</v>
      </c>
      <c r="P14" s="168">
        <f t="shared" si="6"/>
        <v>47.32</v>
      </c>
      <c r="Q14" s="168">
        <f t="shared" si="13"/>
        <v>113.27000000000001</v>
      </c>
      <c r="R14" s="168"/>
      <c r="S14" s="168">
        <f t="shared" ref="S14:S25" si="18">+Q14-J14</f>
        <v>0.69000000000002615</v>
      </c>
      <c r="T14" s="170">
        <f t="shared" si="14"/>
        <v>6.1289749511460852E-3</v>
      </c>
      <c r="V14" s="168">
        <f t="shared" si="7"/>
        <v>67.289999999999992</v>
      </c>
      <c r="W14" s="168">
        <f t="shared" si="8"/>
        <v>47.32</v>
      </c>
      <c r="X14" s="168">
        <f t="shared" si="15"/>
        <v>114.60999999999999</v>
      </c>
      <c r="Y14" s="168"/>
      <c r="Z14" s="168">
        <f t="shared" si="16"/>
        <v>1.339999999999975</v>
      </c>
      <c r="AA14" s="170">
        <f t="shared" si="17"/>
        <v>1.1830140372560916E-2</v>
      </c>
    </row>
    <row r="15" spans="1:27">
      <c r="A15" s="179">
        <f t="shared" si="0"/>
        <v>15</v>
      </c>
      <c r="B15" s="164"/>
      <c r="C15" s="167">
        <v>400</v>
      </c>
      <c r="D15" s="168">
        <f t="shared" si="1"/>
        <v>80.25</v>
      </c>
      <c r="E15" s="168">
        <f t="shared" si="2"/>
        <v>63.09</v>
      </c>
      <c r="F15" s="168">
        <f t="shared" si="9"/>
        <v>143.34</v>
      </c>
      <c r="G15" s="168"/>
      <c r="H15" s="168">
        <f t="shared" si="3"/>
        <v>83.68</v>
      </c>
      <c r="I15" s="168">
        <f t="shared" si="4"/>
        <v>63.09</v>
      </c>
      <c r="J15" s="168">
        <f t="shared" si="10"/>
        <v>146.77000000000001</v>
      </c>
      <c r="K15" s="169"/>
      <c r="L15" s="168">
        <f>+J15-F15</f>
        <v>3.4300000000000068</v>
      </c>
      <c r="M15" s="170">
        <f t="shared" si="12"/>
        <v>2.392911957583373E-2</v>
      </c>
      <c r="N15" s="170"/>
      <c r="O15" s="168">
        <f t="shared" si="5"/>
        <v>84.6</v>
      </c>
      <c r="P15" s="168">
        <f t="shared" si="6"/>
        <v>63.09</v>
      </c>
      <c r="Q15" s="168">
        <f t="shared" si="13"/>
        <v>147.69</v>
      </c>
      <c r="R15" s="168"/>
      <c r="S15" s="168">
        <f t="shared" si="18"/>
        <v>0.91999999999998749</v>
      </c>
      <c r="T15" s="170">
        <f t="shared" si="14"/>
        <v>6.2683109627307172E-3</v>
      </c>
      <c r="V15" s="168">
        <f t="shared" si="7"/>
        <v>86.39</v>
      </c>
      <c r="W15" s="168">
        <f t="shared" si="8"/>
        <v>63.09</v>
      </c>
      <c r="X15" s="168">
        <f t="shared" si="15"/>
        <v>149.48000000000002</v>
      </c>
      <c r="Y15" s="168"/>
      <c r="Z15" s="168">
        <f t="shared" si="16"/>
        <v>1.7900000000000205</v>
      </c>
      <c r="AA15" s="170">
        <f t="shared" si="17"/>
        <v>1.2119981041370577E-2</v>
      </c>
    </row>
    <row r="16" spans="1:27">
      <c r="A16" s="179">
        <f t="shared" si="0"/>
        <v>16</v>
      </c>
      <c r="B16" s="164"/>
      <c r="C16" s="167">
        <v>500</v>
      </c>
      <c r="D16" s="168">
        <f t="shared" si="1"/>
        <v>97.81</v>
      </c>
      <c r="E16" s="168">
        <f t="shared" si="2"/>
        <v>78.86</v>
      </c>
      <c r="F16" s="168">
        <f t="shared" si="9"/>
        <v>176.67000000000002</v>
      </c>
      <c r="G16" s="168"/>
      <c r="H16" s="168">
        <f t="shared" si="3"/>
        <v>102.1</v>
      </c>
      <c r="I16" s="168">
        <f t="shared" si="4"/>
        <v>78.86</v>
      </c>
      <c r="J16" s="168">
        <f t="shared" si="10"/>
        <v>180.95999999999998</v>
      </c>
      <c r="K16" s="169"/>
      <c r="L16" s="168">
        <f t="shared" si="11"/>
        <v>4.2899999999999636</v>
      </c>
      <c r="M16" s="170">
        <f t="shared" si="12"/>
        <v>2.4282560706401557E-2</v>
      </c>
      <c r="N16" s="170"/>
      <c r="O16" s="168">
        <f t="shared" si="5"/>
        <v>103.25</v>
      </c>
      <c r="P16" s="168">
        <f t="shared" si="6"/>
        <v>78.86</v>
      </c>
      <c r="Q16" s="168">
        <f t="shared" si="13"/>
        <v>182.11</v>
      </c>
      <c r="R16" s="168"/>
      <c r="S16" s="168">
        <f>+Q16-J16</f>
        <v>1.1500000000000341</v>
      </c>
      <c r="T16" s="170">
        <f t="shared" si="14"/>
        <v>6.3549955791336998E-3</v>
      </c>
      <c r="V16" s="168">
        <f t="shared" si="7"/>
        <v>105.49</v>
      </c>
      <c r="W16" s="168">
        <f t="shared" si="8"/>
        <v>78.86</v>
      </c>
      <c r="X16" s="168">
        <f t="shared" si="15"/>
        <v>184.35</v>
      </c>
      <c r="Y16" s="168"/>
      <c r="Z16" s="168">
        <f t="shared" si="16"/>
        <v>2.2399999999999807</v>
      </c>
      <c r="AA16" s="170">
        <f t="shared" si="17"/>
        <v>1.2300258085772228E-2</v>
      </c>
    </row>
    <row r="17" spans="1:27">
      <c r="A17" s="179">
        <f t="shared" si="0"/>
        <v>17</v>
      </c>
      <c r="B17" s="164"/>
      <c r="C17" s="167">
        <v>600</v>
      </c>
      <c r="D17" s="168">
        <f t="shared" si="1"/>
        <v>115.37</v>
      </c>
      <c r="E17" s="168">
        <f t="shared" si="2"/>
        <v>94.63</v>
      </c>
      <c r="F17" s="168">
        <f t="shared" si="9"/>
        <v>210</v>
      </c>
      <c r="G17" s="168"/>
      <c r="H17" s="168">
        <f t="shared" si="3"/>
        <v>120.51</v>
      </c>
      <c r="I17" s="168">
        <f t="shared" si="4"/>
        <v>94.63</v>
      </c>
      <c r="J17" s="168">
        <f t="shared" si="10"/>
        <v>215.14</v>
      </c>
      <c r="K17" s="169"/>
      <c r="L17" s="168">
        <f t="shared" si="11"/>
        <v>5.1399999999999864</v>
      </c>
      <c r="M17" s="170">
        <f t="shared" si="12"/>
        <v>2.4476190476190412E-2</v>
      </c>
      <c r="N17" s="170"/>
      <c r="O17" s="168">
        <f t="shared" si="5"/>
        <v>121.9</v>
      </c>
      <c r="P17" s="168">
        <f t="shared" si="6"/>
        <v>94.63</v>
      </c>
      <c r="Q17" s="168">
        <f t="shared" si="13"/>
        <v>216.53</v>
      </c>
      <c r="R17" s="168"/>
      <c r="S17" s="168">
        <f t="shared" si="18"/>
        <v>1.3900000000000148</v>
      </c>
      <c r="T17" s="170">
        <f t="shared" si="14"/>
        <v>6.4609091754207256E-3</v>
      </c>
      <c r="V17" s="168">
        <f t="shared" si="7"/>
        <v>124.59</v>
      </c>
      <c r="W17" s="168">
        <f t="shared" si="8"/>
        <v>94.63</v>
      </c>
      <c r="X17" s="168">
        <f t="shared" si="15"/>
        <v>219.22</v>
      </c>
      <c r="Y17" s="168"/>
      <c r="Z17" s="168">
        <f t="shared" si="16"/>
        <v>2.6899999999999977</v>
      </c>
      <c r="AA17" s="170">
        <f t="shared" si="17"/>
        <v>1.2423220800812811E-2</v>
      </c>
    </row>
    <row r="18" spans="1:27">
      <c r="A18" s="179">
        <f t="shared" si="0"/>
        <v>18</v>
      </c>
      <c r="B18" s="164"/>
      <c r="C18" s="167">
        <v>700</v>
      </c>
      <c r="D18" s="168">
        <f t="shared" si="1"/>
        <v>132.93</v>
      </c>
      <c r="E18" s="168">
        <f t="shared" si="2"/>
        <v>110.4</v>
      </c>
      <c r="F18" s="168">
        <f t="shared" si="9"/>
        <v>243.33</v>
      </c>
      <c r="G18" s="168"/>
      <c r="H18" s="168">
        <f t="shared" si="3"/>
        <v>138.93</v>
      </c>
      <c r="I18" s="168">
        <f t="shared" si="4"/>
        <v>110.4</v>
      </c>
      <c r="J18" s="168">
        <f t="shared" si="10"/>
        <v>249.33</v>
      </c>
      <c r="K18" s="169"/>
      <c r="L18" s="168">
        <f t="shared" si="11"/>
        <v>6</v>
      </c>
      <c r="M18" s="170">
        <f t="shared" si="12"/>
        <v>2.4657872025644186E-2</v>
      </c>
      <c r="N18" s="170"/>
      <c r="O18" s="168">
        <f t="shared" si="5"/>
        <v>140.55000000000001</v>
      </c>
      <c r="P18" s="168">
        <f t="shared" si="6"/>
        <v>110.4</v>
      </c>
      <c r="Q18" s="168">
        <f t="shared" si="13"/>
        <v>250.95000000000002</v>
      </c>
      <c r="R18" s="168"/>
      <c r="S18" s="168">
        <f t="shared" si="18"/>
        <v>1.6200000000000045</v>
      </c>
      <c r="T18" s="170">
        <f>+S18/J18</f>
        <v>6.4974130670196308E-3</v>
      </c>
      <c r="V18" s="168">
        <f t="shared" si="7"/>
        <v>143.69</v>
      </c>
      <c r="W18" s="168">
        <f t="shared" si="8"/>
        <v>110.4</v>
      </c>
      <c r="X18" s="168">
        <f t="shared" si="15"/>
        <v>254.09</v>
      </c>
      <c r="Y18" s="168"/>
      <c r="Z18" s="168">
        <f>X18-Q18</f>
        <v>3.1399999999999864</v>
      </c>
      <c r="AA18" s="170">
        <f>+Z18/Q18</f>
        <v>1.2512452679816641E-2</v>
      </c>
    </row>
    <row r="19" spans="1:27">
      <c r="A19" s="179">
        <f t="shared" si="0"/>
        <v>19</v>
      </c>
      <c r="B19" s="164"/>
      <c r="C19" s="167">
        <v>800</v>
      </c>
      <c r="D19" s="168">
        <f t="shared" si="1"/>
        <v>150.5</v>
      </c>
      <c r="E19" s="168">
        <f t="shared" si="2"/>
        <v>126.18</v>
      </c>
      <c r="F19" s="168">
        <f t="shared" si="9"/>
        <v>276.68</v>
      </c>
      <c r="G19" s="168"/>
      <c r="H19" s="168">
        <f t="shared" si="3"/>
        <v>157.35</v>
      </c>
      <c r="I19" s="168">
        <f t="shared" si="4"/>
        <v>126.18</v>
      </c>
      <c r="J19" s="168">
        <f t="shared" si="10"/>
        <v>283.52999999999997</v>
      </c>
      <c r="K19" s="169"/>
      <c r="L19" s="168">
        <f t="shared" si="11"/>
        <v>6.8499999999999659</v>
      </c>
      <c r="M19" s="170">
        <f t="shared" si="12"/>
        <v>2.4757842995518163E-2</v>
      </c>
      <c r="N19" s="170"/>
      <c r="O19" s="168">
        <f t="shared" si="5"/>
        <v>159.19999999999999</v>
      </c>
      <c r="P19" s="168">
        <f t="shared" si="6"/>
        <v>126.18</v>
      </c>
      <c r="Q19" s="168">
        <f t="shared" si="13"/>
        <v>285.38</v>
      </c>
      <c r="R19" s="168"/>
      <c r="S19" s="168">
        <f t="shared" si="18"/>
        <v>1.8500000000000227</v>
      </c>
      <c r="T19" s="170">
        <f t="shared" si="14"/>
        <v>6.5248827284591507E-3</v>
      </c>
      <c r="V19" s="168">
        <f t="shared" si="7"/>
        <v>162.78</v>
      </c>
      <c r="W19" s="168">
        <f t="shared" si="8"/>
        <v>126.18</v>
      </c>
      <c r="X19" s="168">
        <f t="shared" si="15"/>
        <v>288.96000000000004</v>
      </c>
      <c r="Y19" s="168"/>
      <c r="Z19" s="168">
        <f t="shared" si="16"/>
        <v>3.5800000000000409</v>
      </c>
      <c r="AA19" s="170">
        <f t="shared" si="17"/>
        <v>1.2544677272408862E-2</v>
      </c>
    </row>
    <row r="20" spans="1:27">
      <c r="A20" s="179">
        <f t="shared" si="0"/>
        <v>20</v>
      </c>
      <c r="B20" s="164"/>
      <c r="C20" s="167">
        <v>900</v>
      </c>
      <c r="D20" s="168">
        <f t="shared" si="1"/>
        <v>168.06</v>
      </c>
      <c r="E20" s="168">
        <f t="shared" si="2"/>
        <v>141.94999999999999</v>
      </c>
      <c r="F20" s="168">
        <f t="shared" si="9"/>
        <v>310.01</v>
      </c>
      <c r="G20" s="168"/>
      <c r="H20" s="168">
        <f t="shared" si="3"/>
        <v>175.77</v>
      </c>
      <c r="I20" s="168">
        <f t="shared" si="4"/>
        <v>141.94999999999999</v>
      </c>
      <c r="J20" s="168">
        <f t="shared" si="10"/>
        <v>317.72000000000003</v>
      </c>
      <c r="K20" s="169"/>
      <c r="L20" s="168">
        <f t="shared" si="11"/>
        <v>7.7100000000000364</v>
      </c>
      <c r="M20" s="170">
        <f t="shared" si="12"/>
        <v>2.4870165478533067E-2</v>
      </c>
      <c r="N20" s="170"/>
      <c r="O20" s="168">
        <f t="shared" si="5"/>
        <v>177.85</v>
      </c>
      <c r="P20" s="168">
        <f t="shared" si="6"/>
        <v>141.94999999999999</v>
      </c>
      <c r="Q20" s="168">
        <f t="shared" si="13"/>
        <v>319.79999999999995</v>
      </c>
      <c r="R20" s="168"/>
      <c r="S20" s="168">
        <f t="shared" si="18"/>
        <v>2.0799999999999272</v>
      </c>
      <c r="T20" s="170">
        <f t="shared" si="14"/>
        <v>6.5466448445169554E-3</v>
      </c>
      <c r="V20" s="168">
        <f t="shared" si="7"/>
        <v>181.88</v>
      </c>
      <c r="W20" s="168">
        <f t="shared" si="8"/>
        <v>141.94999999999999</v>
      </c>
      <c r="X20" s="168">
        <f t="shared" si="15"/>
        <v>323.83</v>
      </c>
      <c r="Y20" s="168"/>
      <c r="Z20" s="168">
        <f t="shared" si="16"/>
        <v>4.0300000000000296</v>
      </c>
      <c r="AA20" s="170">
        <f t="shared" si="17"/>
        <v>1.2601626016260256E-2</v>
      </c>
    </row>
    <row r="21" spans="1:27">
      <c r="A21" s="179">
        <f t="shared" si="0"/>
        <v>21</v>
      </c>
      <c r="B21" s="164"/>
      <c r="C21" s="167">
        <v>1000</v>
      </c>
      <c r="D21" s="168">
        <f t="shared" si="1"/>
        <v>185.62</v>
      </c>
      <c r="E21" s="168">
        <f t="shared" si="2"/>
        <v>157.72</v>
      </c>
      <c r="F21" s="168">
        <f t="shared" si="9"/>
        <v>343.34000000000003</v>
      </c>
      <c r="G21" s="168"/>
      <c r="H21" s="168">
        <f t="shared" si="3"/>
        <v>194.19</v>
      </c>
      <c r="I21" s="168">
        <f t="shared" si="4"/>
        <v>157.72</v>
      </c>
      <c r="J21" s="168">
        <f t="shared" si="10"/>
        <v>351.90999999999997</v>
      </c>
      <c r="K21" s="169"/>
      <c r="L21" s="168">
        <f t="shared" si="11"/>
        <v>8.5699999999999363</v>
      </c>
      <c r="M21" s="170">
        <f t="shared" si="12"/>
        <v>2.4960680375138159E-2</v>
      </c>
      <c r="N21" s="170"/>
      <c r="O21" s="168">
        <f t="shared" si="5"/>
        <v>196.5</v>
      </c>
      <c r="P21" s="168">
        <f t="shared" si="6"/>
        <v>157.72</v>
      </c>
      <c r="Q21" s="168">
        <f t="shared" si="13"/>
        <v>354.22</v>
      </c>
      <c r="R21" s="168"/>
      <c r="S21" s="168">
        <f t="shared" si="18"/>
        <v>2.3100000000000591</v>
      </c>
      <c r="T21" s="170">
        <f t="shared" si="14"/>
        <v>6.5641783410532789E-3</v>
      </c>
      <c r="V21" s="168">
        <f t="shared" si="7"/>
        <v>200.98</v>
      </c>
      <c r="W21" s="168">
        <f t="shared" si="8"/>
        <v>157.72</v>
      </c>
      <c r="X21" s="168">
        <f t="shared" si="15"/>
        <v>358.7</v>
      </c>
      <c r="Y21" s="168"/>
      <c r="Z21" s="168">
        <f t="shared" si="16"/>
        <v>4.4799999999999613</v>
      </c>
      <c r="AA21" s="170">
        <f t="shared" si="17"/>
        <v>1.2647507198915818E-2</v>
      </c>
    </row>
    <row r="22" spans="1:27">
      <c r="A22" s="179">
        <f t="shared" si="0"/>
        <v>22</v>
      </c>
      <c r="B22" s="164"/>
      <c r="C22" s="167">
        <v>1250</v>
      </c>
      <c r="D22" s="168">
        <f t="shared" si="1"/>
        <v>229.53</v>
      </c>
      <c r="E22" s="168">
        <f t="shared" si="2"/>
        <v>197.15</v>
      </c>
      <c r="F22" s="168">
        <f t="shared" si="9"/>
        <v>426.68</v>
      </c>
      <c r="G22" s="168"/>
      <c r="H22" s="168">
        <f t="shared" si="3"/>
        <v>240.24</v>
      </c>
      <c r="I22" s="168">
        <f t="shared" si="4"/>
        <v>197.15</v>
      </c>
      <c r="J22" s="168">
        <f t="shared" si="10"/>
        <v>437.39</v>
      </c>
      <c r="K22" s="169"/>
      <c r="L22" s="168">
        <f t="shared" si="11"/>
        <v>10.70999999999998</v>
      </c>
      <c r="M22" s="170">
        <f t="shared" si="12"/>
        <v>2.5100778100684305E-2</v>
      </c>
      <c r="N22" s="170"/>
      <c r="O22" s="168">
        <f t="shared" si="5"/>
        <v>243.13</v>
      </c>
      <c r="P22" s="168">
        <f t="shared" si="6"/>
        <v>197.15</v>
      </c>
      <c r="Q22" s="168">
        <f t="shared" si="13"/>
        <v>440.28</v>
      </c>
      <c r="R22" s="168"/>
      <c r="S22" s="168">
        <f t="shared" si="18"/>
        <v>2.8899999999999864</v>
      </c>
      <c r="T22" s="170">
        <f t="shared" si="14"/>
        <v>6.6073755687143885E-3</v>
      </c>
      <c r="V22" s="168">
        <f t="shared" si="7"/>
        <v>248.73</v>
      </c>
      <c r="W22" s="168">
        <f t="shared" si="8"/>
        <v>197.15</v>
      </c>
      <c r="X22" s="168">
        <f t="shared" si="15"/>
        <v>445.88</v>
      </c>
      <c r="Y22" s="168"/>
      <c r="Z22" s="168">
        <f t="shared" si="16"/>
        <v>5.6000000000000227</v>
      </c>
      <c r="AA22" s="170">
        <f t="shared" si="17"/>
        <v>1.271917870446085E-2</v>
      </c>
    </row>
    <row r="23" spans="1:27">
      <c r="A23" s="179">
        <f t="shared" si="0"/>
        <v>23</v>
      </c>
      <c r="B23" s="164"/>
      <c r="C23" s="167">
        <v>1500</v>
      </c>
      <c r="D23" s="168">
        <f t="shared" si="1"/>
        <v>273.43</v>
      </c>
      <c r="E23" s="168">
        <f t="shared" si="2"/>
        <v>236.58</v>
      </c>
      <c r="F23" s="168">
        <f t="shared" si="9"/>
        <v>510.01</v>
      </c>
      <c r="G23" s="168"/>
      <c r="H23" s="168">
        <f t="shared" si="3"/>
        <v>286.29000000000002</v>
      </c>
      <c r="I23" s="168">
        <f t="shared" si="4"/>
        <v>236.58</v>
      </c>
      <c r="J23" s="168">
        <f t="shared" si="10"/>
        <v>522.87</v>
      </c>
      <c r="K23" s="169"/>
      <c r="L23" s="168">
        <f t="shared" si="11"/>
        <v>12.860000000000014</v>
      </c>
      <c r="M23" s="170">
        <f t="shared" si="12"/>
        <v>2.5215191858983185E-2</v>
      </c>
      <c r="N23" s="170"/>
      <c r="O23" s="168">
        <f t="shared" si="5"/>
        <v>289.75</v>
      </c>
      <c r="P23" s="168">
        <f t="shared" si="6"/>
        <v>236.58</v>
      </c>
      <c r="Q23" s="168">
        <f t="shared" si="13"/>
        <v>526.33000000000004</v>
      </c>
      <c r="R23" s="168"/>
      <c r="S23" s="168">
        <f t="shared" si="18"/>
        <v>3.4600000000000364</v>
      </c>
      <c r="T23" s="170">
        <f t="shared" si="14"/>
        <v>6.6173236177253167E-3</v>
      </c>
      <c r="V23" s="168">
        <f t="shared" si="7"/>
        <v>296.47000000000003</v>
      </c>
      <c r="W23" s="168">
        <f t="shared" si="8"/>
        <v>236.58</v>
      </c>
      <c r="X23" s="168">
        <f t="shared" si="15"/>
        <v>533.05000000000007</v>
      </c>
      <c r="Y23" s="168"/>
      <c r="Z23" s="168">
        <f t="shared" si="16"/>
        <v>6.7200000000000273</v>
      </c>
      <c r="AA23" s="170">
        <f t="shared" si="17"/>
        <v>1.2767655273307671E-2</v>
      </c>
    </row>
    <row r="24" spans="1:27">
      <c r="A24" s="179">
        <f t="shared" si="0"/>
        <v>24</v>
      </c>
      <c r="B24" s="164"/>
      <c r="C24" s="167">
        <v>2000</v>
      </c>
      <c r="D24" s="168">
        <f t="shared" si="1"/>
        <v>361.24</v>
      </c>
      <c r="E24" s="168">
        <f t="shared" si="2"/>
        <v>315.44</v>
      </c>
      <c r="F24" s="168">
        <f t="shared" si="9"/>
        <v>676.68000000000006</v>
      </c>
      <c r="G24" s="168"/>
      <c r="H24" s="168">
        <f t="shared" si="3"/>
        <v>378.38</v>
      </c>
      <c r="I24" s="168">
        <f t="shared" si="4"/>
        <v>315.44</v>
      </c>
      <c r="J24" s="168">
        <f t="shared" si="10"/>
        <v>693.81999999999994</v>
      </c>
      <c r="K24" s="169"/>
      <c r="L24" s="168">
        <f t="shared" si="11"/>
        <v>17.139999999999873</v>
      </c>
      <c r="M24" s="170">
        <f t="shared" si="12"/>
        <v>2.5329550156646969E-2</v>
      </c>
      <c r="N24" s="170"/>
      <c r="O24" s="168">
        <f t="shared" si="5"/>
        <v>383</v>
      </c>
      <c r="P24" s="168">
        <f t="shared" si="6"/>
        <v>315.44</v>
      </c>
      <c r="Q24" s="168">
        <f t="shared" si="13"/>
        <v>698.44</v>
      </c>
      <c r="R24" s="168"/>
      <c r="S24" s="168">
        <f t="shared" si="18"/>
        <v>4.6200000000001182</v>
      </c>
      <c r="T24" s="170">
        <f t="shared" si="14"/>
        <v>6.6587875817937202E-3</v>
      </c>
      <c r="V24" s="168">
        <f t="shared" si="7"/>
        <v>391.96</v>
      </c>
      <c r="W24" s="168">
        <f t="shared" si="8"/>
        <v>315.44</v>
      </c>
      <c r="X24" s="168">
        <f t="shared" si="15"/>
        <v>707.4</v>
      </c>
      <c r="Y24" s="168"/>
      <c r="Z24" s="168">
        <f t="shared" si="16"/>
        <v>8.9599999999999227</v>
      </c>
      <c r="AA24" s="170">
        <f t="shared" si="17"/>
        <v>1.2828589427867708E-2</v>
      </c>
    </row>
    <row r="25" spans="1:27">
      <c r="A25" s="179">
        <f t="shared" si="0"/>
        <v>25</v>
      </c>
      <c r="B25" s="164" t="s">
        <v>362</v>
      </c>
      <c r="C25" s="235">
        <v>530</v>
      </c>
      <c r="D25" s="168">
        <f t="shared" si="1"/>
        <v>103.08</v>
      </c>
      <c r="E25" s="168">
        <f t="shared" si="2"/>
        <v>83.59</v>
      </c>
      <c r="F25" s="168">
        <f t="shared" si="9"/>
        <v>186.67000000000002</v>
      </c>
      <c r="G25" s="168"/>
      <c r="H25" s="168">
        <f t="shared" si="3"/>
        <v>107.62</v>
      </c>
      <c r="I25" s="168">
        <f t="shared" si="4"/>
        <v>83.59</v>
      </c>
      <c r="J25" s="168">
        <f t="shared" si="10"/>
        <v>191.21</v>
      </c>
      <c r="K25" s="169"/>
      <c r="L25" s="168">
        <f t="shared" si="11"/>
        <v>4.539999999999992</v>
      </c>
      <c r="M25" s="170">
        <f t="shared" si="12"/>
        <v>2.4320994267959455E-2</v>
      </c>
      <c r="N25" s="170"/>
      <c r="O25" s="168">
        <f t="shared" si="5"/>
        <v>108.85</v>
      </c>
      <c r="P25" s="168">
        <f t="shared" si="6"/>
        <v>83.59</v>
      </c>
      <c r="Q25" s="168">
        <f t="shared" si="13"/>
        <v>192.44</v>
      </c>
      <c r="R25" s="168"/>
      <c r="S25" s="168">
        <f t="shared" si="18"/>
        <v>1.2299999999999898</v>
      </c>
      <c r="T25" s="170">
        <f t="shared" si="14"/>
        <v>6.4327179540818458E-3</v>
      </c>
      <c r="V25" s="168">
        <f t="shared" si="7"/>
        <v>111.22</v>
      </c>
      <c r="W25" s="168">
        <f t="shared" si="8"/>
        <v>83.59</v>
      </c>
      <c r="X25" s="168">
        <f t="shared" si="15"/>
        <v>194.81</v>
      </c>
      <c r="Y25" s="168"/>
      <c r="Z25" s="168">
        <f t="shared" si="16"/>
        <v>2.3700000000000045</v>
      </c>
      <c r="AA25" s="170">
        <f t="shared" si="17"/>
        <v>1.2315526917480796E-2</v>
      </c>
    </row>
    <row r="26" spans="1:27">
      <c r="A26" s="179">
        <f t="shared" si="0"/>
        <v>26</v>
      </c>
      <c r="B26" s="164"/>
      <c r="C26" s="167"/>
      <c r="D26" s="168"/>
      <c r="E26" s="168"/>
      <c r="F26" s="168"/>
      <c r="G26" s="168"/>
      <c r="H26" s="168"/>
      <c r="I26" s="168"/>
      <c r="J26" s="168"/>
      <c r="K26" s="169"/>
      <c r="L26" s="168"/>
      <c r="M26" s="171"/>
      <c r="N26" s="171"/>
      <c r="O26" s="171"/>
      <c r="P26" s="171"/>
      <c r="Q26" s="171"/>
      <c r="R26" s="171"/>
      <c r="T26" s="172"/>
    </row>
    <row r="27" spans="1:27">
      <c r="A27" s="179">
        <f t="shared" si="0"/>
        <v>27</v>
      </c>
      <c r="B27" s="164"/>
      <c r="C27" s="173"/>
      <c r="D27" s="174"/>
      <c r="E27" s="174"/>
      <c r="F27" s="174"/>
      <c r="G27" s="174"/>
      <c r="H27" s="174"/>
      <c r="I27" s="174"/>
      <c r="J27" s="174"/>
      <c r="K27" s="175"/>
      <c r="L27" s="175"/>
      <c r="T27" s="172"/>
    </row>
    <row r="28" spans="1:27">
      <c r="A28" s="179">
        <f t="shared" si="0"/>
        <v>28</v>
      </c>
      <c r="B28" s="164"/>
      <c r="C28" s="176" t="s">
        <v>363</v>
      </c>
      <c r="D28" s="169"/>
      <c r="E28" s="169"/>
      <c r="H28" s="177">
        <v>2024</v>
      </c>
      <c r="I28" s="177">
        <v>2025</v>
      </c>
      <c r="J28" s="177">
        <v>2026</v>
      </c>
      <c r="L28" s="177">
        <v>2027</v>
      </c>
      <c r="M28" s="178" t="s">
        <v>364</v>
      </c>
      <c r="O28" s="179" t="s">
        <v>365</v>
      </c>
      <c r="P28" s="179" t="s">
        <v>366</v>
      </c>
      <c r="Q28" s="179"/>
    </row>
    <row r="29" spans="1:27">
      <c r="A29" s="179">
        <f t="shared" si="0"/>
        <v>29</v>
      </c>
      <c r="B29" s="164"/>
      <c r="C29" s="176" t="s">
        <v>363</v>
      </c>
      <c r="D29" s="169"/>
      <c r="E29" s="169"/>
      <c r="H29" s="180" t="s">
        <v>367</v>
      </c>
      <c r="I29" s="180" t="s">
        <v>367</v>
      </c>
      <c r="J29" s="180" t="s">
        <v>367</v>
      </c>
      <c r="L29" s="180" t="s">
        <v>367</v>
      </c>
      <c r="M29" s="181" t="s">
        <v>360</v>
      </c>
      <c r="O29" s="181" t="s">
        <v>360</v>
      </c>
      <c r="P29" s="181" t="s">
        <v>360</v>
      </c>
      <c r="Q29" s="179"/>
    </row>
    <row r="30" spans="1:27">
      <c r="A30" s="179">
        <f t="shared" si="0"/>
        <v>30</v>
      </c>
      <c r="B30" s="164"/>
      <c r="C30" s="161" t="s">
        <v>72</v>
      </c>
      <c r="D30" s="169"/>
      <c r="E30" s="169"/>
      <c r="H30" s="182">
        <v>10</v>
      </c>
      <c r="I30" s="182">
        <f t="shared" ref="I30:I57" si="19">+H30</f>
        <v>10</v>
      </c>
      <c r="J30" s="182">
        <f t="shared" ref="J30:J57" si="20">H30</f>
        <v>10</v>
      </c>
      <c r="L30" s="182">
        <f t="shared" ref="L30:L57" si="21">H30</f>
        <v>10</v>
      </c>
      <c r="M30" s="183">
        <f t="shared" ref="M30:M57" si="22">+I30-H30</f>
        <v>0</v>
      </c>
      <c r="O30" s="183">
        <f t="shared" ref="O30:O57" si="23">+J30-I30</f>
        <v>0</v>
      </c>
      <c r="P30" s="183">
        <f>+L30-J30</f>
        <v>0</v>
      </c>
      <c r="Q30" s="184" t="s">
        <v>368</v>
      </c>
    </row>
    <row r="31" spans="1:27">
      <c r="A31" s="179">
        <f t="shared" si="0"/>
        <v>31</v>
      </c>
      <c r="B31" s="164"/>
      <c r="C31" s="185" t="s">
        <v>369</v>
      </c>
      <c r="D31" s="169"/>
      <c r="E31" s="169"/>
      <c r="H31" s="186">
        <v>5.9089999999999997E-2</v>
      </c>
      <c r="I31" s="186">
        <f t="shared" si="19"/>
        <v>5.9089999999999997E-2</v>
      </c>
      <c r="J31" s="186">
        <f t="shared" si="20"/>
        <v>5.9089999999999997E-2</v>
      </c>
      <c r="L31" s="186">
        <f t="shared" si="21"/>
        <v>5.9089999999999997E-2</v>
      </c>
      <c r="M31" s="187">
        <f t="shared" si="22"/>
        <v>0</v>
      </c>
      <c r="O31" s="187">
        <f t="shared" si="23"/>
        <v>0</v>
      </c>
      <c r="P31" s="187">
        <f t="shared" ref="P31:P57" si="24">+L31-J31</f>
        <v>0</v>
      </c>
      <c r="Q31" s="184" t="s">
        <v>368</v>
      </c>
    </row>
    <row r="32" spans="1:27">
      <c r="A32" s="179">
        <f t="shared" si="0"/>
        <v>32</v>
      </c>
      <c r="B32" s="164"/>
      <c r="C32" s="185" t="s">
        <v>370</v>
      </c>
      <c r="D32" s="169"/>
      <c r="E32" s="169"/>
      <c r="H32" s="186">
        <v>1.01E-3</v>
      </c>
      <c r="I32" s="186">
        <f t="shared" si="19"/>
        <v>1.01E-3</v>
      </c>
      <c r="J32" s="186">
        <f t="shared" si="20"/>
        <v>1.01E-3</v>
      </c>
      <c r="L32" s="186">
        <f t="shared" si="21"/>
        <v>1.01E-3</v>
      </c>
      <c r="M32" s="187">
        <f t="shared" si="22"/>
        <v>0</v>
      </c>
      <c r="O32" s="187">
        <f t="shared" si="23"/>
        <v>0</v>
      </c>
      <c r="P32" s="187">
        <f t="shared" si="24"/>
        <v>0</v>
      </c>
      <c r="Q32" s="184" t="s">
        <v>371</v>
      </c>
    </row>
    <row r="33" spans="1:17">
      <c r="A33" s="179">
        <f t="shared" si="0"/>
        <v>33</v>
      </c>
      <c r="B33" s="164"/>
      <c r="C33" s="185" t="s">
        <v>372</v>
      </c>
      <c r="D33" s="169"/>
      <c r="E33" s="169"/>
      <c r="H33" s="186">
        <v>6.0000000000000002E-5</v>
      </c>
      <c r="I33" s="186">
        <f t="shared" si="19"/>
        <v>6.0000000000000002E-5</v>
      </c>
      <c r="J33" s="186">
        <f t="shared" si="20"/>
        <v>6.0000000000000002E-5</v>
      </c>
      <c r="L33" s="186">
        <f t="shared" si="21"/>
        <v>6.0000000000000002E-5</v>
      </c>
      <c r="M33" s="187">
        <f t="shared" si="22"/>
        <v>0</v>
      </c>
      <c r="O33" s="187">
        <f t="shared" si="23"/>
        <v>0</v>
      </c>
      <c r="P33" s="187">
        <f t="shared" si="24"/>
        <v>0</v>
      </c>
      <c r="Q33" s="184" t="s">
        <v>319</v>
      </c>
    </row>
    <row r="34" spans="1:17">
      <c r="A34" s="179">
        <f t="shared" si="0"/>
        <v>34</v>
      </c>
      <c r="B34" s="164"/>
      <c r="C34" s="185" t="s">
        <v>221</v>
      </c>
      <c r="D34" s="169"/>
      <c r="E34" s="169"/>
      <c r="H34" s="186">
        <v>8.0000000000000002E-3</v>
      </c>
      <c r="I34" s="186">
        <f t="shared" si="19"/>
        <v>8.0000000000000002E-3</v>
      </c>
      <c r="J34" s="186">
        <f t="shared" si="20"/>
        <v>8.0000000000000002E-3</v>
      </c>
      <c r="L34" s="186">
        <f t="shared" si="21"/>
        <v>8.0000000000000002E-3</v>
      </c>
      <c r="M34" s="187">
        <f t="shared" si="22"/>
        <v>0</v>
      </c>
      <c r="O34" s="187">
        <f t="shared" si="23"/>
        <v>0</v>
      </c>
      <c r="P34" s="187">
        <f t="shared" si="24"/>
        <v>0</v>
      </c>
      <c r="Q34" s="184" t="s">
        <v>373</v>
      </c>
    </row>
    <row r="35" spans="1:17">
      <c r="A35" s="179">
        <f t="shared" si="0"/>
        <v>35</v>
      </c>
      <c r="B35" s="164"/>
      <c r="C35" s="185" t="s">
        <v>374</v>
      </c>
      <c r="D35" s="169"/>
      <c r="E35" s="169"/>
      <c r="H35" s="186">
        <v>8.1600000000000006E-3</v>
      </c>
      <c r="I35" s="186">
        <f t="shared" si="19"/>
        <v>8.1600000000000006E-3</v>
      </c>
      <c r="J35" s="186">
        <f t="shared" si="20"/>
        <v>8.1600000000000006E-3</v>
      </c>
      <c r="L35" s="186">
        <f t="shared" si="21"/>
        <v>8.1600000000000006E-3</v>
      </c>
      <c r="M35" s="187">
        <f t="shared" si="22"/>
        <v>0</v>
      </c>
      <c r="O35" s="187">
        <f t="shared" si="23"/>
        <v>0</v>
      </c>
      <c r="P35" s="187">
        <f t="shared" si="24"/>
        <v>0</v>
      </c>
      <c r="Q35" s="184" t="s">
        <v>375</v>
      </c>
    </row>
    <row r="36" spans="1:17">
      <c r="A36" s="179">
        <f t="shared" si="0"/>
        <v>36</v>
      </c>
      <c r="B36" s="164"/>
      <c r="C36" s="185" t="s">
        <v>376</v>
      </c>
      <c r="D36" s="169"/>
      <c r="E36" s="169"/>
      <c r="H36" s="186">
        <v>8.5999999999999998E-4</v>
      </c>
      <c r="I36" s="186">
        <f t="shared" si="19"/>
        <v>8.5999999999999998E-4</v>
      </c>
      <c r="J36" s="186">
        <f t="shared" si="20"/>
        <v>8.5999999999999998E-4</v>
      </c>
      <c r="L36" s="186">
        <f t="shared" si="21"/>
        <v>8.5999999999999998E-4</v>
      </c>
      <c r="M36" s="187">
        <f t="shared" si="22"/>
        <v>0</v>
      </c>
      <c r="O36" s="187">
        <f t="shared" si="23"/>
        <v>0</v>
      </c>
      <c r="P36" s="187">
        <f t="shared" si="24"/>
        <v>0</v>
      </c>
      <c r="Q36" s="184" t="s">
        <v>377</v>
      </c>
    </row>
    <row r="37" spans="1:17">
      <c r="A37" s="179">
        <f t="shared" si="0"/>
        <v>37</v>
      </c>
      <c r="B37" s="164"/>
      <c r="C37" s="185" t="s">
        <v>219</v>
      </c>
      <c r="D37" s="169"/>
      <c r="E37" s="169"/>
      <c r="H37" s="186">
        <v>1.6219999999999998E-2</v>
      </c>
      <c r="I37" s="186">
        <f t="shared" si="19"/>
        <v>1.6219999999999998E-2</v>
      </c>
      <c r="J37" s="186">
        <f t="shared" si="20"/>
        <v>1.6219999999999998E-2</v>
      </c>
      <c r="L37" s="186">
        <f t="shared" si="21"/>
        <v>1.6219999999999998E-2</v>
      </c>
      <c r="M37" s="187">
        <f t="shared" si="22"/>
        <v>0</v>
      </c>
      <c r="O37" s="187">
        <f t="shared" si="23"/>
        <v>0</v>
      </c>
      <c r="P37" s="187">
        <f t="shared" si="24"/>
        <v>0</v>
      </c>
      <c r="Q37" s="184" t="s">
        <v>378</v>
      </c>
    </row>
    <row r="38" spans="1:17">
      <c r="A38" s="179">
        <f t="shared" si="0"/>
        <v>38</v>
      </c>
      <c r="B38" s="164"/>
      <c r="C38" s="185" t="s">
        <v>379</v>
      </c>
      <c r="D38" s="169"/>
      <c r="E38" s="169"/>
      <c r="H38" s="186">
        <v>-1.9300000000000001E-3</v>
      </c>
      <c r="I38" s="186">
        <f t="shared" si="19"/>
        <v>-1.9300000000000001E-3</v>
      </c>
      <c r="J38" s="186">
        <f t="shared" si="20"/>
        <v>-1.9300000000000001E-3</v>
      </c>
      <c r="L38" s="186">
        <f t="shared" si="21"/>
        <v>-1.9300000000000001E-3</v>
      </c>
      <c r="M38" s="187">
        <f t="shared" si="22"/>
        <v>0</v>
      </c>
      <c r="O38" s="187">
        <f t="shared" si="23"/>
        <v>0</v>
      </c>
      <c r="P38" s="187">
        <f t="shared" si="24"/>
        <v>0</v>
      </c>
      <c r="Q38" s="184" t="s">
        <v>380</v>
      </c>
    </row>
    <row r="39" spans="1:17">
      <c r="A39" s="179">
        <f t="shared" si="0"/>
        <v>39</v>
      </c>
      <c r="B39" s="164"/>
      <c r="C39" s="185" t="s">
        <v>381</v>
      </c>
      <c r="D39" s="169"/>
      <c r="E39" s="169"/>
      <c r="H39" s="186">
        <v>5.0000000000000002E-5</v>
      </c>
      <c r="I39" s="186">
        <f t="shared" si="19"/>
        <v>5.0000000000000002E-5</v>
      </c>
      <c r="J39" s="186">
        <f t="shared" si="20"/>
        <v>5.0000000000000002E-5</v>
      </c>
      <c r="L39" s="186">
        <f t="shared" si="21"/>
        <v>5.0000000000000002E-5</v>
      </c>
      <c r="M39" s="187">
        <f t="shared" si="22"/>
        <v>0</v>
      </c>
      <c r="O39" s="187">
        <f t="shared" si="23"/>
        <v>0</v>
      </c>
      <c r="P39" s="187">
        <f t="shared" si="24"/>
        <v>0</v>
      </c>
      <c r="Q39" s="184" t="s">
        <v>382</v>
      </c>
    </row>
    <row r="40" spans="1:17">
      <c r="A40" s="179">
        <f t="shared" si="0"/>
        <v>40</v>
      </c>
      <c r="B40" s="164"/>
      <c r="C40" s="185" t="s">
        <v>383</v>
      </c>
      <c r="D40" s="169"/>
      <c r="E40" s="169"/>
      <c r="H40" s="186">
        <v>6.6299999999999996E-3</v>
      </c>
      <c r="I40" s="186">
        <f t="shared" si="19"/>
        <v>6.6299999999999996E-3</v>
      </c>
      <c r="J40" s="186">
        <f t="shared" si="20"/>
        <v>6.6299999999999996E-3</v>
      </c>
      <c r="L40" s="186">
        <f t="shared" si="21"/>
        <v>6.6299999999999996E-3</v>
      </c>
      <c r="M40" s="187">
        <f t="shared" si="22"/>
        <v>0</v>
      </c>
      <c r="O40" s="187">
        <f t="shared" si="23"/>
        <v>0</v>
      </c>
      <c r="P40" s="187">
        <f t="shared" si="24"/>
        <v>0</v>
      </c>
      <c r="Q40" s="184" t="s">
        <v>384</v>
      </c>
    </row>
    <row r="41" spans="1:17">
      <c r="A41" s="179">
        <f t="shared" si="0"/>
        <v>41</v>
      </c>
      <c r="B41" s="164"/>
      <c r="C41" s="185" t="s">
        <v>385</v>
      </c>
      <c r="D41" s="169"/>
      <c r="E41" s="169"/>
      <c r="H41" s="186">
        <v>0</v>
      </c>
      <c r="I41" s="186">
        <f t="shared" si="19"/>
        <v>0</v>
      </c>
      <c r="J41" s="186">
        <f t="shared" si="20"/>
        <v>0</v>
      </c>
      <c r="L41" s="186">
        <f t="shared" si="21"/>
        <v>0</v>
      </c>
      <c r="M41" s="187">
        <f t="shared" si="22"/>
        <v>0</v>
      </c>
      <c r="O41" s="187">
        <f t="shared" si="23"/>
        <v>0</v>
      </c>
      <c r="P41" s="187">
        <f t="shared" si="24"/>
        <v>0</v>
      </c>
      <c r="Q41" s="184" t="s">
        <v>386</v>
      </c>
    </row>
    <row r="42" spans="1:17">
      <c r="A42" s="179">
        <f t="shared" si="0"/>
        <v>42</v>
      </c>
      <c r="B42" s="164"/>
      <c r="C42" s="185" t="s">
        <v>387</v>
      </c>
      <c r="D42" s="169"/>
      <c r="E42" s="169"/>
      <c r="H42" s="186">
        <v>-4.6000000000000001E-4</v>
      </c>
      <c r="I42" s="186">
        <f t="shared" si="19"/>
        <v>-4.6000000000000001E-4</v>
      </c>
      <c r="J42" s="186">
        <f t="shared" si="20"/>
        <v>-4.6000000000000001E-4</v>
      </c>
      <c r="L42" s="186">
        <f t="shared" si="21"/>
        <v>-4.6000000000000001E-4</v>
      </c>
      <c r="M42" s="187">
        <f t="shared" si="22"/>
        <v>0</v>
      </c>
      <c r="O42" s="187">
        <f t="shared" si="23"/>
        <v>0</v>
      </c>
      <c r="P42" s="187">
        <f t="shared" si="24"/>
        <v>0</v>
      </c>
      <c r="Q42" s="184" t="s">
        <v>388</v>
      </c>
    </row>
    <row r="43" spans="1:17">
      <c r="A43" s="179">
        <f t="shared" si="0"/>
        <v>43</v>
      </c>
      <c r="B43" s="164"/>
      <c r="C43" s="185" t="s">
        <v>389</v>
      </c>
      <c r="D43" s="169"/>
      <c r="E43" s="169"/>
      <c r="H43" s="186">
        <v>2.0000000000000002E-5</v>
      </c>
      <c r="I43" s="186">
        <f t="shared" si="19"/>
        <v>2.0000000000000002E-5</v>
      </c>
      <c r="J43" s="186">
        <f t="shared" si="20"/>
        <v>2.0000000000000002E-5</v>
      </c>
      <c r="L43" s="186">
        <f t="shared" si="21"/>
        <v>2.0000000000000002E-5</v>
      </c>
      <c r="M43" s="187">
        <f t="shared" si="22"/>
        <v>0</v>
      </c>
      <c r="O43" s="187">
        <f t="shared" si="23"/>
        <v>0</v>
      </c>
      <c r="P43" s="187">
        <f t="shared" si="24"/>
        <v>0</v>
      </c>
      <c r="Q43" s="184" t="s">
        <v>390</v>
      </c>
    </row>
    <row r="44" spans="1:17">
      <c r="A44" s="179">
        <f t="shared" si="0"/>
        <v>44</v>
      </c>
      <c r="B44" s="164"/>
      <c r="C44" s="185" t="s">
        <v>391</v>
      </c>
      <c r="D44" s="169"/>
      <c r="E44" s="169"/>
      <c r="H44" s="186">
        <v>-5.1000000000000004E-4</v>
      </c>
      <c r="I44" s="186">
        <f t="shared" si="19"/>
        <v>-5.1000000000000004E-4</v>
      </c>
      <c r="J44" s="186">
        <f t="shared" si="20"/>
        <v>-5.1000000000000004E-4</v>
      </c>
      <c r="L44" s="186">
        <f t="shared" si="21"/>
        <v>-5.1000000000000004E-4</v>
      </c>
      <c r="M44" s="187">
        <f t="shared" si="22"/>
        <v>0</v>
      </c>
      <c r="O44" s="187">
        <f t="shared" si="23"/>
        <v>0</v>
      </c>
      <c r="P44" s="187">
        <f t="shared" si="24"/>
        <v>0</v>
      </c>
      <c r="Q44" s="184" t="s">
        <v>392</v>
      </c>
    </row>
    <row r="45" spans="1:17">
      <c r="A45" s="179">
        <f t="shared" si="0"/>
        <v>45</v>
      </c>
      <c r="B45" s="164"/>
      <c r="C45" s="185" t="s">
        <v>393</v>
      </c>
      <c r="D45" s="169"/>
      <c r="E45" s="169"/>
      <c r="H45" s="186">
        <v>1.9300000000000001E-3</v>
      </c>
      <c r="I45" s="186">
        <f t="shared" si="19"/>
        <v>1.9300000000000001E-3</v>
      </c>
      <c r="J45" s="186">
        <f t="shared" si="20"/>
        <v>1.9300000000000001E-3</v>
      </c>
      <c r="L45" s="186">
        <f t="shared" si="21"/>
        <v>1.9300000000000001E-3</v>
      </c>
      <c r="M45" s="187">
        <f t="shared" si="22"/>
        <v>0</v>
      </c>
      <c r="O45" s="187">
        <f t="shared" si="23"/>
        <v>0</v>
      </c>
      <c r="P45" s="187">
        <f t="shared" si="24"/>
        <v>0</v>
      </c>
      <c r="Q45" s="184" t="s">
        <v>394</v>
      </c>
    </row>
    <row r="46" spans="1:17">
      <c r="A46" s="179">
        <f t="shared" si="0"/>
        <v>46</v>
      </c>
      <c r="B46" s="164"/>
      <c r="C46" s="185" t="s">
        <v>154</v>
      </c>
      <c r="D46" s="169"/>
      <c r="E46" s="169"/>
      <c r="H46" s="186">
        <v>-1.8E-3</v>
      </c>
      <c r="I46" s="186">
        <f t="shared" si="19"/>
        <v>-1.8E-3</v>
      </c>
      <c r="J46" s="186">
        <f t="shared" si="20"/>
        <v>-1.8E-3</v>
      </c>
      <c r="L46" s="186">
        <f t="shared" si="21"/>
        <v>-1.8E-3</v>
      </c>
      <c r="M46" s="187">
        <f t="shared" si="22"/>
        <v>0</v>
      </c>
      <c r="O46" s="187">
        <f t="shared" si="23"/>
        <v>0</v>
      </c>
      <c r="P46" s="187">
        <f t="shared" si="24"/>
        <v>0</v>
      </c>
      <c r="Q46" s="184" t="s">
        <v>395</v>
      </c>
    </row>
    <row r="47" spans="1:17">
      <c r="A47" s="179">
        <f t="shared" si="0"/>
        <v>47</v>
      </c>
      <c r="B47" s="164"/>
      <c r="C47" s="185" t="s">
        <v>396</v>
      </c>
      <c r="D47" s="169"/>
      <c r="E47" s="169"/>
      <c r="H47" s="186">
        <v>2.2100000000000002E-3</v>
      </c>
      <c r="I47" s="186">
        <f t="shared" si="19"/>
        <v>2.2100000000000002E-3</v>
      </c>
      <c r="J47" s="186">
        <f t="shared" si="20"/>
        <v>2.2100000000000002E-3</v>
      </c>
      <c r="L47" s="186">
        <f t="shared" si="21"/>
        <v>2.2100000000000002E-3</v>
      </c>
      <c r="M47" s="187">
        <f t="shared" si="22"/>
        <v>0</v>
      </c>
      <c r="O47" s="187">
        <f t="shared" si="23"/>
        <v>0</v>
      </c>
      <c r="P47" s="187">
        <f t="shared" si="24"/>
        <v>0</v>
      </c>
      <c r="Q47" s="184" t="s">
        <v>397</v>
      </c>
    </row>
    <row r="48" spans="1:17">
      <c r="A48" s="179">
        <f t="shared" si="0"/>
        <v>48</v>
      </c>
      <c r="B48" s="164"/>
      <c r="C48" s="185" t="s">
        <v>398</v>
      </c>
      <c r="D48" s="169"/>
      <c r="E48" s="169"/>
      <c r="H48" s="186">
        <v>2.9399999999999999E-3</v>
      </c>
      <c r="I48" s="186">
        <f t="shared" si="19"/>
        <v>2.9399999999999999E-3</v>
      </c>
      <c r="J48" s="186">
        <f t="shared" si="20"/>
        <v>2.9399999999999999E-3</v>
      </c>
      <c r="L48" s="186">
        <f t="shared" si="21"/>
        <v>2.9399999999999999E-3</v>
      </c>
      <c r="M48" s="187">
        <f t="shared" si="22"/>
        <v>0</v>
      </c>
      <c r="O48" s="187">
        <f t="shared" si="23"/>
        <v>0</v>
      </c>
      <c r="P48" s="187">
        <f t="shared" si="24"/>
        <v>0</v>
      </c>
      <c r="Q48" s="184" t="s">
        <v>399</v>
      </c>
    </row>
    <row r="49" spans="1:17">
      <c r="A49" s="179">
        <f t="shared" si="0"/>
        <v>49</v>
      </c>
      <c r="B49" s="164"/>
      <c r="C49" s="185" t="s">
        <v>400</v>
      </c>
      <c r="D49" s="169"/>
      <c r="E49" s="169"/>
      <c r="H49" s="186">
        <v>0</v>
      </c>
      <c r="I49" s="186">
        <f t="shared" si="19"/>
        <v>0</v>
      </c>
      <c r="J49" s="186">
        <f t="shared" si="20"/>
        <v>0</v>
      </c>
      <c r="L49" s="186">
        <f t="shared" si="21"/>
        <v>0</v>
      </c>
      <c r="M49" s="187">
        <f t="shared" si="22"/>
        <v>0</v>
      </c>
      <c r="O49" s="187">
        <f t="shared" si="23"/>
        <v>0</v>
      </c>
      <c r="P49" s="187">
        <f t="shared" si="24"/>
        <v>0</v>
      </c>
      <c r="Q49" s="184" t="s">
        <v>401</v>
      </c>
    </row>
    <row r="50" spans="1:17">
      <c r="A50" s="179">
        <f t="shared" si="0"/>
        <v>50</v>
      </c>
      <c r="B50" s="164"/>
      <c r="C50" s="185" t="s">
        <v>402</v>
      </c>
      <c r="D50" s="169"/>
      <c r="E50" s="169"/>
      <c r="H50" s="186">
        <v>0</v>
      </c>
      <c r="I50" s="186">
        <f t="shared" si="19"/>
        <v>0</v>
      </c>
      <c r="J50" s="186">
        <f t="shared" si="20"/>
        <v>0</v>
      </c>
      <c r="L50" s="186">
        <f t="shared" si="21"/>
        <v>0</v>
      </c>
      <c r="M50" s="187">
        <f t="shared" si="22"/>
        <v>0</v>
      </c>
      <c r="O50" s="187">
        <f t="shared" si="23"/>
        <v>0</v>
      </c>
      <c r="P50" s="187">
        <f t="shared" si="24"/>
        <v>0</v>
      </c>
      <c r="Q50" s="184" t="s">
        <v>403</v>
      </c>
    </row>
    <row r="51" spans="1:17">
      <c r="A51" s="179">
        <f t="shared" si="0"/>
        <v>51</v>
      </c>
      <c r="B51" s="164"/>
      <c r="C51" s="185" t="s">
        <v>404</v>
      </c>
      <c r="D51" s="169"/>
      <c r="E51" s="169"/>
      <c r="H51" s="186">
        <v>1.3799999999999999E-3</v>
      </c>
      <c r="I51" s="186">
        <f t="shared" si="19"/>
        <v>1.3799999999999999E-3</v>
      </c>
      <c r="J51" s="186">
        <f t="shared" si="20"/>
        <v>1.3799999999999999E-3</v>
      </c>
      <c r="L51" s="186">
        <f t="shared" si="21"/>
        <v>1.3799999999999999E-3</v>
      </c>
      <c r="M51" s="187">
        <f t="shared" si="22"/>
        <v>0</v>
      </c>
      <c r="O51" s="187">
        <f t="shared" si="23"/>
        <v>0</v>
      </c>
      <c r="P51" s="187">
        <f t="shared" si="24"/>
        <v>0</v>
      </c>
      <c r="Q51" s="184" t="s">
        <v>405</v>
      </c>
    </row>
    <row r="52" spans="1:17">
      <c r="A52" s="179">
        <f t="shared" si="0"/>
        <v>52</v>
      </c>
      <c r="B52" s="164"/>
      <c r="C52" s="185" t="s">
        <v>406</v>
      </c>
      <c r="D52" s="169"/>
      <c r="E52" s="169"/>
      <c r="H52" s="186">
        <v>-3.6999999999999999E-4</v>
      </c>
      <c r="I52" s="186">
        <f t="shared" si="19"/>
        <v>-3.6999999999999999E-4</v>
      </c>
      <c r="J52" s="186">
        <f t="shared" si="20"/>
        <v>-3.6999999999999999E-4</v>
      </c>
      <c r="L52" s="186">
        <f t="shared" si="21"/>
        <v>-3.6999999999999999E-4</v>
      </c>
      <c r="M52" s="187">
        <f t="shared" si="22"/>
        <v>0</v>
      </c>
      <c r="O52" s="187">
        <f t="shared" si="23"/>
        <v>0</v>
      </c>
      <c r="P52" s="187">
        <f t="shared" si="24"/>
        <v>0</v>
      </c>
      <c r="Q52" s="184" t="s">
        <v>407</v>
      </c>
    </row>
    <row r="53" spans="1:17">
      <c r="A53" s="179">
        <f t="shared" si="0"/>
        <v>53</v>
      </c>
      <c r="B53" s="164"/>
      <c r="C53" s="185" t="s">
        <v>408</v>
      </c>
      <c r="D53" s="169"/>
      <c r="E53" s="169"/>
      <c r="H53" s="186">
        <v>4.052E-2</v>
      </c>
      <c r="I53" s="186">
        <f t="shared" si="19"/>
        <v>4.052E-2</v>
      </c>
      <c r="J53" s="186">
        <f t="shared" si="20"/>
        <v>4.052E-2</v>
      </c>
      <c r="L53" s="186">
        <f t="shared" si="21"/>
        <v>4.052E-2</v>
      </c>
      <c r="M53" s="187">
        <f t="shared" si="22"/>
        <v>0</v>
      </c>
      <c r="O53" s="187">
        <f t="shared" si="23"/>
        <v>0</v>
      </c>
      <c r="P53" s="187">
        <f t="shared" si="24"/>
        <v>0</v>
      </c>
      <c r="Q53" s="184" t="s">
        <v>409</v>
      </c>
    </row>
    <row r="54" spans="1:17">
      <c r="A54" s="179">
        <f t="shared" si="0"/>
        <v>54</v>
      </c>
      <c r="B54" s="164"/>
      <c r="C54" s="185" t="s">
        <v>410</v>
      </c>
      <c r="D54" s="169"/>
      <c r="E54" s="169"/>
      <c r="H54" s="188">
        <v>2.861E-2</v>
      </c>
      <c r="I54" s="188">
        <v>3.7179999999999998E-2</v>
      </c>
      <c r="J54" s="188">
        <v>3.9489999999999997E-2</v>
      </c>
      <c r="K54" s="188"/>
      <c r="L54" s="188">
        <v>4.3970000000000002E-2</v>
      </c>
      <c r="M54" s="187">
        <f t="shared" si="22"/>
        <v>8.5699999999999978E-3</v>
      </c>
      <c r="O54" s="187">
        <f t="shared" si="23"/>
        <v>2.3099999999999996E-3</v>
      </c>
      <c r="P54" s="187">
        <f t="shared" si="24"/>
        <v>4.4800000000000048E-3</v>
      </c>
      <c r="Q54" s="184" t="s">
        <v>411</v>
      </c>
    </row>
    <row r="55" spans="1:17">
      <c r="A55" s="179">
        <f t="shared" si="0"/>
        <v>55</v>
      </c>
      <c r="B55" s="164"/>
      <c r="C55" s="185" t="s">
        <v>412</v>
      </c>
      <c r="D55" s="169"/>
      <c r="E55" s="169"/>
      <c r="H55" s="186">
        <v>2.5000000000000001E-3</v>
      </c>
      <c r="I55" s="186">
        <f t="shared" si="19"/>
        <v>2.5000000000000001E-3</v>
      </c>
      <c r="J55" s="186">
        <f t="shared" si="20"/>
        <v>2.5000000000000001E-3</v>
      </c>
      <c r="L55" s="186">
        <f t="shared" si="21"/>
        <v>2.5000000000000001E-3</v>
      </c>
      <c r="M55" s="187">
        <f t="shared" si="22"/>
        <v>0</v>
      </c>
      <c r="O55" s="187">
        <f t="shared" si="23"/>
        <v>0</v>
      </c>
      <c r="P55" s="187">
        <f t="shared" si="24"/>
        <v>0</v>
      </c>
      <c r="Q55" s="184" t="s">
        <v>413</v>
      </c>
    </row>
    <row r="56" spans="1:17">
      <c r="A56" s="179">
        <f t="shared" si="0"/>
        <v>56</v>
      </c>
      <c r="B56" s="164"/>
      <c r="C56" s="185" t="s">
        <v>224</v>
      </c>
      <c r="D56" s="169"/>
      <c r="E56" s="169"/>
      <c r="H56" s="186">
        <v>5.0000000000000001E-4</v>
      </c>
      <c r="I56" s="186">
        <f t="shared" si="19"/>
        <v>5.0000000000000001E-4</v>
      </c>
      <c r="J56" s="186">
        <f t="shared" si="20"/>
        <v>5.0000000000000001E-4</v>
      </c>
      <c r="L56" s="186">
        <f t="shared" si="21"/>
        <v>5.0000000000000001E-4</v>
      </c>
      <c r="M56" s="187">
        <f t="shared" si="22"/>
        <v>0</v>
      </c>
      <c r="O56" s="187">
        <f t="shared" si="23"/>
        <v>0</v>
      </c>
      <c r="P56" s="187">
        <f t="shared" si="24"/>
        <v>0</v>
      </c>
      <c r="Q56" s="184" t="s">
        <v>414</v>
      </c>
    </row>
    <row r="57" spans="1:17">
      <c r="A57" s="179">
        <f t="shared" si="0"/>
        <v>57</v>
      </c>
      <c r="B57" s="164"/>
      <c r="C57" s="185" t="s">
        <v>415</v>
      </c>
      <c r="D57" s="169"/>
      <c r="E57" s="169"/>
      <c r="H57" s="186">
        <v>0.15772</v>
      </c>
      <c r="I57" s="186">
        <f t="shared" si="19"/>
        <v>0.15772</v>
      </c>
      <c r="J57" s="186">
        <f t="shared" si="20"/>
        <v>0.15772</v>
      </c>
      <c r="L57" s="186">
        <f t="shared" si="21"/>
        <v>0.15772</v>
      </c>
      <c r="M57" s="187">
        <f t="shared" si="22"/>
        <v>0</v>
      </c>
      <c r="O57" s="187">
        <f t="shared" si="23"/>
        <v>0</v>
      </c>
      <c r="P57" s="187">
        <f t="shared" si="24"/>
        <v>0</v>
      </c>
      <c r="Q57" s="184" t="s">
        <v>416</v>
      </c>
    </row>
    <row r="58" spans="1:17">
      <c r="A58" s="164"/>
      <c r="B58" s="164"/>
      <c r="D58" s="169"/>
      <c r="E58" s="169"/>
      <c r="F58" s="189"/>
      <c r="G58" s="189"/>
      <c r="H58" s="189"/>
      <c r="I58" s="187"/>
      <c r="J58" s="169"/>
      <c r="K58" s="169"/>
      <c r="L58" s="169"/>
    </row>
    <row r="59" spans="1:17">
      <c r="A59" s="164"/>
      <c r="B59" s="164"/>
      <c r="D59" s="169"/>
      <c r="E59" s="169"/>
      <c r="F59" s="189"/>
      <c r="G59" s="189"/>
      <c r="H59" s="189"/>
      <c r="I59" s="187"/>
      <c r="J59" s="169"/>
      <c r="K59" s="169"/>
      <c r="L59" s="169"/>
    </row>
    <row r="60" spans="1:17">
      <c r="A60" s="164"/>
      <c r="B60" s="164"/>
      <c r="C60" s="161" t="s">
        <v>417</v>
      </c>
      <c r="D60" s="169"/>
      <c r="E60" s="169"/>
      <c r="G60" s="189"/>
      <c r="H60" s="189">
        <f>SUM(H31:H56)</f>
        <v>0.17562000000000003</v>
      </c>
      <c r="I60" s="189">
        <f>SUM(I31:I56)</f>
        <v>0.18419000000000002</v>
      </c>
      <c r="J60" s="189">
        <f>SUM(L31:L56)</f>
        <v>0.19098000000000004</v>
      </c>
      <c r="K60" s="169"/>
      <c r="L60" s="189">
        <f>SUM(J31:J56)</f>
        <v>0.18650000000000003</v>
      </c>
    </row>
    <row r="61" spans="1:17">
      <c r="C61" s="161" t="s">
        <v>418</v>
      </c>
      <c r="D61" s="169"/>
      <c r="E61" s="169"/>
      <c r="G61" s="189"/>
      <c r="H61" s="189">
        <f>H57</f>
        <v>0.15772</v>
      </c>
      <c r="I61" s="189">
        <f>I57</f>
        <v>0.15772</v>
      </c>
      <c r="J61" s="189">
        <f>L57</f>
        <v>0.15772</v>
      </c>
      <c r="K61" s="169"/>
      <c r="L61" s="189">
        <f>J57</f>
        <v>0.15772</v>
      </c>
    </row>
    <row r="65" spans="3:20">
      <c r="C65" s="167"/>
      <c r="D65" s="168"/>
      <c r="E65" s="168"/>
      <c r="F65" s="168"/>
      <c r="G65" s="168"/>
      <c r="H65" s="168"/>
      <c r="I65" s="168"/>
      <c r="J65" s="168"/>
      <c r="K65" s="169"/>
      <c r="L65" s="168"/>
      <c r="M65" s="171"/>
      <c r="N65" s="171"/>
      <c r="O65" s="171"/>
      <c r="P65" s="171"/>
      <c r="Q65" s="171"/>
      <c r="R65" s="171"/>
      <c r="T65" s="190"/>
    </row>
  </sheetData>
  <mergeCells count="7">
    <mergeCell ref="V10:X10"/>
    <mergeCell ref="Z10:AA10"/>
    <mergeCell ref="D10:F10"/>
    <mergeCell ref="H10:J10"/>
    <mergeCell ref="L10:M10"/>
    <mergeCell ref="O10:Q10"/>
    <mergeCell ref="S10:T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FC70F-E370-4D83-9908-4FD64B7C8BED}">
  <dimension ref="A1:Z328"/>
  <sheetViews>
    <sheetView workbookViewId="0">
      <selection activeCell="C11" sqref="C11:N11"/>
    </sheetView>
  </sheetViews>
  <sheetFormatPr defaultRowHeight="15"/>
  <cols>
    <col min="2" max="2" width="118.28515625" bestFit="1" customWidth="1"/>
    <col min="3" max="8" width="12.28515625" style="223" bestFit="1" customWidth="1"/>
    <col min="9" max="13" width="11" style="223" bestFit="1" customWidth="1"/>
    <col min="14" max="14" width="12.28515625" style="223" bestFit="1" customWidth="1"/>
    <col min="15" max="15" width="12.28515625" customWidth="1"/>
    <col min="16" max="16" width="11.5703125" customWidth="1"/>
    <col min="17" max="17" width="18" customWidth="1"/>
  </cols>
  <sheetData>
    <row r="1" spans="1:26" ht="15" customHeight="1">
      <c r="A1" s="192">
        <v>1</v>
      </c>
      <c r="B1" s="257" t="s">
        <v>202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192"/>
      <c r="V1" s="192"/>
      <c r="W1" s="192"/>
      <c r="X1" s="192"/>
      <c r="Y1" s="192"/>
      <c r="Z1" s="192"/>
    </row>
    <row r="2" spans="1:26" ht="15" customHeight="1">
      <c r="A2" s="192">
        <v>2</v>
      </c>
      <c r="B2" s="258" t="s">
        <v>419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192"/>
      <c r="V2" s="192"/>
      <c r="W2" s="192"/>
      <c r="X2" s="192"/>
      <c r="Y2" s="192"/>
      <c r="Z2" s="192"/>
    </row>
    <row r="3" spans="1:26" ht="15" customHeight="1">
      <c r="A3" s="192">
        <v>3</v>
      </c>
      <c r="B3" s="257" t="s">
        <v>420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192"/>
      <c r="V3" s="192"/>
      <c r="W3" s="192"/>
      <c r="X3" s="192"/>
      <c r="Y3" s="192"/>
      <c r="Z3" s="192"/>
    </row>
    <row r="4" spans="1:26" ht="15" customHeight="1">
      <c r="A4" s="192">
        <v>4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39"/>
      <c r="S4" s="239"/>
      <c r="T4" s="239"/>
      <c r="U4" s="239"/>
      <c r="V4" s="239"/>
      <c r="W4" s="239"/>
      <c r="X4" s="239"/>
      <c r="Y4" s="239"/>
      <c r="Z4" s="239"/>
    </row>
    <row r="5" spans="1:26" ht="15.75">
      <c r="A5" s="192">
        <v>5</v>
      </c>
      <c r="B5" s="239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</row>
    <row r="6" spans="1:26" ht="15" customHeight="1">
      <c r="A6" s="192">
        <v>6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192"/>
      <c r="S6" s="192"/>
      <c r="T6" s="192"/>
      <c r="U6" s="192"/>
      <c r="V6" s="192"/>
      <c r="W6" s="192"/>
      <c r="X6" s="192"/>
      <c r="Y6" s="192"/>
      <c r="Z6" s="192"/>
    </row>
    <row r="7" spans="1:26" ht="15" customHeight="1">
      <c r="A7" s="192">
        <v>7</v>
      </c>
      <c r="B7" s="192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193" t="s">
        <v>10</v>
      </c>
      <c r="P7" s="194" t="s">
        <v>10</v>
      </c>
      <c r="Q7" s="194" t="s">
        <v>10</v>
      </c>
      <c r="R7" s="192"/>
      <c r="S7" s="193" t="s">
        <v>421</v>
      </c>
      <c r="T7" s="194" t="s">
        <v>422</v>
      </c>
      <c r="U7" s="192"/>
      <c r="V7" s="192"/>
      <c r="W7" s="192"/>
      <c r="X7" s="192"/>
      <c r="Y7" s="192"/>
      <c r="Z7" s="192"/>
    </row>
    <row r="8" spans="1:26" ht="15.75">
      <c r="A8" s="192">
        <v>8</v>
      </c>
      <c r="B8" s="195"/>
      <c r="C8" s="221" t="s">
        <v>423</v>
      </c>
      <c r="D8" s="221" t="s">
        <v>424</v>
      </c>
      <c r="E8" s="221" t="s">
        <v>425</v>
      </c>
      <c r="F8" s="221" t="s">
        <v>426</v>
      </c>
      <c r="G8" s="221" t="s">
        <v>427</v>
      </c>
      <c r="H8" s="221" t="s">
        <v>428</v>
      </c>
      <c r="I8" s="221" t="s">
        <v>429</v>
      </c>
      <c r="J8" s="221" t="s">
        <v>430</v>
      </c>
      <c r="K8" s="221" t="s">
        <v>431</v>
      </c>
      <c r="L8" s="221" t="s">
        <v>432</v>
      </c>
      <c r="M8" s="221" t="s">
        <v>433</v>
      </c>
      <c r="N8" s="221" t="s">
        <v>434</v>
      </c>
      <c r="O8" s="196" t="s">
        <v>435</v>
      </c>
      <c r="P8" s="197" t="s">
        <v>421</v>
      </c>
      <c r="Q8" s="197" t="s">
        <v>436</v>
      </c>
      <c r="R8" s="192"/>
      <c r="S8" s="196" t="s">
        <v>349</v>
      </c>
      <c r="T8" s="197" t="s">
        <v>349</v>
      </c>
      <c r="U8" s="192"/>
      <c r="V8" s="192"/>
      <c r="W8" s="192"/>
      <c r="X8" s="192"/>
      <c r="Y8" s="192"/>
      <c r="Z8" s="192"/>
    </row>
    <row r="9" spans="1:26" ht="15.75">
      <c r="A9" s="192">
        <v>9</v>
      </c>
      <c r="B9" s="192" t="s">
        <v>437</v>
      </c>
      <c r="C9" s="220" t="s">
        <v>438</v>
      </c>
      <c r="D9" s="220" t="s">
        <v>439</v>
      </c>
      <c r="E9" s="220" t="s">
        <v>440</v>
      </c>
      <c r="F9" s="220" t="s">
        <v>441</v>
      </c>
      <c r="G9" s="220" t="s">
        <v>442</v>
      </c>
      <c r="H9" s="220" t="s">
        <v>443</v>
      </c>
      <c r="I9" s="220" t="s">
        <v>444</v>
      </c>
      <c r="J9" s="220" t="s">
        <v>445</v>
      </c>
      <c r="K9" s="220" t="s">
        <v>446</v>
      </c>
      <c r="L9" s="220" t="s">
        <v>447</v>
      </c>
      <c r="M9" s="220" t="s">
        <v>448</v>
      </c>
      <c r="N9" s="220" t="s">
        <v>449</v>
      </c>
      <c r="O9" s="198" t="s">
        <v>450</v>
      </c>
      <c r="P9" s="199" t="s">
        <v>451</v>
      </c>
      <c r="Q9" s="199" t="s">
        <v>452</v>
      </c>
      <c r="R9" s="192"/>
      <c r="S9" s="198" t="s">
        <v>453</v>
      </c>
      <c r="T9" s="199" t="s">
        <v>454</v>
      </c>
      <c r="U9" s="192"/>
      <c r="V9" s="192"/>
      <c r="W9" s="192"/>
      <c r="X9" s="192"/>
      <c r="Y9" s="192"/>
      <c r="Z9" s="192"/>
    </row>
    <row r="10" spans="1:26" ht="15.75">
      <c r="A10" s="192">
        <v>10</v>
      </c>
      <c r="B10" s="192"/>
      <c r="C10" s="222" t="s">
        <v>455</v>
      </c>
      <c r="D10" s="222" t="s">
        <v>455</v>
      </c>
      <c r="E10" s="222" t="s">
        <v>455</v>
      </c>
      <c r="F10" s="222" t="s">
        <v>455</v>
      </c>
      <c r="G10" s="222" t="s">
        <v>455</v>
      </c>
      <c r="H10" s="222" t="s">
        <v>455</v>
      </c>
      <c r="I10" s="222" t="s">
        <v>455</v>
      </c>
      <c r="J10" s="222" t="s">
        <v>455</v>
      </c>
      <c r="K10" s="222" t="s">
        <v>455</v>
      </c>
      <c r="L10" s="222" t="s">
        <v>455</v>
      </c>
      <c r="M10" s="222" t="s">
        <v>455</v>
      </c>
      <c r="N10" s="222" t="s">
        <v>455</v>
      </c>
      <c r="O10" s="200" t="s">
        <v>455</v>
      </c>
      <c r="P10" s="201" t="s">
        <v>455</v>
      </c>
      <c r="Q10" s="201" t="s">
        <v>455</v>
      </c>
      <c r="R10" s="192"/>
      <c r="S10" s="200" t="s">
        <v>455</v>
      </c>
      <c r="T10" s="201" t="s">
        <v>455</v>
      </c>
      <c r="U10" s="192"/>
      <c r="V10" s="192"/>
      <c r="W10" s="192"/>
      <c r="X10" s="192"/>
      <c r="Y10" s="192"/>
      <c r="Z10" s="192"/>
    </row>
    <row r="11" spans="1:26" ht="15.75">
      <c r="A11" s="192">
        <v>11</v>
      </c>
      <c r="B11" s="192" t="s">
        <v>456</v>
      </c>
      <c r="C11" s="224">
        <v>90</v>
      </c>
      <c r="D11" s="224">
        <v>144</v>
      </c>
      <c r="E11" s="224">
        <v>175</v>
      </c>
      <c r="F11" s="224">
        <v>149</v>
      </c>
      <c r="G11" s="224">
        <v>125</v>
      </c>
      <c r="H11" s="224">
        <v>73</v>
      </c>
      <c r="I11" s="224">
        <v>39</v>
      </c>
      <c r="J11" s="224">
        <v>21</v>
      </c>
      <c r="K11" s="224">
        <v>16</v>
      </c>
      <c r="L11" s="224">
        <v>16</v>
      </c>
      <c r="M11" s="224">
        <v>16</v>
      </c>
      <c r="N11" s="224">
        <v>50</v>
      </c>
      <c r="O11" s="198">
        <v>914</v>
      </c>
      <c r="P11" s="199">
        <v>756</v>
      </c>
      <c r="Q11" s="199">
        <v>158</v>
      </c>
      <c r="R11" s="192"/>
      <c r="S11" s="198">
        <v>126</v>
      </c>
      <c r="T11" s="199">
        <v>26</v>
      </c>
      <c r="U11" s="192"/>
      <c r="V11" s="192"/>
      <c r="W11" s="192"/>
      <c r="X11" s="192"/>
      <c r="Y11" s="192"/>
      <c r="Z11" s="192"/>
    </row>
    <row r="12" spans="1:26" ht="15.75">
      <c r="A12" s="192">
        <v>12</v>
      </c>
      <c r="B12" s="192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198" t="s">
        <v>283</v>
      </c>
      <c r="P12" s="199" t="s">
        <v>283</v>
      </c>
      <c r="Q12" s="199" t="s">
        <v>283</v>
      </c>
      <c r="R12" s="192"/>
      <c r="S12" s="198" t="s">
        <v>283</v>
      </c>
      <c r="T12" s="199" t="s">
        <v>283</v>
      </c>
      <c r="U12" s="192"/>
      <c r="V12" s="192"/>
      <c r="W12" s="192"/>
      <c r="X12" s="192"/>
      <c r="Y12" s="192"/>
      <c r="Z12" s="192"/>
    </row>
    <row r="13" spans="1:26" ht="15.75">
      <c r="A13" s="192">
        <v>13</v>
      </c>
      <c r="B13" s="202" t="s">
        <v>457</v>
      </c>
      <c r="C13" s="225" t="s">
        <v>283</v>
      </c>
      <c r="D13" s="225" t="s">
        <v>283</v>
      </c>
      <c r="E13" s="225" t="s">
        <v>283</v>
      </c>
      <c r="F13" s="225" t="s">
        <v>283</v>
      </c>
      <c r="G13" s="225" t="s">
        <v>283</v>
      </c>
      <c r="H13" s="225" t="s">
        <v>283</v>
      </c>
      <c r="I13" s="225" t="s">
        <v>283</v>
      </c>
      <c r="J13" s="225" t="s">
        <v>283</v>
      </c>
      <c r="K13" s="225" t="s">
        <v>283</v>
      </c>
      <c r="L13" s="225" t="s">
        <v>283</v>
      </c>
      <c r="M13" s="225" t="s">
        <v>283</v>
      </c>
      <c r="N13" s="225" t="s">
        <v>283</v>
      </c>
      <c r="O13" s="203" t="s">
        <v>283</v>
      </c>
      <c r="P13" s="204" t="s">
        <v>283</v>
      </c>
      <c r="Q13" s="204" t="s">
        <v>283</v>
      </c>
      <c r="R13" s="192"/>
      <c r="S13" s="203" t="s">
        <v>283</v>
      </c>
      <c r="T13" s="204" t="s">
        <v>283</v>
      </c>
      <c r="U13" s="192"/>
      <c r="V13" s="192"/>
      <c r="W13" s="192"/>
      <c r="X13" s="192"/>
      <c r="Y13" s="192"/>
      <c r="Z13" s="192"/>
    </row>
    <row r="14" spans="1:26" ht="15.75">
      <c r="A14" s="192">
        <v>14</v>
      </c>
      <c r="B14" s="192" t="s">
        <v>458</v>
      </c>
      <c r="C14" s="224">
        <v>10</v>
      </c>
      <c r="D14" s="224">
        <v>10</v>
      </c>
      <c r="E14" s="224">
        <v>10</v>
      </c>
      <c r="F14" s="224">
        <v>10</v>
      </c>
      <c r="G14" s="224">
        <v>10</v>
      </c>
      <c r="H14" s="224">
        <v>10</v>
      </c>
      <c r="I14" s="224">
        <v>10</v>
      </c>
      <c r="J14" s="224">
        <v>10</v>
      </c>
      <c r="K14" s="224">
        <v>10</v>
      </c>
      <c r="L14" s="224">
        <v>10</v>
      </c>
      <c r="M14" s="224">
        <v>10</v>
      </c>
      <c r="N14" s="224">
        <v>10</v>
      </c>
      <c r="O14" s="205">
        <v>120</v>
      </c>
      <c r="P14" s="206">
        <v>60</v>
      </c>
      <c r="Q14" s="206">
        <v>60</v>
      </c>
      <c r="R14" s="192"/>
      <c r="S14" s="198" t="s">
        <v>283</v>
      </c>
      <c r="T14" s="199" t="s">
        <v>283</v>
      </c>
      <c r="U14" s="192"/>
      <c r="V14" s="192"/>
      <c r="W14" s="192"/>
      <c r="X14" s="192"/>
      <c r="Y14" s="192"/>
      <c r="Z14" s="192"/>
    </row>
    <row r="15" spans="1:26" ht="15.75">
      <c r="A15" s="192">
        <v>15</v>
      </c>
      <c r="B15" s="192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198" t="s">
        <v>283</v>
      </c>
      <c r="P15" s="199" t="s">
        <v>283</v>
      </c>
      <c r="Q15" s="199" t="s">
        <v>283</v>
      </c>
      <c r="R15" s="192"/>
      <c r="S15" s="198" t="s">
        <v>283</v>
      </c>
      <c r="T15" s="199" t="s">
        <v>283</v>
      </c>
      <c r="U15" s="192"/>
      <c r="V15" s="192"/>
      <c r="W15" s="192"/>
      <c r="X15" s="192"/>
      <c r="Y15" s="192"/>
      <c r="Z15" s="192"/>
    </row>
    <row r="16" spans="1:26" ht="15.75">
      <c r="A16" s="192">
        <v>16</v>
      </c>
      <c r="B16" s="192" t="s">
        <v>459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198" t="s">
        <v>283</v>
      </c>
      <c r="P16" s="199" t="s">
        <v>283</v>
      </c>
      <c r="Q16" s="199" t="s">
        <v>283</v>
      </c>
      <c r="R16" s="192"/>
      <c r="S16" s="198" t="s">
        <v>283</v>
      </c>
      <c r="T16" s="199" t="s">
        <v>283</v>
      </c>
      <c r="U16" s="192"/>
      <c r="V16" s="192"/>
      <c r="W16" s="192"/>
      <c r="X16" s="192"/>
      <c r="Y16" s="192"/>
      <c r="Z16" s="192"/>
    </row>
    <row r="17" spans="1:26" ht="15.75">
      <c r="A17" s="192">
        <v>17</v>
      </c>
      <c r="B17" s="192" t="s">
        <v>80</v>
      </c>
      <c r="C17" s="224">
        <v>0.63959999999999995</v>
      </c>
      <c r="D17" s="224">
        <v>0.63959999999999995</v>
      </c>
      <c r="E17" s="224">
        <v>0.63959999999999995</v>
      </c>
      <c r="F17" s="224">
        <v>0.63959999999999995</v>
      </c>
      <c r="G17" s="224">
        <v>0.63959999999999995</v>
      </c>
      <c r="H17" s="224">
        <v>0.63959999999999995</v>
      </c>
      <c r="I17" s="224">
        <v>0.63959999999999995</v>
      </c>
      <c r="J17" s="224">
        <v>0.63959999999999995</v>
      </c>
      <c r="K17" s="224">
        <v>0.63959999999999995</v>
      </c>
      <c r="L17" s="224">
        <v>0.63959999999999995</v>
      </c>
      <c r="M17" s="224">
        <v>0.63959999999999995</v>
      </c>
      <c r="N17" s="224">
        <v>0.63959999999999995</v>
      </c>
      <c r="O17" s="205">
        <v>584.59</v>
      </c>
      <c r="P17" s="206">
        <v>483.54</v>
      </c>
      <c r="Q17" s="206">
        <v>101.06</v>
      </c>
      <c r="R17" s="192"/>
      <c r="S17" s="198" t="s">
        <v>283</v>
      </c>
      <c r="T17" s="199" t="s">
        <v>283</v>
      </c>
      <c r="U17" s="192"/>
      <c r="V17" s="192"/>
      <c r="W17" s="192"/>
      <c r="X17" s="192"/>
      <c r="Y17" s="192"/>
      <c r="Z17" s="192"/>
    </row>
    <row r="18" spans="1:26" ht="15.75">
      <c r="A18" s="192">
        <v>18</v>
      </c>
      <c r="B18" s="192" t="s">
        <v>370</v>
      </c>
      <c r="C18" s="224">
        <v>2.7799999999999998E-2</v>
      </c>
      <c r="D18" s="224">
        <v>2.7799999999999998E-2</v>
      </c>
      <c r="E18" s="224">
        <v>2.7799999999999998E-2</v>
      </c>
      <c r="F18" s="224">
        <v>2.7799999999999998E-2</v>
      </c>
      <c r="G18" s="224">
        <v>2.7799999999999998E-2</v>
      </c>
      <c r="H18" s="224">
        <v>2.7799999999999998E-2</v>
      </c>
      <c r="I18" s="224">
        <v>2.7799999999999998E-2</v>
      </c>
      <c r="J18" s="224">
        <v>2.7799999999999998E-2</v>
      </c>
      <c r="K18" s="224">
        <v>2.7799999999999998E-2</v>
      </c>
      <c r="L18" s="224">
        <v>2.7799999999999998E-2</v>
      </c>
      <c r="M18" s="224">
        <v>2.7799999999999998E-2</v>
      </c>
      <c r="N18" s="224">
        <v>2.7799999999999998E-2</v>
      </c>
      <c r="O18" s="205">
        <v>25.41</v>
      </c>
      <c r="P18" s="206">
        <v>21.02</v>
      </c>
      <c r="Q18" s="206">
        <v>4.3899999999999997</v>
      </c>
      <c r="R18" s="192"/>
      <c r="S18" s="198" t="s">
        <v>283</v>
      </c>
      <c r="T18" s="199" t="s">
        <v>283</v>
      </c>
      <c r="U18" s="192"/>
      <c r="V18" s="192"/>
      <c r="W18" s="192"/>
      <c r="X18" s="192"/>
      <c r="Y18" s="192"/>
      <c r="Z18" s="192"/>
    </row>
    <row r="19" spans="1:26" ht="15.75">
      <c r="A19" s="192">
        <v>19</v>
      </c>
      <c r="B19" s="192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198" t="s">
        <v>283</v>
      </c>
      <c r="P19" s="199" t="s">
        <v>283</v>
      </c>
      <c r="Q19" s="199" t="s">
        <v>283</v>
      </c>
      <c r="R19" s="192"/>
      <c r="S19" s="198" t="s">
        <v>283</v>
      </c>
      <c r="T19" s="199" t="s">
        <v>283</v>
      </c>
      <c r="U19" s="192"/>
      <c r="V19" s="192"/>
      <c r="W19" s="192"/>
      <c r="X19" s="192"/>
      <c r="Y19" s="192"/>
      <c r="Z19" s="192"/>
    </row>
    <row r="20" spans="1:26" ht="15.75">
      <c r="A20" s="192">
        <v>20</v>
      </c>
      <c r="B20" s="192" t="s">
        <v>460</v>
      </c>
      <c r="C20" s="224">
        <v>6.0299999999999999E-2</v>
      </c>
      <c r="D20" s="224">
        <v>6.0299999999999999E-2</v>
      </c>
      <c r="E20" s="224">
        <v>6.0299999999999999E-2</v>
      </c>
      <c r="F20" s="224">
        <v>6.0299999999999999E-2</v>
      </c>
      <c r="G20" s="224">
        <v>6.0299999999999999E-2</v>
      </c>
      <c r="H20" s="224">
        <v>6.0299999999999999E-2</v>
      </c>
      <c r="I20" s="224">
        <v>5.8599999999999999E-2</v>
      </c>
      <c r="J20" s="224">
        <v>5.8599999999999999E-2</v>
      </c>
      <c r="K20" s="224">
        <v>5.8599999999999999E-2</v>
      </c>
      <c r="L20" s="224">
        <v>5.8599999999999999E-2</v>
      </c>
      <c r="M20" s="224">
        <v>5.8599999999999999E-2</v>
      </c>
      <c r="N20" s="224">
        <v>5.8599999999999999E-2</v>
      </c>
      <c r="O20" s="205">
        <v>54.85</v>
      </c>
      <c r="P20" s="206">
        <v>45.59</v>
      </c>
      <c r="Q20" s="206">
        <v>9.26</v>
      </c>
      <c r="R20" s="192"/>
      <c r="S20" s="198" t="s">
        <v>283</v>
      </c>
      <c r="T20" s="199" t="s">
        <v>283</v>
      </c>
      <c r="U20" s="192"/>
      <c r="V20" s="192"/>
      <c r="W20" s="192"/>
      <c r="X20" s="192"/>
      <c r="Y20" s="192"/>
      <c r="Z20" s="192"/>
    </row>
    <row r="21" spans="1:26" ht="15.75">
      <c r="A21" s="192">
        <v>21</v>
      </c>
      <c r="B21" s="192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198" t="s">
        <v>283</v>
      </c>
      <c r="P21" s="199" t="s">
        <v>283</v>
      </c>
      <c r="Q21" s="199" t="s">
        <v>283</v>
      </c>
      <c r="R21" s="192"/>
      <c r="S21" s="198" t="s">
        <v>283</v>
      </c>
      <c r="T21" s="199" t="s">
        <v>283</v>
      </c>
      <c r="U21" s="192"/>
      <c r="V21" s="192"/>
      <c r="W21" s="192"/>
      <c r="X21" s="192"/>
      <c r="Y21" s="192"/>
      <c r="Z21" s="192"/>
    </row>
    <row r="22" spans="1:26" ht="15.75">
      <c r="A22" s="192">
        <v>22</v>
      </c>
      <c r="B22" s="192" t="s">
        <v>461</v>
      </c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198" t="s">
        <v>283</v>
      </c>
      <c r="P22" s="199" t="s">
        <v>283</v>
      </c>
      <c r="Q22" s="199" t="s">
        <v>283</v>
      </c>
      <c r="R22" s="192"/>
      <c r="S22" s="198" t="s">
        <v>283</v>
      </c>
      <c r="T22" s="199" t="s">
        <v>283</v>
      </c>
      <c r="U22" s="192"/>
      <c r="V22" s="192"/>
      <c r="W22" s="192"/>
      <c r="X22" s="192"/>
      <c r="Y22" s="192"/>
      <c r="Z22" s="192"/>
    </row>
    <row r="23" spans="1:26" ht="15.75">
      <c r="A23" s="192">
        <v>23</v>
      </c>
      <c r="B23" s="192" t="s">
        <v>462</v>
      </c>
      <c r="C23" s="224">
        <v>4.7999999999999996E-3</v>
      </c>
      <c r="D23" s="224">
        <v>4.7999999999999996E-3</v>
      </c>
      <c r="E23" s="224">
        <v>4.7999999999999996E-3</v>
      </c>
      <c r="F23" s="224">
        <v>4.7999999999999996E-3</v>
      </c>
      <c r="G23" s="224">
        <v>4.7999999999999996E-3</v>
      </c>
      <c r="H23" s="224">
        <v>4.7999999999999996E-3</v>
      </c>
      <c r="I23" s="224">
        <v>4.7999999999999996E-3</v>
      </c>
      <c r="J23" s="224">
        <v>4.7999999999999996E-3</v>
      </c>
      <c r="K23" s="224">
        <v>4.7999999999999996E-3</v>
      </c>
      <c r="L23" s="224">
        <v>4.7999999999999996E-3</v>
      </c>
      <c r="M23" s="224">
        <v>4.7999999999999996E-3</v>
      </c>
      <c r="N23" s="224">
        <v>4.7999999999999996E-3</v>
      </c>
      <c r="O23" s="205">
        <v>4.3899999999999997</v>
      </c>
      <c r="P23" s="206">
        <v>3.63</v>
      </c>
      <c r="Q23" s="206">
        <v>0.76</v>
      </c>
      <c r="R23" s="192"/>
      <c r="S23" s="198" t="s">
        <v>283</v>
      </c>
      <c r="T23" s="199" t="s">
        <v>283</v>
      </c>
      <c r="U23" s="192"/>
      <c r="V23" s="192"/>
      <c r="W23" s="192"/>
      <c r="X23" s="192"/>
      <c r="Y23" s="192"/>
      <c r="Z23" s="192"/>
    </row>
    <row r="24" spans="1:26" ht="15.75">
      <c r="A24" s="192">
        <v>24</v>
      </c>
      <c r="B24" s="192" t="s">
        <v>463</v>
      </c>
      <c r="C24" s="224">
        <v>-4.5999999999999999E-3</v>
      </c>
      <c r="D24" s="224">
        <v>-4.5999999999999999E-3</v>
      </c>
      <c r="E24" s="224">
        <v>-4.5999999999999999E-3</v>
      </c>
      <c r="F24" s="224">
        <v>-4.5999999999999999E-3</v>
      </c>
      <c r="G24" s="224">
        <v>-4.5999999999999999E-3</v>
      </c>
      <c r="H24" s="224">
        <v>-4.5999999999999999E-3</v>
      </c>
      <c r="I24" s="224">
        <v>-4.5999999999999999E-3</v>
      </c>
      <c r="J24" s="224">
        <v>-4.5999999999999999E-3</v>
      </c>
      <c r="K24" s="224">
        <v>-4.5999999999999999E-3</v>
      </c>
      <c r="L24" s="224">
        <v>-4.5999999999999999E-3</v>
      </c>
      <c r="M24" s="224">
        <v>-4.5999999999999999E-3</v>
      </c>
      <c r="N24" s="224">
        <v>-4.5999999999999999E-3</v>
      </c>
      <c r="O24" s="205">
        <v>-4.2</v>
      </c>
      <c r="P24" s="206">
        <v>-3.48</v>
      </c>
      <c r="Q24" s="206">
        <v>-0.73</v>
      </c>
      <c r="R24" s="192"/>
      <c r="S24" s="198" t="s">
        <v>283</v>
      </c>
      <c r="T24" s="199" t="s">
        <v>283</v>
      </c>
      <c r="U24" s="192"/>
      <c r="V24" s="192"/>
      <c r="W24" s="192"/>
      <c r="X24" s="192"/>
      <c r="Y24" s="192"/>
      <c r="Z24" s="192"/>
    </row>
    <row r="25" spans="1:26" ht="15.75">
      <c r="A25" s="192">
        <v>25</v>
      </c>
      <c r="B25" s="192" t="s">
        <v>464</v>
      </c>
      <c r="C25" s="224">
        <v>-2.0000000000000001E-4</v>
      </c>
      <c r="D25" s="224">
        <v>-2.0000000000000001E-4</v>
      </c>
      <c r="E25" s="224">
        <v>-2.0000000000000001E-4</v>
      </c>
      <c r="F25" s="224">
        <v>-2.0000000000000001E-4</v>
      </c>
      <c r="G25" s="224">
        <v>-2.0000000000000001E-4</v>
      </c>
      <c r="H25" s="224">
        <v>-2.0000000000000001E-4</v>
      </c>
      <c r="I25" s="224">
        <v>-2.0000000000000001E-4</v>
      </c>
      <c r="J25" s="224">
        <v>-2.0000000000000001E-4</v>
      </c>
      <c r="K25" s="224">
        <v>-2.0000000000000001E-4</v>
      </c>
      <c r="L25" s="224">
        <v>-2.0000000000000001E-4</v>
      </c>
      <c r="M25" s="224">
        <v>-2.0000000000000001E-4</v>
      </c>
      <c r="N25" s="224">
        <v>-2.0000000000000001E-4</v>
      </c>
      <c r="O25" s="205">
        <v>-0.18</v>
      </c>
      <c r="P25" s="206">
        <v>-0.15</v>
      </c>
      <c r="Q25" s="206">
        <v>-0.03</v>
      </c>
      <c r="R25" s="192"/>
      <c r="S25" s="198" t="s">
        <v>283</v>
      </c>
      <c r="T25" s="199" t="s">
        <v>283</v>
      </c>
      <c r="U25" s="192"/>
      <c r="V25" s="192"/>
      <c r="W25" s="192"/>
      <c r="X25" s="192"/>
      <c r="Y25" s="192"/>
      <c r="Z25" s="192"/>
    </row>
    <row r="26" spans="1:26" ht="15.75">
      <c r="A26" s="192">
        <v>26</v>
      </c>
      <c r="B26" s="192" t="s">
        <v>465</v>
      </c>
      <c r="C26" s="224">
        <v>1.61E-2</v>
      </c>
      <c r="D26" s="224">
        <v>1.61E-2</v>
      </c>
      <c r="E26" s="224">
        <v>1.61E-2</v>
      </c>
      <c r="F26" s="224">
        <v>1.61E-2</v>
      </c>
      <c r="G26" s="224">
        <v>1.61E-2</v>
      </c>
      <c r="H26" s="224">
        <v>1.61E-2</v>
      </c>
      <c r="I26" s="224">
        <v>1.61E-2</v>
      </c>
      <c r="J26" s="224">
        <v>1.61E-2</v>
      </c>
      <c r="K26" s="224">
        <v>1.61E-2</v>
      </c>
      <c r="L26" s="224">
        <v>1.61E-2</v>
      </c>
      <c r="M26" s="224">
        <v>1.61E-2</v>
      </c>
      <c r="N26" s="224">
        <v>1.61E-2</v>
      </c>
      <c r="O26" s="205">
        <v>14.72</v>
      </c>
      <c r="P26" s="206">
        <v>12.17</v>
      </c>
      <c r="Q26" s="206">
        <v>2.54</v>
      </c>
      <c r="R26" s="192"/>
      <c r="S26" s="198" t="s">
        <v>283</v>
      </c>
      <c r="T26" s="199" t="s">
        <v>283</v>
      </c>
      <c r="U26" s="192"/>
      <c r="V26" s="192"/>
      <c r="W26" s="192"/>
      <c r="X26" s="192"/>
      <c r="Y26" s="192"/>
      <c r="Z26" s="192"/>
    </row>
    <row r="27" spans="1:26" ht="15.75">
      <c r="A27" s="192">
        <v>27</v>
      </c>
      <c r="B27" s="192" t="s">
        <v>466</v>
      </c>
      <c r="C27" s="231">
        <v>0.29570000000000002</v>
      </c>
      <c r="D27" s="231">
        <v>0.29570000000000002</v>
      </c>
      <c r="E27" s="231">
        <v>0.29570000000000002</v>
      </c>
      <c r="F27" s="231">
        <v>0.29570000000000002</v>
      </c>
      <c r="G27" s="231">
        <v>0.29570000000000002</v>
      </c>
      <c r="H27" s="231">
        <v>0.29570000000000002</v>
      </c>
      <c r="I27" s="231">
        <v>0.29570000000000002</v>
      </c>
      <c r="J27" s="231">
        <v>0.29570000000000002</v>
      </c>
      <c r="K27" s="231">
        <v>0.29570000000000002</v>
      </c>
      <c r="L27" s="231">
        <v>0.29570000000000002</v>
      </c>
      <c r="M27" s="231">
        <v>0.29570000000000002</v>
      </c>
      <c r="N27" s="231">
        <v>0.29570000000000002</v>
      </c>
      <c r="O27" s="205">
        <v>270.27</v>
      </c>
      <c r="P27" s="206">
        <v>223.55</v>
      </c>
      <c r="Q27" s="206">
        <v>46.72</v>
      </c>
      <c r="R27" s="192"/>
      <c r="S27" s="198" t="s">
        <v>283</v>
      </c>
      <c r="T27" s="199" t="s">
        <v>283</v>
      </c>
      <c r="U27" s="192"/>
      <c r="V27" s="192"/>
      <c r="W27" s="192"/>
      <c r="X27" s="192"/>
      <c r="Y27" s="192"/>
      <c r="Z27" s="192"/>
    </row>
    <row r="28" spans="1:26" ht="15.75">
      <c r="A28" s="192">
        <v>28</v>
      </c>
      <c r="B28" s="192" t="s">
        <v>467</v>
      </c>
      <c r="C28" s="224">
        <v>4.0000000000000002E-4</v>
      </c>
      <c r="D28" s="224">
        <v>4.0000000000000002E-4</v>
      </c>
      <c r="E28" s="224">
        <v>4.0000000000000002E-4</v>
      </c>
      <c r="F28" s="224">
        <v>4.0000000000000002E-4</v>
      </c>
      <c r="G28" s="224">
        <v>4.0000000000000002E-4</v>
      </c>
      <c r="H28" s="224">
        <v>4.0000000000000002E-4</v>
      </c>
      <c r="I28" s="224">
        <v>4.0000000000000002E-4</v>
      </c>
      <c r="J28" s="224">
        <v>4.0000000000000002E-4</v>
      </c>
      <c r="K28" s="224">
        <v>4.0000000000000002E-4</v>
      </c>
      <c r="L28" s="224">
        <v>4.0000000000000002E-4</v>
      </c>
      <c r="M28" s="224">
        <v>4.0000000000000002E-4</v>
      </c>
      <c r="N28" s="224">
        <v>4.0000000000000002E-4</v>
      </c>
      <c r="O28" s="205">
        <v>0.37</v>
      </c>
      <c r="P28" s="206">
        <v>0.3</v>
      </c>
      <c r="Q28" s="206">
        <v>0.06</v>
      </c>
      <c r="R28" s="192"/>
      <c r="S28" s="198" t="s">
        <v>283</v>
      </c>
      <c r="T28" s="199" t="s">
        <v>283</v>
      </c>
      <c r="U28" s="192"/>
      <c r="V28" s="192"/>
      <c r="W28" s="192"/>
      <c r="X28" s="192"/>
      <c r="Y28" s="192"/>
      <c r="Z28" s="192"/>
    </row>
    <row r="29" spans="1:26" ht="15.75">
      <c r="A29" s="192">
        <v>29</v>
      </c>
      <c r="B29" s="192" t="s">
        <v>468</v>
      </c>
      <c r="C29" s="224">
        <v>5.3199999999999997E-2</v>
      </c>
      <c r="D29" s="224">
        <v>5.3199999999999997E-2</v>
      </c>
      <c r="E29" s="224">
        <v>5.3199999999999997E-2</v>
      </c>
      <c r="F29" s="224">
        <v>5.3199999999999997E-2</v>
      </c>
      <c r="G29" s="224">
        <v>5.3199999999999997E-2</v>
      </c>
      <c r="H29" s="224">
        <v>5.3199999999999997E-2</v>
      </c>
      <c r="I29" s="224">
        <v>5.3199999999999997E-2</v>
      </c>
      <c r="J29" s="224">
        <v>5.3199999999999997E-2</v>
      </c>
      <c r="K29" s="224">
        <v>5.3199999999999997E-2</v>
      </c>
      <c r="L29" s="224">
        <v>5.3199999999999997E-2</v>
      </c>
      <c r="M29" s="224">
        <v>5.3199999999999997E-2</v>
      </c>
      <c r="N29" s="224">
        <v>5.3199999999999997E-2</v>
      </c>
      <c r="O29" s="205">
        <v>48.62</v>
      </c>
      <c r="P29" s="206">
        <v>40.22</v>
      </c>
      <c r="Q29" s="206">
        <v>8.41</v>
      </c>
      <c r="R29" s="192"/>
      <c r="S29" s="198" t="s">
        <v>283</v>
      </c>
      <c r="T29" s="199" t="s">
        <v>283</v>
      </c>
      <c r="U29" s="192"/>
      <c r="V29" s="192"/>
      <c r="W29" s="192"/>
      <c r="X29" s="192"/>
      <c r="Y29" s="192"/>
      <c r="Z29" s="192"/>
    </row>
    <row r="30" spans="1:26" ht="15.75">
      <c r="A30" s="192">
        <v>30</v>
      </c>
      <c r="B30" s="192" t="s">
        <v>469</v>
      </c>
      <c r="C30" s="224">
        <v>0.2049</v>
      </c>
      <c r="D30" s="224">
        <v>0.2049</v>
      </c>
      <c r="E30" s="224">
        <v>0.2049</v>
      </c>
      <c r="F30" s="224">
        <v>0.2049</v>
      </c>
      <c r="G30" s="224">
        <v>0.2049</v>
      </c>
      <c r="H30" s="224">
        <v>0.2049</v>
      </c>
      <c r="I30" s="224">
        <v>0.2049</v>
      </c>
      <c r="J30" s="224">
        <v>0.2049</v>
      </c>
      <c r="K30" s="224">
        <v>0.2049</v>
      </c>
      <c r="L30" s="224">
        <v>0.2049</v>
      </c>
      <c r="M30" s="224">
        <v>0.2049</v>
      </c>
      <c r="N30" s="224">
        <v>0.2049</v>
      </c>
      <c r="O30" s="205">
        <v>187.28</v>
      </c>
      <c r="P30" s="206">
        <v>154.9</v>
      </c>
      <c r="Q30" s="206">
        <v>32.369999999999997</v>
      </c>
      <c r="R30" s="192"/>
      <c r="S30" s="198" t="s">
        <v>283</v>
      </c>
      <c r="T30" s="199" t="s">
        <v>283</v>
      </c>
      <c r="U30" s="192"/>
      <c r="V30" s="192"/>
      <c r="W30" s="192"/>
      <c r="X30" s="192"/>
      <c r="Y30" s="192"/>
      <c r="Z30" s="192"/>
    </row>
    <row r="31" spans="1:26" ht="15.75">
      <c r="A31" s="192">
        <v>31</v>
      </c>
      <c r="B31" s="192" t="s">
        <v>470</v>
      </c>
      <c r="C31" s="224">
        <v>0</v>
      </c>
      <c r="D31" s="224">
        <v>0</v>
      </c>
      <c r="E31" s="224">
        <v>0</v>
      </c>
      <c r="F31" s="224">
        <v>0</v>
      </c>
      <c r="G31" s="224">
        <v>0</v>
      </c>
      <c r="H31" s="224">
        <v>0</v>
      </c>
      <c r="I31" s="224">
        <v>0</v>
      </c>
      <c r="J31" s="224">
        <v>0</v>
      </c>
      <c r="K31" s="224">
        <v>0</v>
      </c>
      <c r="L31" s="224">
        <v>0</v>
      </c>
      <c r="M31" s="224">
        <v>0</v>
      </c>
      <c r="N31" s="224">
        <v>0</v>
      </c>
      <c r="O31" s="205">
        <v>0</v>
      </c>
      <c r="P31" s="206">
        <v>0</v>
      </c>
      <c r="Q31" s="206">
        <v>0</v>
      </c>
      <c r="R31" s="192"/>
      <c r="S31" s="198" t="s">
        <v>283</v>
      </c>
      <c r="T31" s="199" t="s">
        <v>283</v>
      </c>
      <c r="U31" s="192"/>
      <c r="V31" s="192"/>
      <c r="W31" s="192"/>
      <c r="X31" s="192"/>
      <c r="Y31" s="192"/>
      <c r="Z31" s="192"/>
    </row>
    <row r="32" spans="1:26" ht="15.75">
      <c r="A32" s="192">
        <v>32</v>
      </c>
      <c r="B32" s="192" t="s">
        <v>471</v>
      </c>
      <c r="C32" s="224">
        <v>6.9999999999999999E-4</v>
      </c>
      <c r="D32" s="224">
        <v>6.9999999999999999E-4</v>
      </c>
      <c r="E32" s="224">
        <v>6.9999999999999999E-4</v>
      </c>
      <c r="F32" s="224">
        <v>6.9999999999999999E-4</v>
      </c>
      <c r="G32" s="224">
        <v>6.9999999999999999E-4</v>
      </c>
      <c r="H32" s="224">
        <v>6.9999999999999999E-4</v>
      </c>
      <c r="I32" s="224">
        <v>6.9999999999999999E-4</v>
      </c>
      <c r="J32" s="224">
        <v>6.9999999999999999E-4</v>
      </c>
      <c r="K32" s="224">
        <v>6.9999999999999999E-4</v>
      </c>
      <c r="L32" s="224">
        <v>6.9999999999999999E-4</v>
      </c>
      <c r="M32" s="224">
        <v>6.9999999999999999E-4</v>
      </c>
      <c r="N32" s="224">
        <v>6.9999999999999999E-4</v>
      </c>
      <c r="O32" s="205">
        <v>0.64</v>
      </c>
      <c r="P32" s="206">
        <v>0.53</v>
      </c>
      <c r="Q32" s="206">
        <v>0.11</v>
      </c>
      <c r="R32" s="192"/>
      <c r="S32" s="198" t="s">
        <v>283</v>
      </c>
      <c r="T32" s="199" t="s">
        <v>283</v>
      </c>
      <c r="U32" s="192"/>
      <c r="V32" s="192"/>
      <c r="W32" s="192"/>
      <c r="X32" s="192"/>
      <c r="Y32" s="192"/>
      <c r="Z32" s="192"/>
    </row>
    <row r="33" spans="1:26" ht="15.75">
      <c r="A33" s="192">
        <v>33</v>
      </c>
      <c r="B33" s="192" t="s">
        <v>472</v>
      </c>
      <c r="C33" s="224">
        <v>1.8E-3</v>
      </c>
      <c r="D33" s="224">
        <v>1.8E-3</v>
      </c>
      <c r="E33" s="224">
        <v>1.8E-3</v>
      </c>
      <c r="F33" s="224">
        <v>1.8E-3</v>
      </c>
      <c r="G33" s="224">
        <v>1.8E-3</v>
      </c>
      <c r="H33" s="224">
        <v>1.8E-3</v>
      </c>
      <c r="I33" s="224">
        <v>1.8E-3</v>
      </c>
      <c r="J33" s="224">
        <v>1.8E-3</v>
      </c>
      <c r="K33" s="224">
        <v>1.8E-3</v>
      </c>
      <c r="L33" s="224">
        <v>1.8E-3</v>
      </c>
      <c r="M33" s="224">
        <v>1.8E-3</v>
      </c>
      <c r="N33" s="224">
        <v>1.8E-3</v>
      </c>
      <c r="O33" s="205">
        <v>1.65</v>
      </c>
      <c r="P33" s="206">
        <v>1.36</v>
      </c>
      <c r="Q33" s="206">
        <v>0.28000000000000003</v>
      </c>
      <c r="R33" s="192"/>
      <c r="S33" s="198" t="s">
        <v>283</v>
      </c>
      <c r="T33" s="199" t="s">
        <v>283</v>
      </c>
      <c r="U33" s="192"/>
      <c r="V33" s="192"/>
      <c r="W33" s="192"/>
      <c r="X33" s="192"/>
      <c r="Y33" s="192"/>
      <c r="Z33" s="192"/>
    </row>
    <row r="34" spans="1:26" ht="15.75">
      <c r="A34" s="192">
        <v>34</v>
      </c>
      <c r="B34" s="192" t="s">
        <v>473</v>
      </c>
      <c r="C34" s="224">
        <v>0</v>
      </c>
      <c r="D34" s="224">
        <v>0</v>
      </c>
      <c r="E34" s="224">
        <v>0</v>
      </c>
      <c r="F34" s="224">
        <v>0</v>
      </c>
      <c r="G34" s="224">
        <v>0</v>
      </c>
      <c r="H34" s="224">
        <v>0</v>
      </c>
      <c r="I34" s="224">
        <v>0</v>
      </c>
      <c r="J34" s="224">
        <v>0</v>
      </c>
      <c r="K34" s="224">
        <v>0</v>
      </c>
      <c r="L34" s="224">
        <v>0</v>
      </c>
      <c r="M34" s="224">
        <v>0</v>
      </c>
      <c r="N34" s="224">
        <v>0</v>
      </c>
      <c r="O34" s="205">
        <v>0</v>
      </c>
      <c r="P34" s="206">
        <v>0</v>
      </c>
      <c r="Q34" s="206">
        <v>0</v>
      </c>
      <c r="R34" s="192"/>
      <c r="S34" s="198" t="s">
        <v>283</v>
      </c>
      <c r="T34" s="199" t="s">
        <v>283</v>
      </c>
      <c r="U34" s="192"/>
      <c r="V34" s="192"/>
      <c r="W34" s="192"/>
      <c r="X34" s="192"/>
      <c r="Y34" s="192"/>
      <c r="Z34" s="192"/>
    </row>
    <row r="35" spans="1:26" ht="15.75">
      <c r="A35" s="192">
        <v>35</v>
      </c>
      <c r="B35" s="192" t="s">
        <v>474</v>
      </c>
      <c r="C35" s="224">
        <v>0</v>
      </c>
      <c r="D35" s="224">
        <v>0</v>
      </c>
      <c r="E35" s="224">
        <v>0</v>
      </c>
      <c r="F35" s="224">
        <v>0</v>
      </c>
      <c r="G35" s="224">
        <v>0</v>
      </c>
      <c r="H35" s="224">
        <v>0</v>
      </c>
      <c r="I35" s="224">
        <v>0</v>
      </c>
      <c r="J35" s="224">
        <v>0</v>
      </c>
      <c r="K35" s="224">
        <v>0</v>
      </c>
      <c r="L35" s="224">
        <v>0</v>
      </c>
      <c r="M35" s="224">
        <v>0</v>
      </c>
      <c r="N35" s="224">
        <v>0</v>
      </c>
      <c r="O35" s="205">
        <v>0</v>
      </c>
      <c r="P35" s="206">
        <v>0</v>
      </c>
      <c r="Q35" s="206">
        <v>0</v>
      </c>
      <c r="R35" s="192"/>
      <c r="S35" s="198" t="s">
        <v>283</v>
      </c>
      <c r="T35" s="199" t="s">
        <v>283</v>
      </c>
      <c r="U35" s="192"/>
      <c r="V35" s="192"/>
      <c r="W35" s="192"/>
      <c r="X35" s="192"/>
      <c r="Y35" s="192"/>
      <c r="Z35" s="192"/>
    </row>
    <row r="36" spans="1:26" ht="15.75">
      <c r="A36" s="192">
        <v>36</v>
      </c>
      <c r="B36" s="192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198" t="s">
        <v>283</v>
      </c>
      <c r="P36" s="199" t="s">
        <v>283</v>
      </c>
      <c r="Q36" s="199" t="s">
        <v>283</v>
      </c>
      <c r="R36" s="192"/>
      <c r="S36" s="198" t="s">
        <v>283</v>
      </c>
      <c r="T36" s="199" t="s">
        <v>283</v>
      </c>
      <c r="U36" s="192"/>
      <c r="V36" s="192"/>
      <c r="W36" s="192"/>
      <c r="X36" s="192"/>
      <c r="Y36" s="192"/>
      <c r="Z36" s="192"/>
    </row>
    <row r="37" spans="1:26" ht="15.75">
      <c r="A37" s="192">
        <v>37</v>
      </c>
      <c r="B37" s="192" t="s">
        <v>475</v>
      </c>
      <c r="C37" s="224">
        <v>0.76800000000000002</v>
      </c>
      <c r="D37" s="224">
        <v>0.76800000000000002</v>
      </c>
      <c r="E37" s="224">
        <v>0.67120000000000002</v>
      </c>
      <c r="F37" s="224">
        <v>0.67120000000000002</v>
      </c>
      <c r="G37" s="224">
        <v>0.67120000000000002</v>
      </c>
      <c r="H37" s="224">
        <v>0.67120000000000002</v>
      </c>
      <c r="I37" s="224">
        <v>0.28239999999999998</v>
      </c>
      <c r="J37" s="224">
        <v>0.28239999999999998</v>
      </c>
      <c r="K37" s="224">
        <v>0.28239999999999998</v>
      </c>
      <c r="L37" s="224">
        <v>0.25240000000000001</v>
      </c>
      <c r="M37" s="224">
        <v>0.25240000000000001</v>
      </c>
      <c r="N37" s="224">
        <v>0.25240000000000001</v>
      </c>
      <c r="O37" s="205">
        <v>572.24</v>
      </c>
      <c r="P37" s="206">
        <v>530.08000000000004</v>
      </c>
      <c r="Q37" s="206">
        <v>42.16</v>
      </c>
      <c r="R37" s="192"/>
      <c r="S37" s="198" t="s">
        <v>283</v>
      </c>
      <c r="T37" s="199" t="s">
        <v>283</v>
      </c>
      <c r="U37" s="192"/>
      <c r="V37" s="192"/>
      <c r="W37" s="192"/>
      <c r="X37" s="192"/>
      <c r="Y37" s="192"/>
      <c r="Z37" s="192"/>
    </row>
    <row r="38" spans="1:26" ht="15.75">
      <c r="A38" s="192">
        <v>38</v>
      </c>
      <c r="B38" s="192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198" t="s">
        <v>283</v>
      </c>
      <c r="P38" s="199" t="s">
        <v>283</v>
      </c>
      <c r="Q38" s="199" t="s">
        <v>283</v>
      </c>
      <c r="R38" s="192"/>
      <c r="S38" s="198" t="s">
        <v>283</v>
      </c>
      <c r="T38" s="199" t="s">
        <v>283</v>
      </c>
      <c r="U38" s="192"/>
      <c r="V38" s="192"/>
      <c r="W38" s="192"/>
      <c r="X38" s="192"/>
      <c r="Y38" s="192"/>
      <c r="Z38" s="192"/>
    </row>
    <row r="39" spans="1:26" ht="15.75">
      <c r="A39" s="192">
        <v>39</v>
      </c>
      <c r="B39" s="207" t="s">
        <v>476</v>
      </c>
      <c r="C39" s="226">
        <v>196.17</v>
      </c>
      <c r="D39" s="226">
        <v>307.86</v>
      </c>
      <c r="E39" s="226">
        <v>355.05</v>
      </c>
      <c r="F39" s="226">
        <v>303.77999999999997</v>
      </c>
      <c r="G39" s="226">
        <v>256.45999999999998</v>
      </c>
      <c r="H39" s="226">
        <v>153.93</v>
      </c>
      <c r="I39" s="226">
        <v>71.67</v>
      </c>
      <c r="J39" s="226">
        <v>43.21</v>
      </c>
      <c r="K39" s="226">
        <v>35.299999999999997</v>
      </c>
      <c r="L39" s="226">
        <v>34.82</v>
      </c>
      <c r="M39" s="226">
        <v>34.82</v>
      </c>
      <c r="N39" s="226">
        <v>87.56</v>
      </c>
      <c r="O39" s="208">
        <v>1880.63</v>
      </c>
      <c r="P39" s="209">
        <v>1573.26</v>
      </c>
      <c r="Q39" s="209">
        <v>307.37</v>
      </c>
      <c r="R39" s="192"/>
      <c r="S39" s="208">
        <v>262.20999999999998</v>
      </c>
      <c r="T39" s="209">
        <v>51.23</v>
      </c>
      <c r="U39" s="192"/>
      <c r="V39" s="192"/>
      <c r="W39" s="192"/>
      <c r="X39" s="192"/>
      <c r="Y39" s="192"/>
      <c r="Z39" s="192"/>
    </row>
    <row r="40" spans="1:26" ht="15.75">
      <c r="A40" s="192">
        <v>40</v>
      </c>
      <c r="B40" s="192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198" t="s">
        <v>283</v>
      </c>
      <c r="P40" s="199" t="s">
        <v>283</v>
      </c>
      <c r="Q40" s="199" t="s">
        <v>283</v>
      </c>
      <c r="R40" s="192"/>
      <c r="S40" s="198" t="s">
        <v>283</v>
      </c>
      <c r="T40" s="199" t="s">
        <v>283</v>
      </c>
      <c r="U40" s="192"/>
      <c r="V40" s="192"/>
      <c r="W40" s="192"/>
      <c r="X40" s="192"/>
      <c r="Y40" s="192"/>
      <c r="Z40" s="192"/>
    </row>
    <row r="41" spans="1:26" ht="15.75">
      <c r="A41" s="192">
        <v>41</v>
      </c>
      <c r="B41" s="202" t="s">
        <v>477</v>
      </c>
      <c r="C41" s="227"/>
      <c r="D41" s="227"/>
      <c r="E41" s="227"/>
      <c r="F41" s="227"/>
      <c r="G41" s="225" t="s">
        <v>283</v>
      </c>
      <c r="H41" s="225" t="s">
        <v>283</v>
      </c>
      <c r="I41" s="225" t="s">
        <v>283</v>
      </c>
      <c r="J41" s="225" t="s">
        <v>283</v>
      </c>
      <c r="K41" s="225" t="s">
        <v>283</v>
      </c>
      <c r="L41" s="225" t="s">
        <v>283</v>
      </c>
      <c r="M41" s="225" t="s">
        <v>283</v>
      </c>
      <c r="N41" s="225" t="s">
        <v>283</v>
      </c>
      <c r="O41" s="203" t="s">
        <v>283</v>
      </c>
      <c r="P41" s="204" t="s">
        <v>283</v>
      </c>
      <c r="Q41" s="204" t="s">
        <v>283</v>
      </c>
      <c r="R41" s="192"/>
      <c r="S41" s="203" t="s">
        <v>283</v>
      </c>
      <c r="T41" s="204" t="s">
        <v>283</v>
      </c>
      <c r="U41" s="192"/>
      <c r="V41" s="192"/>
      <c r="W41" s="192"/>
      <c r="X41" s="192"/>
      <c r="Y41" s="192"/>
      <c r="Z41" s="192"/>
    </row>
    <row r="42" spans="1:26" ht="15.75">
      <c r="A42" s="192">
        <v>42</v>
      </c>
      <c r="B42" s="192" t="s">
        <v>458</v>
      </c>
      <c r="C42" s="224">
        <v>10</v>
      </c>
      <c r="D42" s="224">
        <v>10</v>
      </c>
      <c r="E42" s="224">
        <v>10</v>
      </c>
      <c r="F42" s="224">
        <v>10</v>
      </c>
      <c r="G42" s="224">
        <v>10</v>
      </c>
      <c r="H42" s="224">
        <v>10</v>
      </c>
      <c r="I42" s="224">
        <v>10</v>
      </c>
      <c r="J42" s="224">
        <v>10</v>
      </c>
      <c r="K42" s="224">
        <v>10</v>
      </c>
      <c r="L42" s="224">
        <v>10</v>
      </c>
      <c r="M42" s="224">
        <v>10</v>
      </c>
      <c r="N42" s="224">
        <v>10</v>
      </c>
      <c r="O42" s="205">
        <v>120</v>
      </c>
      <c r="P42" s="206">
        <v>60</v>
      </c>
      <c r="Q42" s="206">
        <v>60</v>
      </c>
      <c r="R42" s="192"/>
      <c r="S42" s="198" t="s">
        <v>283</v>
      </c>
      <c r="T42" s="199" t="s">
        <v>283</v>
      </c>
      <c r="U42" s="192"/>
      <c r="V42" s="192"/>
      <c r="W42" s="192"/>
      <c r="X42" s="192"/>
      <c r="Y42" s="192"/>
      <c r="Z42" s="192"/>
    </row>
    <row r="43" spans="1:26" ht="15.75">
      <c r="A43" s="192">
        <v>43</v>
      </c>
      <c r="B43" s="192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198" t="s">
        <v>283</v>
      </c>
      <c r="P43" s="199" t="s">
        <v>283</v>
      </c>
      <c r="Q43" s="199" t="s">
        <v>283</v>
      </c>
      <c r="R43" s="192"/>
      <c r="S43" s="198" t="s">
        <v>283</v>
      </c>
      <c r="T43" s="199" t="s">
        <v>283</v>
      </c>
      <c r="U43" s="192"/>
      <c r="V43" s="192"/>
      <c r="W43" s="192"/>
      <c r="X43" s="192"/>
      <c r="Y43" s="192"/>
      <c r="Z43" s="192"/>
    </row>
    <row r="44" spans="1:26" ht="15.75">
      <c r="A44" s="192">
        <v>44</v>
      </c>
      <c r="B44" s="192" t="s">
        <v>459</v>
      </c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198" t="s">
        <v>283</v>
      </c>
      <c r="P44" s="199" t="s">
        <v>283</v>
      </c>
      <c r="Q44" s="199" t="s">
        <v>283</v>
      </c>
      <c r="R44" s="192"/>
      <c r="S44" s="198" t="s">
        <v>283</v>
      </c>
      <c r="T44" s="199" t="s">
        <v>283</v>
      </c>
      <c r="U44" s="192"/>
      <c r="V44" s="192"/>
      <c r="W44" s="192"/>
      <c r="X44" s="192"/>
      <c r="Y44" s="192"/>
      <c r="Z44" s="192"/>
    </row>
    <row r="45" spans="1:26" ht="15.75">
      <c r="A45" s="192">
        <v>45</v>
      </c>
      <c r="B45" s="192" t="s">
        <v>80</v>
      </c>
      <c r="C45" s="224">
        <v>0.63959999999999995</v>
      </c>
      <c r="D45" s="224">
        <v>0.63959999999999995</v>
      </c>
      <c r="E45" s="224">
        <v>0.63959999999999995</v>
      </c>
      <c r="F45" s="224">
        <v>0.63959999999999995</v>
      </c>
      <c r="G45" s="224">
        <v>0.63959999999999995</v>
      </c>
      <c r="H45" s="224">
        <v>0.63959999999999995</v>
      </c>
      <c r="I45" s="224">
        <v>0.63959999999999995</v>
      </c>
      <c r="J45" s="224">
        <v>0.63959999999999995</v>
      </c>
      <c r="K45" s="224">
        <v>0.63959999999999995</v>
      </c>
      <c r="L45" s="224">
        <v>0.63959999999999995</v>
      </c>
      <c r="M45" s="224">
        <v>0.63959999999999995</v>
      </c>
      <c r="N45" s="224">
        <v>0.63959999999999995</v>
      </c>
      <c r="O45" s="205">
        <v>584.59</v>
      </c>
      <c r="P45" s="206">
        <v>483.54</v>
      </c>
      <c r="Q45" s="206">
        <v>101.06</v>
      </c>
      <c r="R45" s="192"/>
      <c r="S45" s="198" t="s">
        <v>283</v>
      </c>
      <c r="T45" s="199" t="s">
        <v>283</v>
      </c>
      <c r="U45" s="192"/>
      <c r="V45" s="192"/>
      <c r="W45" s="192"/>
      <c r="X45" s="192"/>
      <c r="Y45" s="192"/>
      <c r="Z45" s="192"/>
    </row>
    <row r="46" spans="1:26" ht="15.75">
      <c r="A46" s="192">
        <v>46</v>
      </c>
      <c r="B46" s="192" t="s">
        <v>370</v>
      </c>
      <c r="C46" s="224">
        <v>2.7799999999999998E-2</v>
      </c>
      <c r="D46" s="224">
        <v>2.7799999999999998E-2</v>
      </c>
      <c r="E46" s="224">
        <v>2.7799999999999998E-2</v>
      </c>
      <c r="F46" s="224">
        <v>2.7799999999999998E-2</v>
      </c>
      <c r="G46" s="224">
        <v>2.7799999999999998E-2</v>
      </c>
      <c r="H46" s="224">
        <v>2.7799999999999998E-2</v>
      </c>
      <c r="I46" s="224">
        <v>2.7799999999999998E-2</v>
      </c>
      <c r="J46" s="224">
        <v>2.7799999999999998E-2</v>
      </c>
      <c r="K46" s="224">
        <v>2.7799999999999998E-2</v>
      </c>
      <c r="L46" s="224">
        <v>2.7799999999999998E-2</v>
      </c>
      <c r="M46" s="224">
        <v>2.7799999999999998E-2</v>
      </c>
      <c r="N46" s="224">
        <v>2.7799999999999998E-2</v>
      </c>
      <c r="O46" s="205">
        <v>25.41</v>
      </c>
      <c r="P46" s="206">
        <v>21.02</v>
      </c>
      <c r="Q46" s="206">
        <v>4.3899999999999997</v>
      </c>
      <c r="R46" s="192"/>
      <c r="S46" s="198" t="s">
        <v>283</v>
      </c>
      <c r="T46" s="199" t="s">
        <v>283</v>
      </c>
      <c r="U46" s="192"/>
      <c r="V46" s="192"/>
      <c r="W46" s="192"/>
      <c r="X46" s="192"/>
      <c r="Y46" s="192"/>
      <c r="Z46" s="192"/>
    </row>
    <row r="47" spans="1:26" ht="15.75">
      <c r="A47" s="192">
        <v>47</v>
      </c>
      <c r="B47" s="192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198" t="s">
        <v>283</v>
      </c>
      <c r="P47" s="199" t="s">
        <v>283</v>
      </c>
      <c r="Q47" s="199" t="s">
        <v>283</v>
      </c>
      <c r="R47" s="192"/>
      <c r="S47" s="198" t="s">
        <v>283</v>
      </c>
      <c r="T47" s="199" t="s">
        <v>283</v>
      </c>
      <c r="U47" s="192"/>
      <c r="V47" s="192"/>
      <c r="W47" s="192"/>
      <c r="X47" s="192"/>
      <c r="Y47" s="192"/>
      <c r="Z47" s="192"/>
    </row>
    <row r="48" spans="1:26" ht="15.75">
      <c r="A48" s="192">
        <v>48</v>
      </c>
      <c r="B48" s="192" t="s">
        <v>460</v>
      </c>
      <c r="C48" s="224">
        <v>6.0299999999999999E-2</v>
      </c>
      <c r="D48" s="224">
        <v>6.0299999999999999E-2</v>
      </c>
      <c r="E48" s="224">
        <v>6.0299999999999999E-2</v>
      </c>
      <c r="F48" s="224">
        <v>6.0299999999999999E-2</v>
      </c>
      <c r="G48" s="224">
        <v>6.0299999999999999E-2</v>
      </c>
      <c r="H48" s="224">
        <v>6.0299999999999999E-2</v>
      </c>
      <c r="I48" s="224">
        <v>5.8599999999999999E-2</v>
      </c>
      <c r="J48" s="224">
        <v>5.8599999999999999E-2</v>
      </c>
      <c r="K48" s="224">
        <v>5.8599999999999999E-2</v>
      </c>
      <c r="L48" s="224">
        <v>5.8599999999999999E-2</v>
      </c>
      <c r="M48" s="224">
        <v>5.8599999999999999E-2</v>
      </c>
      <c r="N48" s="224">
        <v>5.8599999999999999E-2</v>
      </c>
      <c r="O48" s="205">
        <v>54.85</v>
      </c>
      <c r="P48" s="206">
        <v>45.59</v>
      </c>
      <c r="Q48" s="206">
        <v>9.26</v>
      </c>
      <c r="R48" s="192"/>
      <c r="S48" s="198" t="s">
        <v>283</v>
      </c>
      <c r="T48" s="199" t="s">
        <v>283</v>
      </c>
      <c r="U48" s="192"/>
      <c r="V48" s="192"/>
      <c r="W48" s="192"/>
      <c r="X48" s="192"/>
      <c r="Y48" s="192"/>
      <c r="Z48" s="192"/>
    </row>
    <row r="49" spans="1:26" ht="15.75">
      <c r="A49" s="192">
        <v>49</v>
      </c>
      <c r="B49" s="192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198" t="s">
        <v>283</v>
      </c>
      <c r="P49" s="199" t="s">
        <v>283</v>
      </c>
      <c r="Q49" s="199" t="s">
        <v>283</v>
      </c>
      <c r="R49" s="192"/>
      <c r="S49" s="198" t="s">
        <v>283</v>
      </c>
      <c r="T49" s="199" t="s">
        <v>283</v>
      </c>
      <c r="U49" s="192"/>
      <c r="V49" s="192"/>
      <c r="W49" s="192"/>
      <c r="X49" s="192"/>
      <c r="Y49" s="192"/>
      <c r="Z49" s="192"/>
    </row>
    <row r="50" spans="1:26" ht="15.75">
      <c r="A50" s="192">
        <v>50</v>
      </c>
      <c r="B50" s="192" t="s">
        <v>461</v>
      </c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198" t="s">
        <v>283</v>
      </c>
      <c r="P50" s="199" t="s">
        <v>283</v>
      </c>
      <c r="Q50" s="199" t="s">
        <v>283</v>
      </c>
      <c r="R50" s="192"/>
      <c r="S50" s="198" t="s">
        <v>283</v>
      </c>
      <c r="T50" s="199" t="s">
        <v>283</v>
      </c>
      <c r="U50" s="192"/>
      <c r="V50" s="192"/>
      <c r="W50" s="192"/>
      <c r="X50" s="192"/>
      <c r="Y50" s="192"/>
      <c r="Z50" s="192"/>
    </row>
    <row r="51" spans="1:26" ht="15.75">
      <c r="A51" s="192">
        <v>51</v>
      </c>
      <c r="B51" s="192" t="s">
        <v>462</v>
      </c>
      <c r="C51" s="224">
        <v>4.7999999999999996E-3</v>
      </c>
      <c r="D51" s="224">
        <v>4.7999999999999996E-3</v>
      </c>
      <c r="E51" s="224">
        <v>4.7999999999999996E-3</v>
      </c>
      <c r="F51" s="224">
        <v>4.7999999999999996E-3</v>
      </c>
      <c r="G51" s="224">
        <v>4.7999999999999996E-3</v>
      </c>
      <c r="H51" s="224">
        <v>4.7999999999999996E-3</v>
      </c>
      <c r="I51" s="224">
        <v>4.7999999999999996E-3</v>
      </c>
      <c r="J51" s="224">
        <v>4.7999999999999996E-3</v>
      </c>
      <c r="K51" s="224">
        <v>4.7999999999999996E-3</v>
      </c>
      <c r="L51" s="224">
        <v>4.7999999999999996E-3</v>
      </c>
      <c r="M51" s="224">
        <v>4.7999999999999996E-3</v>
      </c>
      <c r="N51" s="224">
        <v>4.7999999999999996E-3</v>
      </c>
      <c r="O51" s="205">
        <v>4.3899999999999997</v>
      </c>
      <c r="P51" s="206">
        <v>3.63</v>
      </c>
      <c r="Q51" s="206">
        <v>0.76</v>
      </c>
      <c r="R51" s="192"/>
      <c r="S51" s="198" t="s">
        <v>283</v>
      </c>
      <c r="T51" s="199" t="s">
        <v>283</v>
      </c>
      <c r="U51" s="192"/>
      <c r="V51" s="192"/>
      <c r="W51" s="192"/>
      <c r="X51" s="192"/>
      <c r="Y51" s="192"/>
      <c r="Z51" s="192"/>
    </row>
    <row r="52" spans="1:26" ht="15.75">
      <c r="A52" s="192">
        <v>52</v>
      </c>
      <c r="B52" s="192" t="s">
        <v>463</v>
      </c>
      <c r="C52" s="224">
        <v>-4.5999999999999999E-3</v>
      </c>
      <c r="D52" s="224">
        <v>-4.5999999999999999E-3</v>
      </c>
      <c r="E52" s="224">
        <v>-4.5999999999999999E-3</v>
      </c>
      <c r="F52" s="224">
        <v>-4.5999999999999999E-3</v>
      </c>
      <c r="G52" s="224">
        <v>-4.5999999999999999E-3</v>
      </c>
      <c r="H52" s="224">
        <v>-4.5999999999999999E-3</v>
      </c>
      <c r="I52" s="224">
        <v>-4.5999999999999999E-3</v>
      </c>
      <c r="J52" s="224">
        <v>-4.5999999999999999E-3</v>
      </c>
      <c r="K52" s="224">
        <v>-4.5999999999999999E-3</v>
      </c>
      <c r="L52" s="224">
        <v>-4.5999999999999999E-3</v>
      </c>
      <c r="M52" s="224">
        <v>-4.5999999999999999E-3</v>
      </c>
      <c r="N52" s="224">
        <v>-4.5999999999999999E-3</v>
      </c>
      <c r="O52" s="205">
        <v>-4.2</v>
      </c>
      <c r="P52" s="206">
        <v>-3.48</v>
      </c>
      <c r="Q52" s="206">
        <v>-0.73</v>
      </c>
      <c r="R52" s="192"/>
      <c r="S52" s="198" t="s">
        <v>283</v>
      </c>
      <c r="T52" s="199" t="s">
        <v>283</v>
      </c>
      <c r="U52" s="192"/>
      <c r="V52" s="192"/>
      <c r="W52" s="192"/>
      <c r="X52" s="192"/>
      <c r="Y52" s="192"/>
      <c r="Z52" s="192"/>
    </row>
    <row r="53" spans="1:26" ht="15.75">
      <c r="A53" s="192">
        <v>53</v>
      </c>
      <c r="B53" s="192" t="s">
        <v>464</v>
      </c>
      <c r="C53" s="224">
        <v>-2.0000000000000001E-4</v>
      </c>
      <c r="D53" s="224">
        <v>-2.0000000000000001E-4</v>
      </c>
      <c r="E53" s="224">
        <v>-2.0000000000000001E-4</v>
      </c>
      <c r="F53" s="224">
        <v>-2.0000000000000001E-4</v>
      </c>
      <c r="G53" s="224">
        <v>-2.0000000000000001E-4</v>
      </c>
      <c r="H53" s="224">
        <v>-2.0000000000000001E-4</v>
      </c>
      <c r="I53" s="224">
        <v>-2.0000000000000001E-4</v>
      </c>
      <c r="J53" s="224">
        <v>-2.0000000000000001E-4</v>
      </c>
      <c r="K53" s="224">
        <v>-2.0000000000000001E-4</v>
      </c>
      <c r="L53" s="224">
        <v>-2.0000000000000001E-4</v>
      </c>
      <c r="M53" s="224">
        <v>-2.0000000000000001E-4</v>
      </c>
      <c r="N53" s="224">
        <v>-2.0000000000000001E-4</v>
      </c>
      <c r="O53" s="205">
        <v>-0.18</v>
      </c>
      <c r="P53" s="206">
        <v>-0.15</v>
      </c>
      <c r="Q53" s="206">
        <v>-0.03</v>
      </c>
      <c r="R53" s="192"/>
      <c r="S53" s="198" t="s">
        <v>283</v>
      </c>
      <c r="T53" s="199" t="s">
        <v>283</v>
      </c>
      <c r="U53" s="192"/>
      <c r="V53" s="192"/>
      <c r="W53" s="192"/>
      <c r="X53" s="192"/>
      <c r="Y53" s="192"/>
      <c r="Z53" s="192"/>
    </row>
    <row r="54" spans="1:26" ht="15.75">
      <c r="A54" s="192">
        <v>54</v>
      </c>
      <c r="B54" s="192" t="s">
        <v>465</v>
      </c>
      <c r="C54" s="224">
        <v>1.61E-2</v>
      </c>
      <c r="D54" s="224">
        <v>1.61E-2</v>
      </c>
      <c r="E54" s="224">
        <v>1.61E-2</v>
      </c>
      <c r="F54" s="224">
        <v>1.61E-2</v>
      </c>
      <c r="G54" s="224">
        <v>1.61E-2</v>
      </c>
      <c r="H54" s="224">
        <v>1.61E-2</v>
      </c>
      <c r="I54" s="224">
        <v>1.61E-2</v>
      </c>
      <c r="J54" s="224">
        <v>1.61E-2</v>
      </c>
      <c r="K54" s="224">
        <v>1.61E-2</v>
      </c>
      <c r="L54" s="224">
        <v>1.61E-2</v>
      </c>
      <c r="M54" s="224">
        <v>1.61E-2</v>
      </c>
      <c r="N54" s="224">
        <v>1.61E-2</v>
      </c>
      <c r="O54" s="205">
        <v>14.72</v>
      </c>
      <c r="P54" s="206">
        <v>12.17</v>
      </c>
      <c r="Q54" s="206">
        <v>2.54</v>
      </c>
      <c r="R54" s="192"/>
      <c r="S54" s="198" t="s">
        <v>283</v>
      </c>
      <c r="T54" s="199" t="s">
        <v>283</v>
      </c>
      <c r="U54" s="192"/>
      <c r="V54" s="192"/>
      <c r="W54" s="192"/>
      <c r="X54" s="192"/>
      <c r="Y54" s="192"/>
      <c r="Z54" s="192"/>
    </row>
    <row r="55" spans="1:26" ht="15.75">
      <c r="A55" s="192">
        <v>55</v>
      </c>
      <c r="B55" s="192" t="s">
        <v>466</v>
      </c>
      <c r="C55" s="231">
        <v>0.59609999999999996</v>
      </c>
      <c r="D55" s="231">
        <v>0.59609999999999996</v>
      </c>
      <c r="E55" s="231">
        <v>0.59609999999999996</v>
      </c>
      <c r="F55" s="231">
        <v>0.59609999999999996</v>
      </c>
      <c r="G55" s="231">
        <v>0.59609999999999996</v>
      </c>
      <c r="H55" s="231">
        <v>0.59609999999999996</v>
      </c>
      <c r="I55" s="231">
        <v>0.59609999999999996</v>
      </c>
      <c r="J55" s="231">
        <v>0.59609999999999996</v>
      </c>
      <c r="K55" s="231">
        <v>0.59609999999999996</v>
      </c>
      <c r="L55" s="231">
        <v>0.59609999999999996</v>
      </c>
      <c r="M55" s="231">
        <v>0.59609999999999996</v>
      </c>
      <c r="N55" s="231">
        <v>0.59609999999999996</v>
      </c>
      <c r="O55" s="205">
        <v>544.84</v>
      </c>
      <c r="P55" s="206">
        <v>450.65</v>
      </c>
      <c r="Q55" s="206">
        <v>94.18</v>
      </c>
      <c r="R55" s="192"/>
      <c r="S55" s="198" t="s">
        <v>283</v>
      </c>
      <c r="T55" s="199" t="s">
        <v>283</v>
      </c>
      <c r="U55" s="192"/>
      <c r="V55" s="192"/>
      <c r="W55" s="192"/>
      <c r="X55" s="192"/>
      <c r="Y55" s="192"/>
      <c r="Z55" s="192"/>
    </row>
    <row r="56" spans="1:26" ht="15.75">
      <c r="A56" s="192">
        <v>56</v>
      </c>
      <c r="B56" s="192" t="s">
        <v>467</v>
      </c>
      <c r="C56" s="224">
        <v>4.0000000000000002E-4</v>
      </c>
      <c r="D56" s="224">
        <v>4.0000000000000002E-4</v>
      </c>
      <c r="E56" s="224">
        <v>4.0000000000000002E-4</v>
      </c>
      <c r="F56" s="224">
        <v>4.0000000000000002E-4</v>
      </c>
      <c r="G56" s="224">
        <v>4.0000000000000002E-4</v>
      </c>
      <c r="H56" s="224">
        <v>4.0000000000000002E-4</v>
      </c>
      <c r="I56" s="224">
        <v>4.0000000000000002E-4</v>
      </c>
      <c r="J56" s="224">
        <v>4.0000000000000002E-4</v>
      </c>
      <c r="K56" s="224">
        <v>4.0000000000000002E-4</v>
      </c>
      <c r="L56" s="224">
        <v>4.0000000000000002E-4</v>
      </c>
      <c r="M56" s="224">
        <v>4.0000000000000002E-4</v>
      </c>
      <c r="N56" s="224">
        <v>4.0000000000000002E-4</v>
      </c>
      <c r="O56" s="205">
        <v>0.37</v>
      </c>
      <c r="P56" s="206">
        <v>0.3</v>
      </c>
      <c r="Q56" s="206">
        <v>0.06</v>
      </c>
      <c r="R56" s="192"/>
      <c r="S56" s="198" t="s">
        <v>283</v>
      </c>
      <c r="T56" s="199" t="s">
        <v>283</v>
      </c>
      <c r="U56" s="192"/>
      <c r="V56" s="192"/>
      <c r="W56" s="192"/>
      <c r="X56" s="192"/>
      <c r="Y56" s="192"/>
      <c r="Z56" s="192"/>
    </row>
    <row r="57" spans="1:26" ht="15.75">
      <c r="A57" s="192">
        <v>57</v>
      </c>
      <c r="B57" s="192" t="s">
        <v>468</v>
      </c>
      <c r="C57" s="224">
        <v>5.3199999999999997E-2</v>
      </c>
      <c r="D57" s="224">
        <v>5.3199999999999997E-2</v>
      </c>
      <c r="E57" s="224">
        <v>5.3199999999999997E-2</v>
      </c>
      <c r="F57" s="224">
        <v>5.3199999999999997E-2</v>
      </c>
      <c r="G57" s="224">
        <v>5.3199999999999997E-2</v>
      </c>
      <c r="H57" s="224">
        <v>5.3199999999999997E-2</v>
      </c>
      <c r="I57" s="224">
        <v>5.3199999999999997E-2</v>
      </c>
      <c r="J57" s="224">
        <v>5.3199999999999997E-2</v>
      </c>
      <c r="K57" s="224">
        <v>5.3199999999999997E-2</v>
      </c>
      <c r="L57" s="224">
        <v>5.3199999999999997E-2</v>
      </c>
      <c r="M57" s="224">
        <v>5.3199999999999997E-2</v>
      </c>
      <c r="N57" s="224">
        <v>5.3199999999999997E-2</v>
      </c>
      <c r="O57" s="205">
        <v>48.62</v>
      </c>
      <c r="P57" s="206">
        <v>40.22</v>
      </c>
      <c r="Q57" s="206">
        <v>8.41</v>
      </c>
      <c r="R57" s="192"/>
      <c r="S57" s="198" t="s">
        <v>283</v>
      </c>
      <c r="T57" s="199" t="s">
        <v>283</v>
      </c>
      <c r="U57" s="192"/>
      <c r="V57" s="192"/>
      <c r="W57" s="192"/>
      <c r="X57" s="192"/>
      <c r="Y57" s="192"/>
      <c r="Z57" s="192"/>
    </row>
    <row r="58" spans="1:26" ht="15.75">
      <c r="A58" s="192">
        <v>58</v>
      </c>
      <c r="B58" s="192" t="s">
        <v>469</v>
      </c>
      <c r="C58" s="224">
        <v>0.2049</v>
      </c>
      <c r="D58" s="224">
        <v>0.2049</v>
      </c>
      <c r="E58" s="224">
        <v>0.2049</v>
      </c>
      <c r="F58" s="224">
        <v>0.2049</v>
      </c>
      <c r="G58" s="224">
        <v>0.2049</v>
      </c>
      <c r="H58" s="224">
        <v>0.2049</v>
      </c>
      <c r="I58" s="224">
        <v>0.2049</v>
      </c>
      <c r="J58" s="224">
        <v>0.2049</v>
      </c>
      <c r="K58" s="224">
        <v>0.2049</v>
      </c>
      <c r="L58" s="224">
        <v>0.2049</v>
      </c>
      <c r="M58" s="224">
        <v>0.2049</v>
      </c>
      <c r="N58" s="224">
        <v>0.2049</v>
      </c>
      <c r="O58" s="205">
        <v>187.28</v>
      </c>
      <c r="P58" s="206">
        <v>154.9</v>
      </c>
      <c r="Q58" s="206">
        <v>32.369999999999997</v>
      </c>
      <c r="R58" s="192"/>
      <c r="S58" s="198" t="s">
        <v>283</v>
      </c>
      <c r="T58" s="199" t="s">
        <v>283</v>
      </c>
      <c r="U58" s="192"/>
      <c r="V58" s="192"/>
      <c r="W58" s="192"/>
      <c r="X58" s="192"/>
      <c r="Y58" s="192"/>
      <c r="Z58" s="192"/>
    </row>
    <row r="59" spans="1:26" ht="15.75">
      <c r="A59" s="192">
        <v>59</v>
      </c>
      <c r="B59" s="192" t="s">
        <v>470</v>
      </c>
      <c r="C59" s="224">
        <v>0</v>
      </c>
      <c r="D59" s="224">
        <v>0</v>
      </c>
      <c r="E59" s="224">
        <v>0</v>
      </c>
      <c r="F59" s="224">
        <v>0</v>
      </c>
      <c r="G59" s="224">
        <v>0</v>
      </c>
      <c r="H59" s="224">
        <v>0</v>
      </c>
      <c r="I59" s="224">
        <v>0</v>
      </c>
      <c r="J59" s="224">
        <v>0</v>
      </c>
      <c r="K59" s="224">
        <v>0</v>
      </c>
      <c r="L59" s="224">
        <v>0</v>
      </c>
      <c r="M59" s="224">
        <v>0</v>
      </c>
      <c r="N59" s="224">
        <v>0</v>
      </c>
      <c r="O59" s="205">
        <v>0</v>
      </c>
      <c r="P59" s="206">
        <v>0</v>
      </c>
      <c r="Q59" s="206">
        <v>0</v>
      </c>
      <c r="R59" s="192"/>
      <c r="S59" s="198" t="s">
        <v>283</v>
      </c>
      <c r="T59" s="199" t="s">
        <v>283</v>
      </c>
      <c r="U59" s="192"/>
      <c r="V59" s="192"/>
      <c r="W59" s="192"/>
      <c r="X59" s="192"/>
      <c r="Y59" s="192"/>
      <c r="Z59" s="192"/>
    </row>
    <row r="60" spans="1:26" ht="15.75">
      <c r="A60" s="192">
        <v>60</v>
      </c>
      <c r="B60" s="192" t="s">
        <v>471</v>
      </c>
      <c r="C60" s="224">
        <v>6.9999999999999999E-4</v>
      </c>
      <c r="D60" s="224">
        <v>6.9999999999999999E-4</v>
      </c>
      <c r="E60" s="224">
        <v>6.9999999999999999E-4</v>
      </c>
      <c r="F60" s="224">
        <v>6.9999999999999999E-4</v>
      </c>
      <c r="G60" s="224">
        <v>6.9999999999999999E-4</v>
      </c>
      <c r="H60" s="224">
        <v>6.9999999999999999E-4</v>
      </c>
      <c r="I60" s="224">
        <v>6.9999999999999999E-4</v>
      </c>
      <c r="J60" s="224">
        <v>6.9999999999999999E-4</v>
      </c>
      <c r="K60" s="224">
        <v>6.9999999999999999E-4</v>
      </c>
      <c r="L60" s="224">
        <v>6.9999999999999999E-4</v>
      </c>
      <c r="M60" s="224">
        <v>6.9999999999999999E-4</v>
      </c>
      <c r="N60" s="224">
        <v>6.9999999999999999E-4</v>
      </c>
      <c r="O60" s="205">
        <v>0.64</v>
      </c>
      <c r="P60" s="206">
        <v>0.53</v>
      </c>
      <c r="Q60" s="206">
        <v>0.11</v>
      </c>
      <c r="R60" s="192"/>
      <c r="S60" s="198" t="s">
        <v>283</v>
      </c>
      <c r="T60" s="199" t="s">
        <v>283</v>
      </c>
      <c r="U60" s="192"/>
      <c r="V60" s="192"/>
      <c r="W60" s="192"/>
      <c r="X60" s="192"/>
      <c r="Y60" s="192"/>
      <c r="Z60" s="192"/>
    </row>
    <row r="61" spans="1:26" ht="15.75">
      <c r="A61" s="192">
        <v>61</v>
      </c>
      <c r="B61" s="192" t="s">
        <v>472</v>
      </c>
      <c r="C61" s="224">
        <v>1.8E-3</v>
      </c>
      <c r="D61" s="224">
        <v>1.8E-3</v>
      </c>
      <c r="E61" s="224">
        <v>1.8E-3</v>
      </c>
      <c r="F61" s="224">
        <v>1.8E-3</v>
      </c>
      <c r="G61" s="224">
        <v>1.8E-3</v>
      </c>
      <c r="H61" s="224">
        <v>1.8E-3</v>
      </c>
      <c r="I61" s="224">
        <v>1.8E-3</v>
      </c>
      <c r="J61" s="224">
        <v>1.8E-3</v>
      </c>
      <c r="K61" s="224">
        <v>1.8E-3</v>
      </c>
      <c r="L61" s="224">
        <v>1.8E-3</v>
      </c>
      <c r="M61" s="224">
        <v>1.8E-3</v>
      </c>
      <c r="N61" s="224">
        <v>1.8E-3</v>
      </c>
      <c r="O61" s="205">
        <v>1.65</v>
      </c>
      <c r="P61" s="206">
        <v>1.36</v>
      </c>
      <c r="Q61" s="206">
        <v>0.28000000000000003</v>
      </c>
      <c r="R61" s="192"/>
      <c r="S61" s="198" t="s">
        <v>283</v>
      </c>
      <c r="T61" s="199" t="s">
        <v>283</v>
      </c>
      <c r="U61" s="192"/>
      <c r="V61" s="192"/>
      <c r="W61" s="192"/>
      <c r="X61" s="192"/>
      <c r="Y61" s="192"/>
      <c r="Z61" s="192"/>
    </row>
    <row r="62" spans="1:26" ht="15.75">
      <c r="A62" s="192">
        <v>62</v>
      </c>
      <c r="B62" s="192" t="s">
        <v>473</v>
      </c>
      <c r="C62" s="224">
        <v>0</v>
      </c>
      <c r="D62" s="224">
        <v>0</v>
      </c>
      <c r="E62" s="224">
        <v>0</v>
      </c>
      <c r="F62" s="224">
        <v>0</v>
      </c>
      <c r="G62" s="224">
        <v>0</v>
      </c>
      <c r="H62" s="224">
        <v>0</v>
      </c>
      <c r="I62" s="224">
        <v>0</v>
      </c>
      <c r="J62" s="224">
        <v>0</v>
      </c>
      <c r="K62" s="224">
        <v>0</v>
      </c>
      <c r="L62" s="224">
        <v>0</v>
      </c>
      <c r="M62" s="224">
        <v>0</v>
      </c>
      <c r="N62" s="224">
        <v>0</v>
      </c>
      <c r="O62" s="205">
        <v>0</v>
      </c>
      <c r="P62" s="206">
        <v>0</v>
      </c>
      <c r="Q62" s="206">
        <v>0</v>
      </c>
      <c r="R62" s="192"/>
      <c r="S62" s="198" t="s">
        <v>283</v>
      </c>
      <c r="T62" s="199" t="s">
        <v>283</v>
      </c>
      <c r="U62" s="192"/>
      <c r="V62" s="192"/>
      <c r="W62" s="192"/>
      <c r="X62" s="192"/>
      <c r="Y62" s="192"/>
      <c r="Z62" s="192"/>
    </row>
    <row r="63" spans="1:26" ht="15.75">
      <c r="A63" s="192">
        <v>63</v>
      </c>
      <c r="B63" s="192" t="s">
        <v>474</v>
      </c>
      <c r="C63" s="224">
        <v>0</v>
      </c>
      <c r="D63" s="224">
        <v>0</v>
      </c>
      <c r="E63" s="224">
        <v>0</v>
      </c>
      <c r="F63" s="224">
        <v>0</v>
      </c>
      <c r="G63" s="224">
        <v>0</v>
      </c>
      <c r="H63" s="224">
        <v>0</v>
      </c>
      <c r="I63" s="224">
        <v>0</v>
      </c>
      <c r="J63" s="224">
        <v>0</v>
      </c>
      <c r="K63" s="224">
        <v>0</v>
      </c>
      <c r="L63" s="224">
        <v>0</v>
      </c>
      <c r="M63" s="224">
        <v>0</v>
      </c>
      <c r="N63" s="224">
        <v>0</v>
      </c>
      <c r="O63" s="205">
        <v>0</v>
      </c>
      <c r="P63" s="206">
        <v>0</v>
      </c>
      <c r="Q63" s="206">
        <v>0</v>
      </c>
      <c r="R63" s="192"/>
      <c r="S63" s="198" t="s">
        <v>283</v>
      </c>
      <c r="T63" s="199" t="s">
        <v>283</v>
      </c>
      <c r="U63" s="192"/>
      <c r="V63" s="192"/>
      <c r="W63" s="192"/>
      <c r="X63" s="192"/>
      <c r="Y63" s="192"/>
      <c r="Z63" s="192"/>
    </row>
    <row r="64" spans="1:26" ht="15.75">
      <c r="A64" s="192">
        <v>64</v>
      </c>
      <c r="B64" s="192"/>
      <c r="C64" s="224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198" t="s">
        <v>283</v>
      </c>
      <c r="P64" s="199" t="s">
        <v>283</v>
      </c>
      <c r="Q64" s="199" t="s">
        <v>283</v>
      </c>
      <c r="R64" s="192"/>
      <c r="S64" s="198" t="s">
        <v>283</v>
      </c>
      <c r="T64" s="199" t="s">
        <v>283</v>
      </c>
      <c r="U64" s="192"/>
      <c r="V64" s="192"/>
      <c r="W64" s="192"/>
      <c r="X64" s="192"/>
      <c r="Y64" s="192"/>
      <c r="Z64" s="192"/>
    </row>
    <row r="65" spans="1:26" ht="15.75">
      <c r="A65" s="192">
        <v>65</v>
      </c>
      <c r="B65" s="192" t="s">
        <v>475</v>
      </c>
      <c r="C65" s="224">
        <v>0.76800000000000002</v>
      </c>
      <c r="D65" s="224">
        <v>0.76800000000000002</v>
      </c>
      <c r="E65" s="224">
        <v>0.67120000000000002</v>
      </c>
      <c r="F65" s="224">
        <v>0.67120000000000002</v>
      </c>
      <c r="G65" s="224">
        <v>0.67120000000000002</v>
      </c>
      <c r="H65" s="224">
        <v>0.67120000000000002</v>
      </c>
      <c r="I65" s="224">
        <v>0.28239999999999998</v>
      </c>
      <c r="J65" s="224">
        <v>0.28239999999999998</v>
      </c>
      <c r="K65" s="224">
        <v>0.28239999999999998</v>
      </c>
      <c r="L65" s="224">
        <v>0.25240000000000001</v>
      </c>
      <c r="M65" s="224">
        <v>0.25240000000000001</v>
      </c>
      <c r="N65" s="224">
        <v>0.25240000000000001</v>
      </c>
      <c r="O65" s="205">
        <v>572.24</v>
      </c>
      <c r="P65" s="206">
        <v>530.08000000000004</v>
      </c>
      <c r="Q65" s="206">
        <v>42.16</v>
      </c>
      <c r="R65" s="192"/>
      <c r="S65" s="198" t="s">
        <v>283</v>
      </c>
      <c r="T65" s="199" t="s">
        <v>283</v>
      </c>
      <c r="U65" s="192"/>
      <c r="V65" s="192"/>
      <c r="W65" s="192"/>
      <c r="X65" s="192"/>
      <c r="Y65" s="192"/>
      <c r="Z65" s="192"/>
    </row>
    <row r="66" spans="1:26" ht="15.75">
      <c r="A66" s="192">
        <v>66</v>
      </c>
      <c r="B66" s="192"/>
      <c r="C66" s="224"/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198" t="s">
        <v>283</v>
      </c>
      <c r="P66" s="199" t="s">
        <v>283</v>
      </c>
      <c r="Q66" s="199" t="s">
        <v>283</v>
      </c>
      <c r="R66" s="192"/>
      <c r="S66" s="198" t="s">
        <v>283</v>
      </c>
      <c r="T66" s="199" t="s">
        <v>283</v>
      </c>
      <c r="U66" s="192"/>
      <c r="V66" s="192"/>
      <c r="W66" s="192"/>
      <c r="X66" s="192"/>
      <c r="Y66" s="192"/>
      <c r="Z66" s="192"/>
    </row>
    <row r="67" spans="1:26" ht="15.75">
      <c r="A67" s="192">
        <v>67</v>
      </c>
      <c r="B67" s="207" t="s">
        <v>478</v>
      </c>
      <c r="C67" s="226">
        <v>223.2</v>
      </c>
      <c r="D67" s="226">
        <v>351.12</v>
      </c>
      <c r="E67" s="226">
        <v>407.62</v>
      </c>
      <c r="F67" s="226">
        <v>348.54</v>
      </c>
      <c r="G67" s="226">
        <v>294.01</v>
      </c>
      <c r="H67" s="226">
        <v>175.86</v>
      </c>
      <c r="I67" s="226">
        <v>83.38</v>
      </c>
      <c r="J67" s="226">
        <v>49.51</v>
      </c>
      <c r="K67" s="226">
        <v>40.11</v>
      </c>
      <c r="L67" s="226">
        <v>39.630000000000003</v>
      </c>
      <c r="M67" s="226">
        <v>39.630000000000003</v>
      </c>
      <c r="N67" s="226">
        <v>102.58</v>
      </c>
      <c r="O67" s="208">
        <v>2155.19</v>
      </c>
      <c r="P67" s="209">
        <v>1800.36</v>
      </c>
      <c r="Q67" s="209">
        <v>354.83</v>
      </c>
      <c r="R67" s="192"/>
      <c r="S67" s="208">
        <v>300.06</v>
      </c>
      <c r="T67" s="209">
        <v>59.14</v>
      </c>
      <c r="U67" s="192"/>
      <c r="V67" s="192"/>
      <c r="W67" s="192"/>
      <c r="X67" s="192"/>
      <c r="Y67" s="192"/>
      <c r="Z67" s="192"/>
    </row>
    <row r="68" spans="1:26" ht="15.75">
      <c r="A68" s="192">
        <v>68</v>
      </c>
      <c r="B68" s="192"/>
      <c r="C68" s="224"/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198" t="s">
        <v>283</v>
      </c>
      <c r="P68" s="199" t="s">
        <v>283</v>
      </c>
      <c r="Q68" s="199" t="s">
        <v>283</v>
      </c>
      <c r="R68" s="192"/>
      <c r="S68" s="198" t="s">
        <v>283</v>
      </c>
      <c r="T68" s="199" t="s">
        <v>283</v>
      </c>
      <c r="U68" s="192"/>
      <c r="V68" s="192"/>
      <c r="W68" s="192"/>
      <c r="X68" s="192"/>
      <c r="Y68" s="192"/>
      <c r="Z68" s="192"/>
    </row>
    <row r="69" spans="1:26" ht="15.75">
      <c r="A69" s="192">
        <v>69</v>
      </c>
      <c r="B69" s="210" t="s">
        <v>479</v>
      </c>
      <c r="C69" s="228" t="s">
        <v>283</v>
      </c>
      <c r="D69" s="228" t="s">
        <v>283</v>
      </c>
      <c r="E69" s="228" t="s">
        <v>283</v>
      </c>
      <c r="F69" s="228" t="s">
        <v>283</v>
      </c>
      <c r="G69" s="228" t="s">
        <v>283</v>
      </c>
      <c r="H69" s="228" t="s">
        <v>283</v>
      </c>
      <c r="I69" s="228" t="s">
        <v>283</v>
      </c>
      <c r="J69" s="228" t="s">
        <v>283</v>
      </c>
      <c r="K69" s="228" t="s">
        <v>283</v>
      </c>
      <c r="L69" s="228" t="s">
        <v>283</v>
      </c>
      <c r="M69" s="228" t="s">
        <v>283</v>
      </c>
      <c r="N69" s="228" t="s">
        <v>283</v>
      </c>
      <c r="O69" s="211" t="s">
        <v>283</v>
      </c>
      <c r="P69" s="212" t="s">
        <v>283</v>
      </c>
      <c r="Q69" s="212" t="s">
        <v>283</v>
      </c>
      <c r="R69" s="210" t="s">
        <v>283</v>
      </c>
      <c r="S69" s="211" t="s">
        <v>283</v>
      </c>
      <c r="T69" s="212" t="s">
        <v>283</v>
      </c>
      <c r="U69" s="192"/>
      <c r="V69" s="192"/>
      <c r="W69" s="192"/>
      <c r="X69" s="192"/>
      <c r="Y69" s="192"/>
      <c r="Z69" s="192"/>
    </row>
    <row r="70" spans="1:26" ht="15.75">
      <c r="A70" s="192">
        <v>70</v>
      </c>
      <c r="B70" s="239" t="s">
        <v>480</v>
      </c>
      <c r="C70" s="229">
        <v>27.04</v>
      </c>
      <c r="D70" s="229">
        <v>43.26</v>
      </c>
      <c r="E70" s="229">
        <v>52.57</v>
      </c>
      <c r="F70" s="229">
        <v>44.76</v>
      </c>
      <c r="G70" s="229">
        <v>37.549999999999997</v>
      </c>
      <c r="H70" s="229">
        <v>21.93</v>
      </c>
      <c r="I70" s="229">
        <v>11.72</v>
      </c>
      <c r="J70" s="229">
        <v>6.31</v>
      </c>
      <c r="K70" s="229">
        <v>4.8099999999999996</v>
      </c>
      <c r="L70" s="229">
        <v>4.8099999999999996</v>
      </c>
      <c r="M70" s="229">
        <v>4.8099999999999996</v>
      </c>
      <c r="N70" s="229">
        <v>15.02</v>
      </c>
      <c r="O70" s="213">
        <v>274.57</v>
      </c>
      <c r="P70" s="214">
        <v>227.1</v>
      </c>
      <c r="Q70" s="214">
        <v>47.46</v>
      </c>
      <c r="R70" s="239"/>
      <c r="S70" s="213">
        <v>37.85</v>
      </c>
      <c r="T70" s="214">
        <v>7.91</v>
      </c>
      <c r="U70" s="192"/>
      <c r="V70" s="192"/>
      <c r="W70" s="192"/>
      <c r="X70" s="192"/>
      <c r="Y70" s="192"/>
      <c r="Z70" s="192"/>
    </row>
    <row r="71" spans="1:26" ht="15.75">
      <c r="A71" s="192">
        <v>71</v>
      </c>
      <c r="B71" s="215" t="s">
        <v>481</v>
      </c>
      <c r="C71" s="230">
        <v>0.13800000000000001</v>
      </c>
      <c r="D71" s="230">
        <v>0.14099999999999999</v>
      </c>
      <c r="E71" s="230">
        <v>0.14799999999999999</v>
      </c>
      <c r="F71" s="230">
        <v>0.14699999999999999</v>
      </c>
      <c r="G71" s="230">
        <v>0.14599999999999999</v>
      </c>
      <c r="H71" s="230">
        <v>0.14199999999999999</v>
      </c>
      <c r="I71" s="230">
        <v>0.16300000000000001</v>
      </c>
      <c r="J71" s="230">
        <v>0.14599999999999999</v>
      </c>
      <c r="K71" s="230">
        <v>0.13600000000000001</v>
      </c>
      <c r="L71" s="230">
        <v>0.13800000000000001</v>
      </c>
      <c r="M71" s="230">
        <v>0.13800000000000001</v>
      </c>
      <c r="N71" s="230">
        <v>0.17199999999999999</v>
      </c>
      <c r="O71" s="216">
        <v>0.14599999999999999</v>
      </c>
      <c r="P71" s="217">
        <v>0.14399999999999999</v>
      </c>
      <c r="Q71" s="217">
        <v>0.154</v>
      </c>
      <c r="R71" s="215" t="s">
        <v>283</v>
      </c>
      <c r="S71" s="216">
        <v>0.14399999999999999</v>
      </c>
      <c r="T71" s="217">
        <v>0.154</v>
      </c>
      <c r="U71" s="192"/>
      <c r="V71" s="192"/>
      <c r="W71" s="192"/>
      <c r="X71" s="192"/>
      <c r="Y71" s="192"/>
      <c r="Z71" s="192"/>
    </row>
    <row r="72" spans="1:26" ht="15.75">
      <c r="A72" s="192">
        <v>72</v>
      </c>
      <c r="B72" s="239"/>
      <c r="C72" s="229"/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39"/>
      <c r="P72" s="239"/>
      <c r="Q72" s="239"/>
      <c r="R72" s="239"/>
      <c r="S72" s="239"/>
      <c r="T72" s="239"/>
      <c r="U72" s="192"/>
      <c r="V72" s="192"/>
      <c r="W72" s="192"/>
      <c r="X72" s="192"/>
      <c r="Y72" s="192"/>
      <c r="Z72" s="192"/>
    </row>
    <row r="73" spans="1:26" ht="15.75">
      <c r="A73" s="192">
        <v>73</v>
      </c>
      <c r="B73" s="192"/>
      <c r="C73" s="224"/>
      <c r="D73" s="224"/>
      <c r="E73" s="224"/>
      <c r="F73" s="224"/>
      <c r="G73" s="224"/>
      <c r="H73" s="224"/>
      <c r="I73" s="224"/>
      <c r="J73" s="224"/>
      <c r="K73" s="224"/>
      <c r="L73" s="224"/>
      <c r="M73" s="224"/>
      <c r="N73" s="224"/>
      <c r="O73" s="192"/>
      <c r="P73" s="192"/>
      <c r="Q73" s="192"/>
      <c r="R73" s="192"/>
      <c r="S73" s="192"/>
      <c r="T73" s="192"/>
      <c r="U73" s="192"/>
      <c r="V73" s="192"/>
      <c r="W73" s="192"/>
      <c r="X73" s="192"/>
      <c r="Y73" s="192"/>
      <c r="Z73" s="192"/>
    </row>
    <row r="74" spans="1:26" ht="15.75">
      <c r="A74" s="192">
        <v>74</v>
      </c>
      <c r="B74" s="202" t="s">
        <v>482</v>
      </c>
      <c r="C74" s="227"/>
      <c r="D74" s="227"/>
      <c r="E74" s="227"/>
      <c r="F74" s="227"/>
      <c r="G74" s="225" t="s">
        <v>283</v>
      </c>
      <c r="H74" s="225" t="s">
        <v>283</v>
      </c>
      <c r="I74" s="225" t="s">
        <v>283</v>
      </c>
      <c r="J74" s="225" t="s">
        <v>283</v>
      </c>
      <c r="K74" s="225" t="s">
        <v>283</v>
      </c>
      <c r="L74" s="225" t="s">
        <v>283</v>
      </c>
      <c r="M74" s="225" t="s">
        <v>283</v>
      </c>
      <c r="N74" s="225" t="s">
        <v>283</v>
      </c>
      <c r="O74" s="203" t="s">
        <v>283</v>
      </c>
      <c r="P74" s="204" t="s">
        <v>283</v>
      </c>
      <c r="Q74" s="204" t="s">
        <v>283</v>
      </c>
      <c r="R74" s="192"/>
      <c r="S74" s="203" t="s">
        <v>283</v>
      </c>
      <c r="T74" s="204" t="s">
        <v>283</v>
      </c>
      <c r="U74" s="192"/>
      <c r="V74" s="192"/>
      <c r="W74" s="192"/>
      <c r="X74" s="192"/>
      <c r="Y74" s="192"/>
      <c r="Z74" s="192"/>
    </row>
    <row r="75" spans="1:26" ht="15.75">
      <c r="A75" s="192">
        <v>75</v>
      </c>
      <c r="B75" s="192" t="s">
        <v>458</v>
      </c>
      <c r="C75" s="224">
        <v>10</v>
      </c>
      <c r="D75" s="224">
        <v>10</v>
      </c>
      <c r="E75" s="224">
        <v>10</v>
      </c>
      <c r="F75" s="224">
        <v>10</v>
      </c>
      <c r="G75" s="224">
        <v>10</v>
      </c>
      <c r="H75" s="224">
        <v>10</v>
      </c>
      <c r="I75" s="224">
        <v>10</v>
      </c>
      <c r="J75" s="224">
        <v>10</v>
      </c>
      <c r="K75" s="224">
        <v>10</v>
      </c>
      <c r="L75" s="224">
        <v>10</v>
      </c>
      <c r="M75" s="224">
        <v>10</v>
      </c>
      <c r="N75" s="224">
        <v>10</v>
      </c>
      <c r="O75" s="205">
        <v>120</v>
      </c>
      <c r="P75" s="206">
        <v>60</v>
      </c>
      <c r="Q75" s="206">
        <v>60</v>
      </c>
      <c r="R75" s="192"/>
      <c r="S75" s="198" t="s">
        <v>283</v>
      </c>
      <c r="T75" s="199" t="s">
        <v>283</v>
      </c>
      <c r="U75" s="192"/>
      <c r="V75" s="192"/>
      <c r="W75" s="192"/>
      <c r="X75" s="192"/>
      <c r="Y75" s="192"/>
      <c r="Z75" s="192"/>
    </row>
    <row r="76" spans="1:26" ht="15.75">
      <c r="A76" s="192">
        <v>76</v>
      </c>
      <c r="B76" s="192"/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198" t="s">
        <v>283</v>
      </c>
      <c r="P76" s="199" t="s">
        <v>283</v>
      </c>
      <c r="Q76" s="199" t="s">
        <v>283</v>
      </c>
      <c r="R76" s="192"/>
      <c r="S76" s="198" t="s">
        <v>283</v>
      </c>
      <c r="T76" s="199" t="s">
        <v>283</v>
      </c>
      <c r="U76" s="192"/>
      <c r="V76" s="192"/>
      <c r="W76" s="192"/>
      <c r="X76" s="192"/>
      <c r="Y76" s="192"/>
      <c r="Z76" s="192"/>
    </row>
    <row r="77" spans="1:26" ht="15.75">
      <c r="A77" s="192">
        <v>77</v>
      </c>
      <c r="B77" s="192" t="s">
        <v>459</v>
      </c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198" t="s">
        <v>283</v>
      </c>
      <c r="P77" s="199" t="s">
        <v>283</v>
      </c>
      <c r="Q77" s="199" t="s">
        <v>283</v>
      </c>
      <c r="R77" s="192"/>
      <c r="S77" s="198" t="s">
        <v>283</v>
      </c>
      <c r="T77" s="199" t="s">
        <v>283</v>
      </c>
      <c r="U77" s="192"/>
      <c r="V77" s="192"/>
      <c r="W77" s="192"/>
      <c r="X77" s="192"/>
      <c r="Y77" s="192"/>
      <c r="Z77" s="192"/>
    </row>
    <row r="78" spans="1:26" ht="15.75">
      <c r="A78" s="192">
        <v>78</v>
      </c>
      <c r="B78" s="192" t="s">
        <v>80</v>
      </c>
      <c r="C78" s="224">
        <v>0.63959999999999995</v>
      </c>
      <c r="D78" s="224">
        <v>0.63959999999999995</v>
      </c>
      <c r="E78" s="224">
        <v>0.63959999999999995</v>
      </c>
      <c r="F78" s="224">
        <v>0.63959999999999995</v>
      </c>
      <c r="G78" s="224">
        <v>0.63959999999999995</v>
      </c>
      <c r="H78" s="224">
        <v>0.63959999999999995</v>
      </c>
      <c r="I78" s="224">
        <v>0.63959999999999995</v>
      </c>
      <c r="J78" s="224">
        <v>0.63959999999999995</v>
      </c>
      <c r="K78" s="224">
        <v>0.63959999999999995</v>
      </c>
      <c r="L78" s="224">
        <v>0.63959999999999995</v>
      </c>
      <c r="M78" s="224">
        <v>0.63959999999999995</v>
      </c>
      <c r="N78" s="224">
        <v>0.63959999999999995</v>
      </c>
      <c r="O78" s="205">
        <v>584.59</v>
      </c>
      <c r="P78" s="206">
        <v>483.54</v>
      </c>
      <c r="Q78" s="206">
        <v>101.06</v>
      </c>
      <c r="R78" s="192"/>
      <c r="S78" s="198" t="s">
        <v>283</v>
      </c>
      <c r="T78" s="199" t="s">
        <v>283</v>
      </c>
      <c r="U78" s="192"/>
      <c r="V78" s="192"/>
      <c r="W78" s="192"/>
      <c r="X78" s="192"/>
      <c r="Y78" s="192"/>
      <c r="Z78" s="192"/>
    </row>
    <row r="79" spans="1:26" ht="15.75">
      <c r="A79" s="192">
        <v>79</v>
      </c>
      <c r="B79" s="192" t="s">
        <v>370</v>
      </c>
      <c r="C79" s="224">
        <v>2.7799999999999998E-2</v>
      </c>
      <c r="D79" s="224">
        <v>2.7799999999999998E-2</v>
      </c>
      <c r="E79" s="224">
        <v>2.7799999999999998E-2</v>
      </c>
      <c r="F79" s="224">
        <v>2.7799999999999998E-2</v>
      </c>
      <c r="G79" s="224">
        <v>2.7799999999999998E-2</v>
      </c>
      <c r="H79" s="224">
        <v>2.7799999999999998E-2</v>
      </c>
      <c r="I79" s="224">
        <v>2.7799999999999998E-2</v>
      </c>
      <c r="J79" s="224">
        <v>2.7799999999999998E-2</v>
      </c>
      <c r="K79" s="224">
        <v>2.7799999999999998E-2</v>
      </c>
      <c r="L79" s="224">
        <v>2.7799999999999998E-2</v>
      </c>
      <c r="M79" s="224">
        <v>2.7799999999999998E-2</v>
      </c>
      <c r="N79" s="224">
        <v>2.7799999999999998E-2</v>
      </c>
      <c r="O79" s="205">
        <v>25.41</v>
      </c>
      <c r="P79" s="206">
        <v>21.02</v>
      </c>
      <c r="Q79" s="206">
        <v>4.3899999999999997</v>
      </c>
      <c r="R79" s="192"/>
      <c r="S79" s="198" t="s">
        <v>283</v>
      </c>
      <c r="T79" s="199" t="s">
        <v>283</v>
      </c>
      <c r="U79" s="192"/>
      <c r="V79" s="192"/>
      <c r="W79" s="192"/>
      <c r="X79" s="192"/>
      <c r="Y79" s="192"/>
      <c r="Z79" s="192"/>
    </row>
    <row r="80" spans="1:26" ht="15.75">
      <c r="A80" s="192">
        <v>80</v>
      </c>
      <c r="B80" s="192"/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198" t="s">
        <v>283</v>
      </c>
      <c r="P80" s="199" t="s">
        <v>283</v>
      </c>
      <c r="Q80" s="199" t="s">
        <v>283</v>
      </c>
      <c r="R80" s="192"/>
      <c r="S80" s="198" t="s">
        <v>283</v>
      </c>
      <c r="T80" s="199" t="s">
        <v>283</v>
      </c>
      <c r="U80" s="192"/>
      <c r="V80" s="192"/>
      <c r="W80" s="192"/>
      <c r="X80" s="192"/>
      <c r="Y80" s="192"/>
      <c r="Z80" s="192"/>
    </row>
    <row r="81" spans="1:26" ht="15.75">
      <c r="A81" s="192">
        <v>81</v>
      </c>
      <c r="B81" s="192" t="s">
        <v>460</v>
      </c>
      <c r="C81" s="224">
        <v>6.0299999999999999E-2</v>
      </c>
      <c r="D81" s="224">
        <v>6.0299999999999999E-2</v>
      </c>
      <c r="E81" s="224">
        <v>6.0299999999999999E-2</v>
      </c>
      <c r="F81" s="224">
        <v>6.0299999999999999E-2</v>
      </c>
      <c r="G81" s="224">
        <v>6.0299999999999999E-2</v>
      </c>
      <c r="H81" s="224">
        <v>6.0299999999999999E-2</v>
      </c>
      <c r="I81" s="224">
        <v>5.8599999999999999E-2</v>
      </c>
      <c r="J81" s="224">
        <v>5.8599999999999999E-2</v>
      </c>
      <c r="K81" s="224">
        <v>5.8599999999999999E-2</v>
      </c>
      <c r="L81" s="224">
        <v>5.8599999999999999E-2</v>
      </c>
      <c r="M81" s="224">
        <v>5.8599999999999999E-2</v>
      </c>
      <c r="N81" s="224">
        <v>5.8599999999999999E-2</v>
      </c>
      <c r="O81" s="205">
        <v>54.85</v>
      </c>
      <c r="P81" s="206">
        <v>45.59</v>
      </c>
      <c r="Q81" s="206">
        <v>9.26</v>
      </c>
      <c r="R81" s="192"/>
      <c r="S81" s="198" t="s">
        <v>283</v>
      </c>
      <c r="T81" s="199" t="s">
        <v>283</v>
      </c>
      <c r="U81" s="192"/>
      <c r="V81" s="192"/>
      <c r="W81" s="192"/>
      <c r="X81" s="192"/>
      <c r="Y81" s="192"/>
      <c r="Z81" s="192"/>
    </row>
    <row r="82" spans="1:26" ht="15.75">
      <c r="A82" s="192">
        <v>82</v>
      </c>
      <c r="B82" s="192"/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198" t="s">
        <v>283</v>
      </c>
      <c r="P82" s="199" t="s">
        <v>283</v>
      </c>
      <c r="Q82" s="199" t="s">
        <v>283</v>
      </c>
      <c r="R82" s="192"/>
      <c r="S82" s="198" t="s">
        <v>283</v>
      </c>
      <c r="T82" s="199" t="s">
        <v>283</v>
      </c>
      <c r="U82" s="192"/>
      <c r="V82" s="192"/>
      <c r="W82" s="192"/>
      <c r="X82" s="192"/>
      <c r="Y82" s="192"/>
      <c r="Z82" s="192"/>
    </row>
    <row r="83" spans="1:26" ht="15.75">
      <c r="A83" s="192">
        <v>83</v>
      </c>
      <c r="B83" s="192" t="s">
        <v>461</v>
      </c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198" t="s">
        <v>283</v>
      </c>
      <c r="P83" s="199" t="s">
        <v>283</v>
      </c>
      <c r="Q83" s="199" t="s">
        <v>283</v>
      </c>
      <c r="R83" s="192"/>
      <c r="S83" s="198" t="s">
        <v>283</v>
      </c>
      <c r="T83" s="199" t="s">
        <v>283</v>
      </c>
      <c r="U83" s="192"/>
      <c r="V83" s="192"/>
      <c r="W83" s="192"/>
      <c r="X83" s="192"/>
      <c r="Y83" s="192"/>
      <c r="Z83" s="192"/>
    </row>
    <row r="84" spans="1:26" ht="15.75">
      <c r="A84" s="192">
        <v>84</v>
      </c>
      <c r="B84" s="192" t="s">
        <v>462</v>
      </c>
      <c r="C84" s="224">
        <v>4.7999999999999996E-3</v>
      </c>
      <c r="D84" s="224">
        <v>4.7999999999999996E-3</v>
      </c>
      <c r="E84" s="224">
        <v>4.7999999999999996E-3</v>
      </c>
      <c r="F84" s="224">
        <v>4.7999999999999996E-3</v>
      </c>
      <c r="G84" s="224">
        <v>4.7999999999999996E-3</v>
      </c>
      <c r="H84" s="224">
        <v>4.7999999999999996E-3</v>
      </c>
      <c r="I84" s="224">
        <v>4.7999999999999996E-3</v>
      </c>
      <c r="J84" s="224">
        <v>4.7999999999999996E-3</v>
      </c>
      <c r="K84" s="224">
        <v>4.7999999999999996E-3</v>
      </c>
      <c r="L84" s="224">
        <v>4.7999999999999996E-3</v>
      </c>
      <c r="M84" s="224">
        <v>4.7999999999999996E-3</v>
      </c>
      <c r="N84" s="224">
        <v>4.7999999999999996E-3</v>
      </c>
      <c r="O84" s="205">
        <v>4.3899999999999997</v>
      </c>
      <c r="P84" s="206">
        <v>3.63</v>
      </c>
      <c r="Q84" s="206">
        <v>0.76</v>
      </c>
      <c r="R84" s="192"/>
      <c r="S84" s="198" t="s">
        <v>283</v>
      </c>
      <c r="T84" s="199" t="s">
        <v>283</v>
      </c>
      <c r="U84" s="192"/>
      <c r="V84" s="192"/>
      <c r="W84" s="192"/>
      <c r="X84" s="192"/>
      <c r="Y84" s="192"/>
      <c r="Z84" s="192"/>
    </row>
    <row r="85" spans="1:26" ht="15.75">
      <c r="A85" s="192">
        <v>85</v>
      </c>
      <c r="B85" s="192" t="s">
        <v>463</v>
      </c>
      <c r="C85" s="224">
        <v>-4.5999999999999999E-3</v>
      </c>
      <c r="D85" s="224">
        <v>-4.5999999999999999E-3</v>
      </c>
      <c r="E85" s="224">
        <v>-4.5999999999999999E-3</v>
      </c>
      <c r="F85" s="224">
        <v>-4.5999999999999999E-3</v>
      </c>
      <c r="G85" s="224">
        <v>-4.5999999999999999E-3</v>
      </c>
      <c r="H85" s="224">
        <v>-4.5999999999999999E-3</v>
      </c>
      <c r="I85" s="224">
        <v>-4.5999999999999999E-3</v>
      </c>
      <c r="J85" s="224">
        <v>-4.5999999999999999E-3</v>
      </c>
      <c r="K85" s="224">
        <v>-4.5999999999999999E-3</v>
      </c>
      <c r="L85" s="224">
        <v>-4.5999999999999999E-3</v>
      </c>
      <c r="M85" s="224">
        <v>-4.5999999999999999E-3</v>
      </c>
      <c r="N85" s="224">
        <v>-4.5999999999999999E-3</v>
      </c>
      <c r="O85" s="205">
        <v>-4.2</v>
      </c>
      <c r="P85" s="206">
        <v>-3.48</v>
      </c>
      <c r="Q85" s="206">
        <v>-0.73</v>
      </c>
      <c r="R85" s="192"/>
      <c r="S85" s="198" t="s">
        <v>283</v>
      </c>
      <c r="T85" s="199" t="s">
        <v>283</v>
      </c>
      <c r="U85" s="192"/>
      <c r="V85" s="192"/>
      <c r="W85" s="192"/>
      <c r="X85" s="192"/>
      <c r="Y85" s="192"/>
      <c r="Z85" s="192"/>
    </row>
    <row r="86" spans="1:26" ht="15.75">
      <c r="A86" s="192">
        <v>86</v>
      </c>
      <c r="B86" s="192" t="s">
        <v>464</v>
      </c>
      <c r="C86" s="224">
        <v>-2.0000000000000001E-4</v>
      </c>
      <c r="D86" s="224">
        <v>-2.0000000000000001E-4</v>
      </c>
      <c r="E86" s="224">
        <v>-2.0000000000000001E-4</v>
      </c>
      <c r="F86" s="224">
        <v>-2.0000000000000001E-4</v>
      </c>
      <c r="G86" s="224">
        <v>-2.0000000000000001E-4</v>
      </c>
      <c r="H86" s="224">
        <v>-2.0000000000000001E-4</v>
      </c>
      <c r="I86" s="224">
        <v>-2.0000000000000001E-4</v>
      </c>
      <c r="J86" s="224">
        <v>-2.0000000000000001E-4</v>
      </c>
      <c r="K86" s="224">
        <v>-2.0000000000000001E-4</v>
      </c>
      <c r="L86" s="224">
        <v>-2.0000000000000001E-4</v>
      </c>
      <c r="M86" s="224">
        <v>-2.0000000000000001E-4</v>
      </c>
      <c r="N86" s="224">
        <v>-2.0000000000000001E-4</v>
      </c>
      <c r="O86" s="205">
        <v>-0.18</v>
      </c>
      <c r="P86" s="206">
        <v>-0.15</v>
      </c>
      <c r="Q86" s="206">
        <v>-0.03</v>
      </c>
      <c r="R86" s="192"/>
      <c r="S86" s="198" t="s">
        <v>283</v>
      </c>
      <c r="T86" s="199" t="s">
        <v>283</v>
      </c>
      <c r="U86" s="192"/>
      <c r="V86" s="192"/>
      <c r="W86" s="192"/>
      <c r="X86" s="192"/>
      <c r="Y86" s="192"/>
      <c r="Z86" s="192"/>
    </row>
    <row r="87" spans="1:26" ht="15.75">
      <c r="A87" s="192">
        <v>87</v>
      </c>
      <c r="B87" s="192" t="s">
        <v>465</v>
      </c>
      <c r="C87" s="224">
        <v>1.61E-2</v>
      </c>
      <c r="D87" s="224">
        <v>1.61E-2</v>
      </c>
      <c r="E87" s="224">
        <v>1.61E-2</v>
      </c>
      <c r="F87" s="224">
        <v>1.61E-2</v>
      </c>
      <c r="G87" s="224">
        <v>1.61E-2</v>
      </c>
      <c r="H87" s="224">
        <v>1.61E-2</v>
      </c>
      <c r="I87" s="224">
        <v>1.61E-2</v>
      </c>
      <c r="J87" s="224">
        <v>1.61E-2</v>
      </c>
      <c r="K87" s="224">
        <v>1.61E-2</v>
      </c>
      <c r="L87" s="224">
        <v>1.61E-2</v>
      </c>
      <c r="M87" s="224">
        <v>1.61E-2</v>
      </c>
      <c r="N87" s="224">
        <v>1.61E-2</v>
      </c>
      <c r="O87" s="205">
        <v>14.72</v>
      </c>
      <c r="P87" s="206">
        <v>12.17</v>
      </c>
      <c r="Q87" s="206">
        <v>2.54</v>
      </c>
      <c r="R87" s="192"/>
      <c r="S87" s="198" t="s">
        <v>283</v>
      </c>
      <c r="T87" s="199" t="s">
        <v>283</v>
      </c>
      <c r="U87" s="192"/>
      <c r="V87" s="192"/>
      <c r="W87" s="192"/>
      <c r="X87" s="192"/>
      <c r="Y87" s="192"/>
      <c r="Z87" s="192"/>
    </row>
    <row r="88" spans="1:26" ht="15.75">
      <c r="A88" s="192">
        <v>88</v>
      </c>
      <c r="B88" s="192" t="s">
        <v>466</v>
      </c>
      <c r="C88" s="231">
        <v>0.46850000000000003</v>
      </c>
      <c r="D88" s="231">
        <v>0.46850000000000003</v>
      </c>
      <c r="E88" s="231">
        <v>0.46850000000000003</v>
      </c>
      <c r="F88" s="231">
        <v>0.46850000000000003</v>
      </c>
      <c r="G88" s="231">
        <v>0.46850000000000003</v>
      </c>
      <c r="H88" s="231">
        <v>0.46850000000000003</v>
      </c>
      <c r="I88" s="231">
        <v>0.46850000000000003</v>
      </c>
      <c r="J88" s="231">
        <v>0.46850000000000003</v>
      </c>
      <c r="K88" s="231">
        <v>0.46850000000000003</v>
      </c>
      <c r="L88" s="231">
        <v>0.46850000000000003</v>
      </c>
      <c r="M88" s="231">
        <v>0.46850000000000003</v>
      </c>
      <c r="N88" s="231">
        <v>0.46850000000000003</v>
      </c>
      <c r="O88" s="205">
        <v>428.21</v>
      </c>
      <c r="P88" s="206">
        <v>354.19</v>
      </c>
      <c r="Q88" s="206">
        <v>74.02</v>
      </c>
      <c r="R88" s="192"/>
      <c r="S88" s="198" t="s">
        <v>283</v>
      </c>
      <c r="T88" s="199" t="s">
        <v>283</v>
      </c>
      <c r="U88" s="192"/>
      <c r="V88" s="192"/>
      <c r="W88" s="192"/>
      <c r="X88" s="192"/>
      <c r="Y88" s="192"/>
      <c r="Z88" s="192"/>
    </row>
    <row r="89" spans="1:26" ht="15.75">
      <c r="A89" s="192">
        <v>89</v>
      </c>
      <c r="B89" s="192" t="s">
        <v>467</v>
      </c>
      <c r="C89" s="224">
        <v>4.0000000000000002E-4</v>
      </c>
      <c r="D89" s="224">
        <v>4.0000000000000002E-4</v>
      </c>
      <c r="E89" s="224">
        <v>4.0000000000000002E-4</v>
      </c>
      <c r="F89" s="224">
        <v>4.0000000000000002E-4</v>
      </c>
      <c r="G89" s="224">
        <v>4.0000000000000002E-4</v>
      </c>
      <c r="H89" s="224">
        <v>4.0000000000000002E-4</v>
      </c>
      <c r="I89" s="224">
        <v>4.0000000000000002E-4</v>
      </c>
      <c r="J89" s="224">
        <v>4.0000000000000002E-4</v>
      </c>
      <c r="K89" s="224">
        <v>4.0000000000000002E-4</v>
      </c>
      <c r="L89" s="224">
        <v>4.0000000000000002E-4</v>
      </c>
      <c r="M89" s="224">
        <v>4.0000000000000002E-4</v>
      </c>
      <c r="N89" s="224">
        <v>4.0000000000000002E-4</v>
      </c>
      <c r="O89" s="205">
        <v>0.37</v>
      </c>
      <c r="P89" s="206">
        <v>0.3</v>
      </c>
      <c r="Q89" s="206">
        <v>0.06</v>
      </c>
      <c r="R89" s="192"/>
      <c r="S89" s="198" t="s">
        <v>283</v>
      </c>
      <c r="T89" s="199" t="s">
        <v>283</v>
      </c>
      <c r="U89" s="192"/>
      <c r="V89" s="192"/>
      <c r="W89" s="192"/>
      <c r="X89" s="192"/>
      <c r="Y89" s="192"/>
      <c r="Z89" s="192"/>
    </row>
    <row r="90" spans="1:26" ht="15.75">
      <c r="A90" s="192">
        <v>90</v>
      </c>
      <c r="B90" s="192" t="s">
        <v>468</v>
      </c>
      <c r="C90" s="224">
        <v>5.3199999999999997E-2</v>
      </c>
      <c r="D90" s="224">
        <v>5.3199999999999997E-2</v>
      </c>
      <c r="E90" s="224">
        <v>5.3199999999999997E-2</v>
      </c>
      <c r="F90" s="224">
        <v>5.3199999999999997E-2</v>
      </c>
      <c r="G90" s="224">
        <v>5.3199999999999997E-2</v>
      </c>
      <c r="H90" s="224">
        <v>5.3199999999999997E-2</v>
      </c>
      <c r="I90" s="224">
        <v>5.3199999999999997E-2</v>
      </c>
      <c r="J90" s="224">
        <v>5.3199999999999997E-2</v>
      </c>
      <c r="K90" s="224">
        <v>5.3199999999999997E-2</v>
      </c>
      <c r="L90" s="224">
        <v>5.3199999999999997E-2</v>
      </c>
      <c r="M90" s="224">
        <v>5.3199999999999997E-2</v>
      </c>
      <c r="N90" s="224">
        <v>5.3199999999999997E-2</v>
      </c>
      <c r="O90" s="205">
        <v>48.62</v>
      </c>
      <c r="P90" s="206">
        <v>40.22</v>
      </c>
      <c r="Q90" s="206">
        <v>8.41</v>
      </c>
      <c r="R90" s="192"/>
      <c r="S90" s="198" t="s">
        <v>283</v>
      </c>
      <c r="T90" s="199" t="s">
        <v>283</v>
      </c>
      <c r="U90" s="192"/>
      <c r="V90" s="192"/>
      <c r="W90" s="192"/>
      <c r="X90" s="192"/>
      <c r="Y90" s="192"/>
      <c r="Z90" s="192"/>
    </row>
    <row r="91" spans="1:26" ht="15.75">
      <c r="A91" s="192">
        <v>91</v>
      </c>
      <c r="B91" s="192" t="s">
        <v>469</v>
      </c>
      <c r="C91" s="224">
        <v>0.2049</v>
      </c>
      <c r="D91" s="224">
        <v>0.2049</v>
      </c>
      <c r="E91" s="224">
        <v>0.2049</v>
      </c>
      <c r="F91" s="224">
        <v>0.2049</v>
      </c>
      <c r="G91" s="224">
        <v>0.2049</v>
      </c>
      <c r="H91" s="224">
        <v>0.2049</v>
      </c>
      <c r="I91" s="224">
        <v>0.2049</v>
      </c>
      <c r="J91" s="224">
        <v>0.2049</v>
      </c>
      <c r="K91" s="224">
        <v>0.2049</v>
      </c>
      <c r="L91" s="224">
        <v>0.2049</v>
      </c>
      <c r="M91" s="224">
        <v>0.2049</v>
      </c>
      <c r="N91" s="224">
        <v>0.2049</v>
      </c>
      <c r="O91" s="205">
        <v>187.28</v>
      </c>
      <c r="P91" s="206">
        <v>154.9</v>
      </c>
      <c r="Q91" s="206">
        <v>32.369999999999997</v>
      </c>
      <c r="R91" s="192"/>
      <c r="S91" s="198" t="s">
        <v>283</v>
      </c>
      <c r="T91" s="199" t="s">
        <v>283</v>
      </c>
      <c r="U91" s="192"/>
      <c r="V91" s="192"/>
      <c r="W91" s="192"/>
      <c r="X91" s="192"/>
      <c r="Y91" s="192"/>
      <c r="Z91" s="192"/>
    </row>
    <row r="92" spans="1:26" ht="15.75">
      <c r="A92" s="192">
        <v>92</v>
      </c>
      <c r="B92" s="192" t="s">
        <v>470</v>
      </c>
      <c r="C92" s="224">
        <v>0</v>
      </c>
      <c r="D92" s="224">
        <v>0</v>
      </c>
      <c r="E92" s="224">
        <v>0</v>
      </c>
      <c r="F92" s="224">
        <v>0</v>
      </c>
      <c r="G92" s="224">
        <v>0</v>
      </c>
      <c r="H92" s="224">
        <v>0</v>
      </c>
      <c r="I92" s="224">
        <v>0</v>
      </c>
      <c r="J92" s="224">
        <v>0</v>
      </c>
      <c r="K92" s="224">
        <v>0</v>
      </c>
      <c r="L92" s="224">
        <v>0</v>
      </c>
      <c r="M92" s="224">
        <v>0</v>
      </c>
      <c r="N92" s="224">
        <v>0</v>
      </c>
      <c r="O92" s="205">
        <v>0</v>
      </c>
      <c r="P92" s="206">
        <v>0</v>
      </c>
      <c r="Q92" s="206">
        <v>0</v>
      </c>
      <c r="R92" s="192"/>
      <c r="S92" s="198" t="s">
        <v>283</v>
      </c>
      <c r="T92" s="199" t="s">
        <v>283</v>
      </c>
      <c r="U92" s="192"/>
      <c r="V92" s="192"/>
      <c r="W92" s="192"/>
      <c r="X92" s="192"/>
      <c r="Y92" s="192"/>
      <c r="Z92" s="192"/>
    </row>
    <row r="93" spans="1:26" ht="15.75">
      <c r="A93" s="192">
        <v>93</v>
      </c>
      <c r="B93" s="192" t="s">
        <v>471</v>
      </c>
      <c r="C93" s="224">
        <v>6.9999999999999999E-4</v>
      </c>
      <c r="D93" s="224">
        <v>6.9999999999999999E-4</v>
      </c>
      <c r="E93" s="224">
        <v>6.9999999999999999E-4</v>
      </c>
      <c r="F93" s="224">
        <v>6.9999999999999999E-4</v>
      </c>
      <c r="G93" s="224">
        <v>6.9999999999999999E-4</v>
      </c>
      <c r="H93" s="224">
        <v>6.9999999999999999E-4</v>
      </c>
      <c r="I93" s="224">
        <v>6.9999999999999999E-4</v>
      </c>
      <c r="J93" s="224">
        <v>6.9999999999999999E-4</v>
      </c>
      <c r="K93" s="224">
        <v>6.9999999999999999E-4</v>
      </c>
      <c r="L93" s="224">
        <v>6.9999999999999999E-4</v>
      </c>
      <c r="M93" s="224">
        <v>6.9999999999999999E-4</v>
      </c>
      <c r="N93" s="224">
        <v>6.9999999999999999E-4</v>
      </c>
      <c r="O93" s="205">
        <v>0.64</v>
      </c>
      <c r="P93" s="206">
        <v>0.53</v>
      </c>
      <c r="Q93" s="206">
        <v>0.11</v>
      </c>
      <c r="R93" s="192"/>
      <c r="S93" s="198" t="s">
        <v>283</v>
      </c>
      <c r="T93" s="199" t="s">
        <v>283</v>
      </c>
      <c r="U93" s="192"/>
      <c r="V93" s="192"/>
      <c r="W93" s="192"/>
      <c r="X93" s="192"/>
      <c r="Y93" s="192"/>
      <c r="Z93" s="192"/>
    </row>
    <row r="94" spans="1:26" ht="15.75">
      <c r="A94" s="192">
        <v>94</v>
      </c>
      <c r="B94" s="192" t="s">
        <v>472</v>
      </c>
      <c r="C94" s="224">
        <v>1.8E-3</v>
      </c>
      <c r="D94" s="224">
        <v>1.8E-3</v>
      </c>
      <c r="E94" s="224">
        <v>1.8E-3</v>
      </c>
      <c r="F94" s="224">
        <v>1.8E-3</v>
      </c>
      <c r="G94" s="224">
        <v>1.8E-3</v>
      </c>
      <c r="H94" s="224">
        <v>1.8E-3</v>
      </c>
      <c r="I94" s="224">
        <v>1.8E-3</v>
      </c>
      <c r="J94" s="224">
        <v>1.8E-3</v>
      </c>
      <c r="K94" s="224">
        <v>1.8E-3</v>
      </c>
      <c r="L94" s="224">
        <v>1.8E-3</v>
      </c>
      <c r="M94" s="224">
        <v>1.8E-3</v>
      </c>
      <c r="N94" s="224">
        <v>1.8E-3</v>
      </c>
      <c r="O94" s="205">
        <v>1.65</v>
      </c>
      <c r="P94" s="206">
        <v>1.36</v>
      </c>
      <c r="Q94" s="206">
        <v>0.28000000000000003</v>
      </c>
      <c r="R94" s="192"/>
      <c r="S94" s="198" t="s">
        <v>283</v>
      </c>
      <c r="T94" s="199" t="s">
        <v>283</v>
      </c>
      <c r="U94" s="192"/>
      <c r="V94" s="192"/>
      <c r="W94" s="192"/>
      <c r="X94" s="192"/>
      <c r="Y94" s="192"/>
      <c r="Z94" s="192"/>
    </row>
    <row r="95" spans="1:26" ht="15.75">
      <c r="A95" s="192">
        <v>95</v>
      </c>
      <c r="B95" s="192" t="s">
        <v>473</v>
      </c>
      <c r="C95" s="224">
        <v>0</v>
      </c>
      <c r="D95" s="224">
        <v>0</v>
      </c>
      <c r="E95" s="224">
        <v>0</v>
      </c>
      <c r="F95" s="224">
        <v>0</v>
      </c>
      <c r="G95" s="224">
        <v>0</v>
      </c>
      <c r="H95" s="224">
        <v>0</v>
      </c>
      <c r="I95" s="224">
        <v>0</v>
      </c>
      <c r="J95" s="224">
        <v>0</v>
      </c>
      <c r="K95" s="224">
        <v>0</v>
      </c>
      <c r="L95" s="224">
        <v>0</v>
      </c>
      <c r="M95" s="224">
        <v>0</v>
      </c>
      <c r="N95" s="224">
        <v>0</v>
      </c>
      <c r="O95" s="205">
        <v>0</v>
      </c>
      <c r="P95" s="206">
        <v>0</v>
      </c>
      <c r="Q95" s="206">
        <v>0</v>
      </c>
      <c r="R95" s="192"/>
      <c r="S95" s="198" t="s">
        <v>283</v>
      </c>
      <c r="T95" s="199" t="s">
        <v>283</v>
      </c>
      <c r="U95" s="192"/>
      <c r="V95" s="192"/>
      <c r="W95" s="192"/>
      <c r="X95" s="192"/>
      <c r="Y95" s="192"/>
      <c r="Z95" s="192"/>
    </row>
    <row r="96" spans="1:26" ht="15.75">
      <c r="A96" s="192">
        <v>96</v>
      </c>
      <c r="B96" s="192" t="s">
        <v>474</v>
      </c>
      <c r="C96" s="224">
        <v>0</v>
      </c>
      <c r="D96" s="224">
        <v>0</v>
      </c>
      <c r="E96" s="224">
        <v>0</v>
      </c>
      <c r="F96" s="224">
        <v>0</v>
      </c>
      <c r="G96" s="224">
        <v>0</v>
      </c>
      <c r="H96" s="224">
        <v>0</v>
      </c>
      <c r="I96" s="224">
        <v>0</v>
      </c>
      <c r="J96" s="224">
        <v>0</v>
      </c>
      <c r="K96" s="224">
        <v>0</v>
      </c>
      <c r="L96" s="224">
        <v>0</v>
      </c>
      <c r="M96" s="224">
        <v>0</v>
      </c>
      <c r="N96" s="224">
        <v>0</v>
      </c>
      <c r="O96" s="205">
        <v>0</v>
      </c>
      <c r="P96" s="206">
        <v>0</v>
      </c>
      <c r="Q96" s="206">
        <v>0</v>
      </c>
      <c r="R96" s="192"/>
      <c r="S96" s="198" t="s">
        <v>283</v>
      </c>
      <c r="T96" s="199" t="s">
        <v>283</v>
      </c>
      <c r="U96" s="192"/>
      <c r="V96" s="192"/>
      <c r="W96" s="192"/>
      <c r="X96" s="192"/>
      <c r="Y96" s="192"/>
      <c r="Z96" s="192"/>
    </row>
    <row r="97" spans="1:26" ht="15.75">
      <c r="A97" s="192">
        <v>97</v>
      </c>
      <c r="B97" s="192"/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198" t="s">
        <v>283</v>
      </c>
      <c r="P97" s="199" t="s">
        <v>283</v>
      </c>
      <c r="Q97" s="199" t="s">
        <v>283</v>
      </c>
      <c r="R97" s="192"/>
      <c r="S97" s="198" t="s">
        <v>283</v>
      </c>
      <c r="T97" s="199" t="s">
        <v>283</v>
      </c>
      <c r="U97" s="192"/>
      <c r="V97" s="192"/>
      <c r="W97" s="192"/>
      <c r="X97" s="192"/>
      <c r="Y97" s="192"/>
      <c r="Z97" s="192"/>
    </row>
    <row r="98" spans="1:26" ht="15.75">
      <c r="A98" s="192">
        <v>98</v>
      </c>
      <c r="B98" s="192" t="s">
        <v>475</v>
      </c>
      <c r="C98" s="224">
        <v>0.76800000000000002</v>
      </c>
      <c r="D98" s="224">
        <v>0.76800000000000002</v>
      </c>
      <c r="E98" s="224">
        <v>0.67120000000000002</v>
      </c>
      <c r="F98" s="224">
        <v>0.67120000000000002</v>
      </c>
      <c r="G98" s="224">
        <v>0.67120000000000002</v>
      </c>
      <c r="H98" s="224">
        <v>0.67120000000000002</v>
      </c>
      <c r="I98" s="224">
        <v>0.28239999999999998</v>
      </c>
      <c r="J98" s="224">
        <v>0.28239999999999998</v>
      </c>
      <c r="K98" s="224">
        <v>0.28239999999999998</v>
      </c>
      <c r="L98" s="224">
        <v>0.25240000000000001</v>
      </c>
      <c r="M98" s="224">
        <v>0.25240000000000001</v>
      </c>
      <c r="N98" s="224">
        <v>0.25240000000000001</v>
      </c>
      <c r="O98" s="205">
        <v>572.24</v>
      </c>
      <c r="P98" s="206">
        <v>530.08000000000004</v>
      </c>
      <c r="Q98" s="206">
        <v>42.16</v>
      </c>
      <c r="R98" s="192"/>
      <c r="S98" s="198" t="s">
        <v>283</v>
      </c>
      <c r="T98" s="199" t="s">
        <v>283</v>
      </c>
      <c r="U98" s="192"/>
      <c r="V98" s="192"/>
      <c r="W98" s="192"/>
      <c r="X98" s="192"/>
      <c r="Y98" s="192"/>
      <c r="Z98" s="192"/>
    </row>
    <row r="99" spans="1:26" ht="15.75">
      <c r="A99" s="192" t="e">
        <v>#REF!</v>
      </c>
      <c r="B99" s="192"/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198" t="s">
        <v>283</v>
      </c>
      <c r="P99" s="199" t="s">
        <v>283</v>
      </c>
      <c r="Q99" s="199" t="s">
        <v>283</v>
      </c>
      <c r="R99" s="192"/>
      <c r="S99" s="198" t="s">
        <v>283</v>
      </c>
      <c r="T99" s="199" t="s">
        <v>283</v>
      </c>
      <c r="U99" s="192"/>
      <c r="V99" s="192"/>
      <c r="W99" s="192"/>
      <c r="X99" s="192"/>
      <c r="Y99" s="192"/>
      <c r="Z99" s="192"/>
    </row>
    <row r="100" spans="1:26" ht="15.75">
      <c r="A100" s="192" t="e">
        <v>#REF!</v>
      </c>
      <c r="B100" s="207" t="s">
        <v>483</v>
      </c>
      <c r="C100" s="226">
        <v>211.72</v>
      </c>
      <c r="D100" s="226">
        <v>332.75</v>
      </c>
      <c r="E100" s="226">
        <v>385.29</v>
      </c>
      <c r="F100" s="226">
        <v>329.53</v>
      </c>
      <c r="G100" s="226">
        <v>278.06</v>
      </c>
      <c r="H100" s="226">
        <v>166.55</v>
      </c>
      <c r="I100" s="226">
        <v>78.41</v>
      </c>
      <c r="J100" s="226">
        <v>46.83</v>
      </c>
      <c r="K100" s="226">
        <v>38.06</v>
      </c>
      <c r="L100" s="226">
        <v>37.58</v>
      </c>
      <c r="M100" s="226">
        <v>37.58</v>
      </c>
      <c r="N100" s="226">
        <v>96.2</v>
      </c>
      <c r="O100" s="208">
        <v>2038.57</v>
      </c>
      <c r="P100" s="209">
        <v>1703.89</v>
      </c>
      <c r="Q100" s="209">
        <v>334.67</v>
      </c>
      <c r="R100" s="192"/>
      <c r="S100" s="208">
        <v>283.98</v>
      </c>
      <c r="T100" s="209">
        <v>55.78</v>
      </c>
      <c r="U100" s="192"/>
      <c r="V100" s="192"/>
      <c r="W100" s="192"/>
      <c r="X100" s="192"/>
      <c r="Y100" s="192"/>
      <c r="Z100" s="192"/>
    </row>
    <row r="101" spans="1:26" ht="15.75">
      <c r="A101" s="192" t="e">
        <v>#REF!</v>
      </c>
      <c r="B101" s="192"/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198" t="s">
        <v>283</v>
      </c>
      <c r="P101" s="199" t="s">
        <v>283</v>
      </c>
      <c r="Q101" s="199" t="s">
        <v>283</v>
      </c>
      <c r="R101" s="192"/>
      <c r="S101" s="198" t="s">
        <v>283</v>
      </c>
      <c r="T101" s="199" t="s">
        <v>283</v>
      </c>
      <c r="U101" s="192"/>
      <c r="V101" s="192"/>
      <c r="W101" s="192"/>
      <c r="X101" s="192"/>
      <c r="Y101" s="192"/>
      <c r="Z101" s="192"/>
    </row>
    <row r="102" spans="1:26" ht="15.75">
      <c r="A102" s="192" t="e">
        <v>#REF!</v>
      </c>
      <c r="B102" s="210" t="s">
        <v>484</v>
      </c>
      <c r="C102" s="228" t="s">
        <v>283</v>
      </c>
      <c r="D102" s="228" t="s">
        <v>283</v>
      </c>
      <c r="E102" s="228" t="s">
        <v>283</v>
      </c>
      <c r="F102" s="228" t="s">
        <v>283</v>
      </c>
      <c r="G102" s="228" t="s">
        <v>283</v>
      </c>
      <c r="H102" s="228" t="s">
        <v>283</v>
      </c>
      <c r="I102" s="228" t="s">
        <v>283</v>
      </c>
      <c r="J102" s="228" t="s">
        <v>283</v>
      </c>
      <c r="K102" s="228" t="s">
        <v>283</v>
      </c>
      <c r="L102" s="228" t="s">
        <v>283</v>
      </c>
      <c r="M102" s="228" t="s">
        <v>283</v>
      </c>
      <c r="N102" s="228" t="s">
        <v>283</v>
      </c>
      <c r="O102" s="211" t="s">
        <v>283</v>
      </c>
      <c r="P102" s="212" t="s">
        <v>283</v>
      </c>
      <c r="Q102" s="212" t="s">
        <v>283</v>
      </c>
      <c r="R102" s="210" t="s">
        <v>283</v>
      </c>
      <c r="S102" s="211" t="s">
        <v>283</v>
      </c>
      <c r="T102" s="212" t="s">
        <v>283</v>
      </c>
      <c r="U102" s="192"/>
      <c r="V102" s="192"/>
      <c r="W102" s="192"/>
      <c r="X102" s="192"/>
      <c r="Y102" s="192"/>
      <c r="Z102" s="192"/>
    </row>
    <row r="103" spans="1:26" ht="15.75">
      <c r="A103" s="192" t="e">
        <v>#REF!</v>
      </c>
      <c r="B103" s="239" t="s">
        <v>480</v>
      </c>
      <c r="C103" s="229">
        <v>-11.48</v>
      </c>
      <c r="D103" s="229">
        <v>-18.37</v>
      </c>
      <c r="E103" s="229">
        <v>-22.33</v>
      </c>
      <c r="F103" s="229">
        <v>-19.010000000000002</v>
      </c>
      <c r="G103" s="229">
        <v>-15.95</v>
      </c>
      <c r="H103" s="229">
        <v>-9.31</v>
      </c>
      <c r="I103" s="229">
        <v>-4.9800000000000004</v>
      </c>
      <c r="J103" s="229">
        <v>-2.68</v>
      </c>
      <c r="K103" s="229">
        <v>-2.04</v>
      </c>
      <c r="L103" s="229">
        <v>-2.04</v>
      </c>
      <c r="M103" s="229">
        <v>-2.04</v>
      </c>
      <c r="N103" s="229">
        <v>-6.38</v>
      </c>
      <c r="O103" s="213">
        <v>-116.63</v>
      </c>
      <c r="P103" s="214">
        <v>-96.47</v>
      </c>
      <c r="Q103" s="214">
        <v>-20.16</v>
      </c>
      <c r="R103" s="239"/>
      <c r="S103" s="213">
        <v>-16.079999999999998</v>
      </c>
      <c r="T103" s="214">
        <v>-3.36</v>
      </c>
      <c r="U103" s="192"/>
      <c r="V103" s="192"/>
      <c r="W103" s="192"/>
      <c r="X103" s="192"/>
      <c r="Y103" s="192"/>
      <c r="Z103" s="192"/>
    </row>
    <row r="104" spans="1:26" ht="15.75">
      <c r="A104" s="192" t="e">
        <v>#REF!</v>
      </c>
      <c r="B104" s="215" t="s">
        <v>481</v>
      </c>
      <c r="C104" s="230">
        <v>-5.0999999999999997E-2</v>
      </c>
      <c r="D104" s="230">
        <v>-5.1999999999999998E-2</v>
      </c>
      <c r="E104" s="230">
        <v>-5.5E-2</v>
      </c>
      <c r="F104" s="230">
        <v>-5.5E-2</v>
      </c>
      <c r="G104" s="230">
        <v>-5.3999999999999999E-2</v>
      </c>
      <c r="H104" s="230">
        <v>-5.2999999999999999E-2</v>
      </c>
      <c r="I104" s="230">
        <v>-0.06</v>
      </c>
      <c r="J104" s="230">
        <v>-5.3999999999999999E-2</v>
      </c>
      <c r="K104" s="230">
        <v>-5.0999999999999997E-2</v>
      </c>
      <c r="L104" s="230">
        <v>-5.1999999999999998E-2</v>
      </c>
      <c r="M104" s="230">
        <v>-5.1999999999999998E-2</v>
      </c>
      <c r="N104" s="230">
        <v>-6.2E-2</v>
      </c>
      <c r="O104" s="216">
        <v>-5.3999999999999999E-2</v>
      </c>
      <c r="P104" s="217">
        <v>-5.3999999999999999E-2</v>
      </c>
      <c r="Q104" s="217">
        <v>-5.7000000000000002E-2</v>
      </c>
      <c r="R104" s="215" t="s">
        <v>283</v>
      </c>
      <c r="S104" s="216">
        <v>-5.3999999999999999E-2</v>
      </c>
      <c r="T104" s="217">
        <v>-5.7000000000000002E-2</v>
      </c>
      <c r="U104" s="192"/>
      <c r="V104" s="192"/>
      <c r="W104" s="192"/>
      <c r="X104" s="192"/>
      <c r="Y104" s="192"/>
      <c r="Z104" s="192"/>
    </row>
    <row r="105" spans="1:26" ht="15.75">
      <c r="A105" s="192" t="e">
        <v>#REF!</v>
      </c>
      <c r="B105" s="192"/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192"/>
      <c r="P105" s="192"/>
      <c r="Q105" s="192"/>
      <c r="R105" s="192"/>
      <c r="S105" s="192"/>
      <c r="T105" s="192"/>
      <c r="U105" s="192"/>
      <c r="V105" s="192"/>
      <c r="W105" s="192"/>
      <c r="X105" s="192"/>
      <c r="Y105" s="192"/>
      <c r="Z105" s="192"/>
    </row>
    <row r="106" spans="1:26" ht="15.75">
      <c r="A106" s="192" t="e">
        <v>#REF!</v>
      </c>
      <c r="B106" s="192"/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192"/>
      <c r="P106" s="192"/>
      <c r="Q106" s="192"/>
      <c r="R106" s="192"/>
      <c r="S106" s="192"/>
      <c r="T106" s="192"/>
      <c r="U106" s="192"/>
      <c r="V106" s="192"/>
      <c r="W106" s="192"/>
      <c r="X106" s="192"/>
      <c r="Y106" s="192"/>
      <c r="Z106" s="192"/>
    </row>
    <row r="107" spans="1:26" ht="15.75">
      <c r="A107" s="192" t="e">
        <v>#REF!</v>
      </c>
      <c r="B107" s="202" t="s">
        <v>485</v>
      </c>
      <c r="C107" s="227"/>
      <c r="D107" s="227"/>
      <c r="E107" s="227"/>
      <c r="F107" s="227"/>
      <c r="G107" s="225" t="s">
        <v>283</v>
      </c>
      <c r="H107" s="225" t="s">
        <v>283</v>
      </c>
      <c r="I107" s="225" t="s">
        <v>283</v>
      </c>
      <c r="J107" s="225" t="s">
        <v>283</v>
      </c>
      <c r="K107" s="225" t="s">
        <v>283</v>
      </c>
      <c r="L107" s="225" t="s">
        <v>283</v>
      </c>
      <c r="M107" s="225" t="s">
        <v>283</v>
      </c>
      <c r="N107" s="225" t="s">
        <v>283</v>
      </c>
      <c r="O107" s="203" t="s">
        <v>283</v>
      </c>
      <c r="P107" s="204" t="s">
        <v>283</v>
      </c>
      <c r="Q107" s="204" t="s">
        <v>283</v>
      </c>
      <c r="R107" s="192"/>
      <c r="S107" s="203" t="s">
        <v>283</v>
      </c>
      <c r="T107" s="204" t="s">
        <v>283</v>
      </c>
      <c r="U107" s="192"/>
      <c r="V107" s="192"/>
      <c r="W107" s="192"/>
      <c r="X107" s="192"/>
      <c r="Y107" s="192"/>
      <c r="Z107" s="192"/>
    </row>
    <row r="108" spans="1:26" ht="15.75">
      <c r="A108" s="192" t="e">
        <v>#REF!</v>
      </c>
      <c r="B108" s="192" t="s">
        <v>458</v>
      </c>
      <c r="C108" s="224">
        <v>10</v>
      </c>
      <c r="D108" s="224">
        <v>10</v>
      </c>
      <c r="E108" s="224">
        <v>10</v>
      </c>
      <c r="F108" s="224">
        <v>10</v>
      </c>
      <c r="G108" s="224">
        <v>10</v>
      </c>
      <c r="H108" s="224">
        <v>10</v>
      </c>
      <c r="I108" s="224">
        <v>10</v>
      </c>
      <c r="J108" s="224">
        <v>10</v>
      </c>
      <c r="K108" s="224">
        <v>10</v>
      </c>
      <c r="L108" s="224">
        <v>10</v>
      </c>
      <c r="M108" s="224">
        <v>10</v>
      </c>
      <c r="N108" s="224">
        <v>10</v>
      </c>
      <c r="O108" s="205">
        <v>120</v>
      </c>
      <c r="P108" s="206">
        <v>60</v>
      </c>
      <c r="Q108" s="206">
        <v>60</v>
      </c>
      <c r="R108" s="192"/>
      <c r="S108" s="198" t="s">
        <v>283</v>
      </c>
      <c r="T108" s="199" t="s">
        <v>283</v>
      </c>
      <c r="U108" s="192"/>
      <c r="V108" s="192"/>
      <c r="W108" s="192"/>
      <c r="X108" s="192"/>
      <c r="Y108" s="192"/>
      <c r="Z108" s="192"/>
    </row>
    <row r="109" spans="1:26" ht="15.75">
      <c r="A109" s="192" t="e">
        <v>#REF!</v>
      </c>
      <c r="B109" s="192"/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198" t="s">
        <v>283</v>
      </c>
      <c r="P109" s="199" t="s">
        <v>283</v>
      </c>
      <c r="Q109" s="199" t="s">
        <v>283</v>
      </c>
      <c r="R109" s="192"/>
      <c r="S109" s="198" t="s">
        <v>283</v>
      </c>
      <c r="T109" s="199" t="s">
        <v>283</v>
      </c>
      <c r="U109" s="192"/>
      <c r="V109" s="192"/>
      <c r="W109" s="192"/>
      <c r="X109" s="192"/>
      <c r="Y109" s="192"/>
      <c r="Z109" s="192"/>
    </row>
    <row r="110" spans="1:26" ht="15.75">
      <c r="A110" s="192" t="e">
        <v>#REF!</v>
      </c>
      <c r="B110" s="192" t="s">
        <v>459</v>
      </c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198" t="s">
        <v>283</v>
      </c>
      <c r="P110" s="199" t="s">
        <v>283</v>
      </c>
      <c r="Q110" s="199" t="s">
        <v>283</v>
      </c>
      <c r="R110" s="192"/>
      <c r="S110" s="198" t="s">
        <v>283</v>
      </c>
      <c r="T110" s="199" t="s">
        <v>283</v>
      </c>
      <c r="U110" s="192"/>
      <c r="V110" s="192"/>
      <c r="W110" s="192"/>
      <c r="X110" s="192"/>
      <c r="Y110" s="192"/>
      <c r="Z110" s="192"/>
    </row>
    <row r="111" spans="1:26" ht="15.75">
      <c r="A111" s="192" t="e">
        <v>#REF!</v>
      </c>
      <c r="B111" s="192" t="s">
        <v>80</v>
      </c>
      <c r="C111" s="224">
        <v>0.63959999999999995</v>
      </c>
      <c r="D111" s="224">
        <v>0.63959999999999995</v>
      </c>
      <c r="E111" s="224">
        <v>0.63959999999999995</v>
      </c>
      <c r="F111" s="224">
        <v>0.63959999999999995</v>
      </c>
      <c r="G111" s="224">
        <v>0.63959999999999995</v>
      </c>
      <c r="H111" s="224">
        <v>0.63959999999999995</v>
      </c>
      <c r="I111" s="224">
        <v>0.63959999999999995</v>
      </c>
      <c r="J111" s="224">
        <v>0.63959999999999995</v>
      </c>
      <c r="K111" s="224">
        <v>0.63959999999999995</v>
      </c>
      <c r="L111" s="224">
        <v>0.63959999999999995</v>
      </c>
      <c r="M111" s="224">
        <v>0.63959999999999995</v>
      </c>
      <c r="N111" s="224">
        <v>0.63959999999999995</v>
      </c>
      <c r="O111" s="205">
        <v>584.59</v>
      </c>
      <c r="P111" s="206">
        <v>483.54</v>
      </c>
      <c r="Q111" s="206">
        <v>101.06</v>
      </c>
      <c r="R111" s="192"/>
      <c r="S111" s="198" t="s">
        <v>283</v>
      </c>
      <c r="T111" s="199" t="s">
        <v>283</v>
      </c>
      <c r="U111" s="192"/>
      <c r="V111" s="192"/>
      <c r="W111" s="192"/>
      <c r="X111" s="192"/>
      <c r="Y111" s="192"/>
      <c r="Z111" s="192"/>
    </row>
    <row r="112" spans="1:26" ht="15.75">
      <c r="A112" s="192" t="e">
        <v>#REF!</v>
      </c>
      <c r="B112" s="192" t="s">
        <v>370</v>
      </c>
      <c r="C112" s="224">
        <v>2.7799999999999998E-2</v>
      </c>
      <c r="D112" s="224">
        <v>2.7799999999999998E-2</v>
      </c>
      <c r="E112" s="224">
        <v>2.7799999999999998E-2</v>
      </c>
      <c r="F112" s="224">
        <v>2.7799999999999998E-2</v>
      </c>
      <c r="G112" s="224">
        <v>2.7799999999999998E-2</v>
      </c>
      <c r="H112" s="224">
        <v>2.7799999999999998E-2</v>
      </c>
      <c r="I112" s="224">
        <v>2.7799999999999998E-2</v>
      </c>
      <c r="J112" s="224">
        <v>2.7799999999999998E-2</v>
      </c>
      <c r="K112" s="224">
        <v>2.7799999999999998E-2</v>
      </c>
      <c r="L112" s="224">
        <v>2.7799999999999998E-2</v>
      </c>
      <c r="M112" s="224">
        <v>2.7799999999999998E-2</v>
      </c>
      <c r="N112" s="224">
        <v>2.7799999999999998E-2</v>
      </c>
      <c r="O112" s="205">
        <v>25.41</v>
      </c>
      <c r="P112" s="206">
        <v>21.02</v>
      </c>
      <c r="Q112" s="206">
        <v>4.3899999999999997</v>
      </c>
      <c r="R112" s="192"/>
      <c r="S112" s="198" t="s">
        <v>283</v>
      </c>
      <c r="T112" s="199" t="s">
        <v>283</v>
      </c>
      <c r="U112" s="192"/>
      <c r="V112" s="192"/>
      <c r="W112" s="192"/>
      <c r="X112" s="192"/>
      <c r="Y112" s="192"/>
      <c r="Z112" s="192"/>
    </row>
    <row r="113" spans="1:26" ht="15.75">
      <c r="A113" s="192" t="e">
        <v>#REF!</v>
      </c>
      <c r="B113" s="192"/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198" t="s">
        <v>283</v>
      </c>
      <c r="P113" s="199" t="s">
        <v>283</v>
      </c>
      <c r="Q113" s="199" t="s">
        <v>283</v>
      </c>
      <c r="R113" s="192"/>
      <c r="S113" s="198" t="s">
        <v>283</v>
      </c>
      <c r="T113" s="199" t="s">
        <v>283</v>
      </c>
      <c r="U113" s="192"/>
      <c r="V113" s="192"/>
      <c r="W113" s="192"/>
      <c r="X113" s="192"/>
      <c r="Y113" s="192"/>
      <c r="Z113" s="192"/>
    </row>
    <row r="114" spans="1:26" ht="15.75">
      <c r="A114" s="192" t="e">
        <v>#REF!</v>
      </c>
      <c r="B114" s="192" t="s">
        <v>460</v>
      </c>
      <c r="C114" s="224">
        <v>6.0299999999999999E-2</v>
      </c>
      <c r="D114" s="224">
        <v>6.0299999999999999E-2</v>
      </c>
      <c r="E114" s="224">
        <v>6.0299999999999999E-2</v>
      </c>
      <c r="F114" s="224">
        <v>6.0299999999999999E-2</v>
      </c>
      <c r="G114" s="224">
        <v>6.0299999999999999E-2</v>
      </c>
      <c r="H114" s="224">
        <v>6.0299999999999999E-2</v>
      </c>
      <c r="I114" s="224">
        <v>5.8599999999999999E-2</v>
      </c>
      <c r="J114" s="224">
        <v>5.8599999999999999E-2</v>
      </c>
      <c r="K114" s="224">
        <v>5.8599999999999999E-2</v>
      </c>
      <c r="L114" s="224">
        <v>5.8599999999999999E-2</v>
      </c>
      <c r="M114" s="224">
        <v>5.8599999999999999E-2</v>
      </c>
      <c r="N114" s="224">
        <v>5.8599999999999999E-2</v>
      </c>
      <c r="O114" s="205">
        <v>54.85</v>
      </c>
      <c r="P114" s="206">
        <v>45.59</v>
      </c>
      <c r="Q114" s="206">
        <v>9.26</v>
      </c>
      <c r="R114" s="192"/>
      <c r="S114" s="198" t="s">
        <v>283</v>
      </c>
      <c r="T114" s="199" t="s">
        <v>283</v>
      </c>
      <c r="U114" s="192"/>
      <c r="V114" s="192"/>
      <c r="W114" s="192"/>
      <c r="X114" s="192"/>
      <c r="Y114" s="192"/>
      <c r="Z114" s="192"/>
    </row>
    <row r="115" spans="1:26" ht="15.75">
      <c r="A115" s="192" t="e">
        <v>#REF!</v>
      </c>
      <c r="B115" s="192"/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198" t="s">
        <v>283</v>
      </c>
      <c r="P115" s="199" t="s">
        <v>283</v>
      </c>
      <c r="Q115" s="199" t="s">
        <v>283</v>
      </c>
      <c r="R115" s="192"/>
      <c r="S115" s="198" t="s">
        <v>283</v>
      </c>
      <c r="T115" s="199" t="s">
        <v>283</v>
      </c>
      <c r="U115" s="192"/>
      <c r="V115" s="192"/>
      <c r="W115" s="192"/>
      <c r="X115" s="192"/>
      <c r="Y115" s="192"/>
      <c r="Z115" s="192"/>
    </row>
    <row r="116" spans="1:26" ht="15.75">
      <c r="A116" s="192" t="e">
        <v>#REF!</v>
      </c>
      <c r="B116" s="192" t="s">
        <v>461</v>
      </c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198" t="s">
        <v>283</v>
      </c>
      <c r="P116" s="199" t="s">
        <v>283</v>
      </c>
      <c r="Q116" s="199" t="s">
        <v>283</v>
      </c>
      <c r="R116" s="192"/>
      <c r="S116" s="198" t="s">
        <v>283</v>
      </c>
      <c r="T116" s="199" t="s">
        <v>283</v>
      </c>
      <c r="U116" s="192"/>
      <c r="V116" s="192"/>
      <c r="W116" s="192"/>
      <c r="X116" s="192"/>
      <c r="Y116" s="192"/>
      <c r="Z116" s="192"/>
    </row>
    <row r="117" spans="1:26" ht="15.75">
      <c r="A117" s="192" t="e">
        <v>#REF!</v>
      </c>
      <c r="B117" s="192" t="s">
        <v>462</v>
      </c>
      <c r="C117" s="224">
        <v>4.7999999999999996E-3</v>
      </c>
      <c r="D117" s="224">
        <v>4.7999999999999996E-3</v>
      </c>
      <c r="E117" s="224">
        <v>4.7999999999999996E-3</v>
      </c>
      <c r="F117" s="224">
        <v>4.7999999999999996E-3</v>
      </c>
      <c r="G117" s="224">
        <v>4.7999999999999996E-3</v>
      </c>
      <c r="H117" s="224">
        <v>4.7999999999999996E-3</v>
      </c>
      <c r="I117" s="224">
        <v>4.7999999999999996E-3</v>
      </c>
      <c r="J117" s="224">
        <v>4.7999999999999996E-3</v>
      </c>
      <c r="K117" s="224">
        <v>4.7999999999999996E-3</v>
      </c>
      <c r="L117" s="224">
        <v>4.7999999999999996E-3</v>
      </c>
      <c r="M117" s="224">
        <v>4.7999999999999996E-3</v>
      </c>
      <c r="N117" s="224">
        <v>4.7999999999999996E-3</v>
      </c>
      <c r="O117" s="205">
        <v>4.3899999999999997</v>
      </c>
      <c r="P117" s="206">
        <v>3.63</v>
      </c>
      <c r="Q117" s="206">
        <v>0.76</v>
      </c>
      <c r="R117" s="192"/>
      <c r="S117" s="198" t="s">
        <v>283</v>
      </c>
      <c r="T117" s="199" t="s">
        <v>283</v>
      </c>
      <c r="U117" s="192"/>
      <c r="V117" s="192"/>
      <c r="W117" s="192"/>
      <c r="X117" s="192"/>
      <c r="Y117" s="192"/>
      <c r="Z117" s="192"/>
    </row>
    <row r="118" spans="1:26" ht="15.75">
      <c r="A118" s="192" t="e">
        <v>#REF!</v>
      </c>
      <c r="B118" s="192" t="s">
        <v>463</v>
      </c>
      <c r="C118" s="224">
        <v>-4.5999999999999999E-3</v>
      </c>
      <c r="D118" s="224">
        <v>-4.5999999999999999E-3</v>
      </c>
      <c r="E118" s="224">
        <v>-4.5999999999999999E-3</v>
      </c>
      <c r="F118" s="224">
        <v>-4.5999999999999999E-3</v>
      </c>
      <c r="G118" s="224">
        <v>-4.5999999999999999E-3</v>
      </c>
      <c r="H118" s="224">
        <v>-4.5999999999999999E-3</v>
      </c>
      <c r="I118" s="224">
        <v>-4.5999999999999999E-3</v>
      </c>
      <c r="J118" s="224">
        <v>-4.5999999999999999E-3</v>
      </c>
      <c r="K118" s="224">
        <v>-4.5999999999999999E-3</v>
      </c>
      <c r="L118" s="224">
        <v>-4.5999999999999999E-3</v>
      </c>
      <c r="M118" s="224">
        <v>-4.5999999999999999E-3</v>
      </c>
      <c r="N118" s="224">
        <v>-4.5999999999999999E-3</v>
      </c>
      <c r="O118" s="205">
        <v>-4.2</v>
      </c>
      <c r="P118" s="206">
        <v>-3.48</v>
      </c>
      <c r="Q118" s="206">
        <v>-0.73</v>
      </c>
      <c r="R118" s="192"/>
      <c r="S118" s="198" t="s">
        <v>283</v>
      </c>
      <c r="T118" s="199" t="s">
        <v>283</v>
      </c>
      <c r="U118" s="192"/>
      <c r="V118" s="192"/>
      <c r="W118" s="192"/>
      <c r="X118" s="192"/>
      <c r="Y118" s="192"/>
      <c r="Z118" s="192"/>
    </row>
    <row r="119" spans="1:26" ht="15.75">
      <c r="A119" s="192" t="e">
        <v>#REF!</v>
      </c>
      <c r="B119" s="192" t="s">
        <v>464</v>
      </c>
      <c r="C119" s="224">
        <v>-2.0000000000000001E-4</v>
      </c>
      <c r="D119" s="224">
        <v>-2.0000000000000001E-4</v>
      </c>
      <c r="E119" s="224">
        <v>-2.0000000000000001E-4</v>
      </c>
      <c r="F119" s="224">
        <v>-2.0000000000000001E-4</v>
      </c>
      <c r="G119" s="224">
        <v>-2.0000000000000001E-4</v>
      </c>
      <c r="H119" s="224">
        <v>-2.0000000000000001E-4</v>
      </c>
      <c r="I119" s="224">
        <v>-2.0000000000000001E-4</v>
      </c>
      <c r="J119" s="224">
        <v>-2.0000000000000001E-4</v>
      </c>
      <c r="K119" s="224">
        <v>-2.0000000000000001E-4</v>
      </c>
      <c r="L119" s="224">
        <v>-2.0000000000000001E-4</v>
      </c>
      <c r="M119" s="224">
        <v>-2.0000000000000001E-4</v>
      </c>
      <c r="N119" s="224">
        <v>-2.0000000000000001E-4</v>
      </c>
      <c r="O119" s="205">
        <v>-0.18</v>
      </c>
      <c r="P119" s="206">
        <v>-0.15</v>
      </c>
      <c r="Q119" s="206">
        <v>-0.03</v>
      </c>
      <c r="R119" s="192"/>
      <c r="S119" s="198" t="s">
        <v>283</v>
      </c>
      <c r="T119" s="199" t="s">
        <v>283</v>
      </c>
      <c r="U119" s="192"/>
      <c r="V119" s="192"/>
      <c r="W119" s="192"/>
      <c r="X119" s="192"/>
      <c r="Y119" s="192"/>
      <c r="Z119" s="192"/>
    </row>
    <row r="120" spans="1:26" ht="15.75">
      <c r="A120" s="192" t="e">
        <v>#REF!</v>
      </c>
      <c r="B120" s="192" t="s">
        <v>465</v>
      </c>
      <c r="C120" s="224">
        <v>1.61E-2</v>
      </c>
      <c r="D120" s="224">
        <v>1.61E-2</v>
      </c>
      <c r="E120" s="224">
        <v>1.61E-2</v>
      </c>
      <c r="F120" s="224">
        <v>1.61E-2</v>
      </c>
      <c r="G120" s="224">
        <v>1.61E-2</v>
      </c>
      <c r="H120" s="224">
        <v>1.61E-2</v>
      </c>
      <c r="I120" s="224">
        <v>1.61E-2</v>
      </c>
      <c r="J120" s="224">
        <v>1.61E-2</v>
      </c>
      <c r="K120" s="224">
        <v>1.61E-2</v>
      </c>
      <c r="L120" s="224">
        <v>1.61E-2</v>
      </c>
      <c r="M120" s="224">
        <v>1.61E-2</v>
      </c>
      <c r="N120" s="224">
        <v>1.61E-2</v>
      </c>
      <c r="O120" s="205">
        <v>14.72</v>
      </c>
      <c r="P120" s="206">
        <v>12.17</v>
      </c>
      <c r="Q120" s="206">
        <v>2.54</v>
      </c>
      <c r="R120" s="192"/>
      <c r="S120" s="198" t="s">
        <v>283</v>
      </c>
      <c r="T120" s="199" t="s">
        <v>283</v>
      </c>
      <c r="U120" s="192"/>
      <c r="V120" s="192"/>
      <c r="W120" s="192"/>
      <c r="X120" s="192"/>
      <c r="Y120" s="192"/>
      <c r="Z120" s="192"/>
    </row>
    <row r="121" spans="1:26" ht="15.75">
      <c r="A121" s="192" t="e">
        <v>#REF!</v>
      </c>
      <c r="B121" s="232" t="s">
        <v>466</v>
      </c>
      <c r="C121" s="231">
        <v>0.49659999999999999</v>
      </c>
      <c r="D121" s="231">
        <v>0.49659999999999999</v>
      </c>
      <c r="E121" s="231">
        <v>0.49659999999999999</v>
      </c>
      <c r="F121" s="231">
        <v>0.49659999999999999</v>
      </c>
      <c r="G121" s="231">
        <v>0.49659999999999999</v>
      </c>
      <c r="H121" s="231">
        <v>0.49659999999999999</v>
      </c>
      <c r="I121" s="231">
        <v>0.49659999999999999</v>
      </c>
      <c r="J121" s="231">
        <v>0.49659999999999999</v>
      </c>
      <c r="K121" s="231">
        <v>0.49659999999999999</v>
      </c>
      <c r="L121" s="231">
        <v>0.49659999999999999</v>
      </c>
      <c r="M121" s="231">
        <v>0.49659999999999999</v>
      </c>
      <c r="N121" s="231">
        <v>0.49659999999999999</v>
      </c>
      <c r="O121" s="205">
        <v>453.89</v>
      </c>
      <c r="P121" s="206">
        <v>375.43</v>
      </c>
      <c r="Q121" s="206">
        <v>78.459999999999994</v>
      </c>
      <c r="R121" s="192"/>
      <c r="S121" s="198" t="s">
        <v>283</v>
      </c>
      <c r="T121" s="199" t="s">
        <v>283</v>
      </c>
      <c r="U121" s="192"/>
      <c r="V121" s="192"/>
      <c r="W121" s="192"/>
      <c r="X121" s="192"/>
      <c r="Y121" s="192"/>
      <c r="Z121" s="192"/>
    </row>
    <row r="122" spans="1:26" ht="15.75">
      <c r="A122" s="192" t="e">
        <v>#REF!</v>
      </c>
      <c r="B122" s="192" t="s">
        <v>467</v>
      </c>
      <c r="C122" s="224">
        <v>4.0000000000000002E-4</v>
      </c>
      <c r="D122" s="224">
        <v>4.0000000000000002E-4</v>
      </c>
      <c r="E122" s="224">
        <v>4.0000000000000002E-4</v>
      </c>
      <c r="F122" s="224">
        <v>4.0000000000000002E-4</v>
      </c>
      <c r="G122" s="224">
        <v>4.0000000000000002E-4</v>
      </c>
      <c r="H122" s="224">
        <v>4.0000000000000002E-4</v>
      </c>
      <c r="I122" s="224">
        <v>4.0000000000000002E-4</v>
      </c>
      <c r="J122" s="224">
        <v>4.0000000000000002E-4</v>
      </c>
      <c r="K122" s="224">
        <v>4.0000000000000002E-4</v>
      </c>
      <c r="L122" s="224">
        <v>4.0000000000000002E-4</v>
      </c>
      <c r="M122" s="224">
        <v>4.0000000000000002E-4</v>
      </c>
      <c r="N122" s="224">
        <v>4.0000000000000002E-4</v>
      </c>
      <c r="O122" s="205">
        <v>0.37</v>
      </c>
      <c r="P122" s="206">
        <v>0.3</v>
      </c>
      <c r="Q122" s="206">
        <v>0.06</v>
      </c>
      <c r="R122" s="192"/>
      <c r="S122" s="198" t="s">
        <v>283</v>
      </c>
      <c r="T122" s="199" t="s">
        <v>283</v>
      </c>
      <c r="U122" s="192"/>
      <c r="V122" s="192"/>
      <c r="W122" s="192"/>
      <c r="X122" s="192"/>
      <c r="Y122" s="192"/>
      <c r="Z122" s="192"/>
    </row>
    <row r="123" spans="1:26" ht="15.75">
      <c r="A123" s="192" t="e">
        <v>#REF!</v>
      </c>
      <c r="B123" s="192" t="s">
        <v>468</v>
      </c>
      <c r="C123" s="224">
        <v>5.3199999999999997E-2</v>
      </c>
      <c r="D123" s="224">
        <v>5.3199999999999997E-2</v>
      </c>
      <c r="E123" s="224">
        <v>5.3199999999999997E-2</v>
      </c>
      <c r="F123" s="224">
        <v>5.3199999999999997E-2</v>
      </c>
      <c r="G123" s="224">
        <v>5.3199999999999997E-2</v>
      </c>
      <c r="H123" s="224">
        <v>5.3199999999999997E-2</v>
      </c>
      <c r="I123" s="224">
        <v>5.3199999999999997E-2</v>
      </c>
      <c r="J123" s="224">
        <v>5.3199999999999997E-2</v>
      </c>
      <c r="K123" s="224">
        <v>5.3199999999999997E-2</v>
      </c>
      <c r="L123" s="224">
        <v>5.3199999999999997E-2</v>
      </c>
      <c r="M123" s="224">
        <v>5.3199999999999997E-2</v>
      </c>
      <c r="N123" s="224">
        <v>5.3199999999999997E-2</v>
      </c>
      <c r="O123" s="205">
        <v>48.62</v>
      </c>
      <c r="P123" s="206">
        <v>40.22</v>
      </c>
      <c r="Q123" s="206">
        <v>8.41</v>
      </c>
      <c r="R123" s="192"/>
      <c r="S123" s="198" t="s">
        <v>283</v>
      </c>
      <c r="T123" s="199" t="s">
        <v>283</v>
      </c>
      <c r="U123" s="192"/>
      <c r="V123" s="192"/>
      <c r="W123" s="192"/>
      <c r="X123" s="192"/>
      <c r="Y123" s="192"/>
      <c r="Z123" s="192"/>
    </row>
    <row r="124" spans="1:26" ht="15.75">
      <c r="A124" s="192" t="e">
        <v>#REF!</v>
      </c>
      <c r="B124" s="192" t="s">
        <v>469</v>
      </c>
      <c r="C124" s="224">
        <v>0.2049</v>
      </c>
      <c r="D124" s="224">
        <v>0.2049</v>
      </c>
      <c r="E124" s="224">
        <v>0.2049</v>
      </c>
      <c r="F124" s="224">
        <v>0.2049</v>
      </c>
      <c r="G124" s="224">
        <v>0.2049</v>
      </c>
      <c r="H124" s="224">
        <v>0.2049</v>
      </c>
      <c r="I124" s="224">
        <v>0.2049</v>
      </c>
      <c r="J124" s="224">
        <v>0.2049</v>
      </c>
      <c r="K124" s="224">
        <v>0.2049</v>
      </c>
      <c r="L124" s="224">
        <v>0.2049</v>
      </c>
      <c r="M124" s="224">
        <v>0.2049</v>
      </c>
      <c r="N124" s="224">
        <v>0.2049</v>
      </c>
      <c r="O124" s="205">
        <v>187.28</v>
      </c>
      <c r="P124" s="206">
        <v>154.9</v>
      </c>
      <c r="Q124" s="206">
        <v>32.369999999999997</v>
      </c>
      <c r="R124" s="192"/>
      <c r="S124" s="198" t="s">
        <v>283</v>
      </c>
      <c r="T124" s="199" t="s">
        <v>283</v>
      </c>
      <c r="U124" s="192"/>
      <c r="V124" s="192"/>
      <c r="W124" s="192"/>
      <c r="X124" s="192"/>
      <c r="Y124" s="192"/>
      <c r="Z124" s="192"/>
    </row>
    <row r="125" spans="1:26" ht="15.75">
      <c r="A125" s="192" t="e">
        <v>#REF!</v>
      </c>
      <c r="B125" s="192" t="s">
        <v>470</v>
      </c>
      <c r="C125" s="224">
        <v>0</v>
      </c>
      <c r="D125" s="224">
        <v>0</v>
      </c>
      <c r="E125" s="224">
        <v>0</v>
      </c>
      <c r="F125" s="224">
        <v>0</v>
      </c>
      <c r="G125" s="224">
        <v>0</v>
      </c>
      <c r="H125" s="224">
        <v>0</v>
      </c>
      <c r="I125" s="224">
        <v>0</v>
      </c>
      <c r="J125" s="224">
        <v>0</v>
      </c>
      <c r="K125" s="224">
        <v>0</v>
      </c>
      <c r="L125" s="224">
        <v>0</v>
      </c>
      <c r="M125" s="224">
        <v>0</v>
      </c>
      <c r="N125" s="224">
        <v>0</v>
      </c>
      <c r="O125" s="205">
        <v>0</v>
      </c>
      <c r="P125" s="206">
        <v>0</v>
      </c>
      <c r="Q125" s="206">
        <v>0</v>
      </c>
      <c r="R125" s="192"/>
      <c r="S125" s="198" t="s">
        <v>283</v>
      </c>
      <c r="T125" s="199" t="s">
        <v>283</v>
      </c>
      <c r="U125" s="192"/>
      <c r="V125" s="192"/>
      <c r="W125" s="192"/>
      <c r="X125" s="192"/>
      <c r="Y125" s="192"/>
      <c r="Z125" s="192"/>
    </row>
    <row r="126" spans="1:26" ht="15.75">
      <c r="A126" s="192" t="e">
        <v>#REF!</v>
      </c>
      <c r="B126" s="192" t="s">
        <v>471</v>
      </c>
      <c r="C126" s="224">
        <v>6.9999999999999999E-4</v>
      </c>
      <c r="D126" s="224">
        <v>6.9999999999999999E-4</v>
      </c>
      <c r="E126" s="224">
        <v>6.9999999999999999E-4</v>
      </c>
      <c r="F126" s="224">
        <v>6.9999999999999999E-4</v>
      </c>
      <c r="G126" s="224">
        <v>6.9999999999999999E-4</v>
      </c>
      <c r="H126" s="224">
        <v>6.9999999999999999E-4</v>
      </c>
      <c r="I126" s="224">
        <v>6.9999999999999999E-4</v>
      </c>
      <c r="J126" s="224">
        <v>6.9999999999999999E-4</v>
      </c>
      <c r="K126" s="224">
        <v>6.9999999999999999E-4</v>
      </c>
      <c r="L126" s="224">
        <v>6.9999999999999999E-4</v>
      </c>
      <c r="M126" s="224">
        <v>6.9999999999999999E-4</v>
      </c>
      <c r="N126" s="224">
        <v>6.9999999999999999E-4</v>
      </c>
      <c r="O126" s="205">
        <v>0.64</v>
      </c>
      <c r="P126" s="206">
        <v>0.53</v>
      </c>
      <c r="Q126" s="206">
        <v>0.11</v>
      </c>
      <c r="R126" s="192"/>
      <c r="S126" s="198" t="s">
        <v>283</v>
      </c>
      <c r="T126" s="199" t="s">
        <v>283</v>
      </c>
      <c r="U126" s="192"/>
      <c r="V126" s="192"/>
      <c r="W126" s="192"/>
      <c r="X126" s="192"/>
      <c r="Y126" s="192"/>
      <c r="Z126" s="192"/>
    </row>
    <row r="127" spans="1:26" ht="15.75">
      <c r="A127" s="192" t="e">
        <v>#REF!</v>
      </c>
      <c r="B127" s="192" t="s">
        <v>472</v>
      </c>
      <c r="C127" s="224">
        <v>1.8E-3</v>
      </c>
      <c r="D127" s="224">
        <v>1.8E-3</v>
      </c>
      <c r="E127" s="224">
        <v>1.8E-3</v>
      </c>
      <c r="F127" s="224">
        <v>1.8E-3</v>
      </c>
      <c r="G127" s="224">
        <v>1.8E-3</v>
      </c>
      <c r="H127" s="224">
        <v>1.8E-3</v>
      </c>
      <c r="I127" s="224">
        <v>1.8E-3</v>
      </c>
      <c r="J127" s="224">
        <v>1.8E-3</v>
      </c>
      <c r="K127" s="224">
        <v>1.8E-3</v>
      </c>
      <c r="L127" s="224">
        <v>1.8E-3</v>
      </c>
      <c r="M127" s="224">
        <v>1.8E-3</v>
      </c>
      <c r="N127" s="224">
        <v>1.8E-3</v>
      </c>
      <c r="O127" s="205">
        <v>1.65</v>
      </c>
      <c r="P127" s="206">
        <v>1.36</v>
      </c>
      <c r="Q127" s="206">
        <v>0.28000000000000003</v>
      </c>
      <c r="R127" s="192"/>
      <c r="S127" s="198" t="s">
        <v>283</v>
      </c>
      <c r="T127" s="199" t="s">
        <v>283</v>
      </c>
      <c r="U127" s="192"/>
      <c r="V127" s="192"/>
      <c r="W127" s="192"/>
      <c r="X127" s="192"/>
      <c r="Y127" s="192"/>
      <c r="Z127" s="192"/>
    </row>
    <row r="128" spans="1:26" ht="15.75">
      <c r="A128" s="192" t="e">
        <v>#REF!</v>
      </c>
      <c r="B128" s="192" t="s">
        <v>473</v>
      </c>
      <c r="C128" s="224">
        <v>0</v>
      </c>
      <c r="D128" s="224">
        <v>0</v>
      </c>
      <c r="E128" s="224">
        <v>0</v>
      </c>
      <c r="F128" s="224">
        <v>0</v>
      </c>
      <c r="G128" s="224">
        <v>0</v>
      </c>
      <c r="H128" s="224">
        <v>0</v>
      </c>
      <c r="I128" s="224">
        <v>0</v>
      </c>
      <c r="J128" s="224">
        <v>0</v>
      </c>
      <c r="K128" s="224">
        <v>0</v>
      </c>
      <c r="L128" s="224">
        <v>0</v>
      </c>
      <c r="M128" s="224">
        <v>0</v>
      </c>
      <c r="N128" s="224">
        <v>0</v>
      </c>
      <c r="O128" s="205">
        <v>0</v>
      </c>
      <c r="P128" s="206">
        <v>0</v>
      </c>
      <c r="Q128" s="206">
        <v>0</v>
      </c>
      <c r="R128" s="192"/>
      <c r="S128" s="198" t="s">
        <v>283</v>
      </c>
      <c r="T128" s="199" t="s">
        <v>283</v>
      </c>
      <c r="U128" s="192"/>
      <c r="V128" s="192"/>
      <c r="W128" s="192"/>
      <c r="X128" s="192"/>
      <c r="Y128" s="192"/>
      <c r="Z128" s="192"/>
    </row>
    <row r="129" spans="1:26" ht="15.75">
      <c r="A129" s="192" t="e">
        <v>#REF!</v>
      </c>
      <c r="B129" s="192" t="s">
        <v>474</v>
      </c>
      <c r="C129" s="224">
        <v>0</v>
      </c>
      <c r="D129" s="224">
        <v>0</v>
      </c>
      <c r="E129" s="224">
        <v>0</v>
      </c>
      <c r="F129" s="224">
        <v>0</v>
      </c>
      <c r="G129" s="224">
        <v>0</v>
      </c>
      <c r="H129" s="224">
        <v>0</v>
      </c>
      <c r="I129" s="224">
        <v>0</v>
      </c>
      <c r="J129" s="224">
        <v>0</v>
      </c>
      <c r="K129" s="224">
        <v>0</v>
      </c>
      <c r="L129" s="224">
        <v>0</v>
      </c>
      <c r="M129" s="224">
        <v>0</v>
      </c>
      <c r="N129" s="224">
        <v>0</v>
      </c>
      <c r="O129" s="205">
        <v>0</v>
      </c>
      <c r="P129" s="206">
        <v>0</v>
      </c>
      <c r="Q129" s="206">
        <v>0</v>
      </c>
      <c r="R129" s="192"/>
      <c r="S129" s="198" t="s">
        <v>283</v>
      </c>
      <c r="T129" s="199" t="s">
        <v>283</v>
      </c>
      <c r="U129" s="192"/>
      <c r="V129" s="192"/>
      <c r="W129" s="192"/>
      <c r="X129" s="192"/>
      <c r="Y129" s="192"/>
      <c r="Z129" s="192"/>
    </row>
    <row r="130" spans="1:26" ht="15.75">
      <c r="A130" s="192" t="e">
        <v>#REF!</v>
      </c>
      <c r="B130" s="192"/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198" t="s">
        <v>283</v>
      </c>
      <c r="P130" s="199" t="s">
        <v>283</v>
      </c>
      <c r="Q130" s="199" t="s">
        <v>283</v>
      </c>
      <c r="R130" s="192"/>
      <c r="S130" s="198" t="s">
        <v>283</v>
      </c>
      <c r="T130" s="199" t="s">
        <v>283</v>
      </c>
      <c r="U130" s="192"/>
      <c r="V130" s="192"/>
      <c r="W130" s="192"/>
      <c r="X130" s="192"/>
      <c r="Y130" s="192"/>
      <c r="Z130" s="192"/>
    </row>
    <row r="131" spans="1:26" ht="15.75">
      <c r="A131" s="192" t="e">
        <v>#REF!</v>
      </c>
      <c r="B131" s="192" t="s">
        <v>475</v>
      </c>
      <c r="C131" s="224">
        <v>0.76800000000000002</v>
      </c>
      <c r="D131" s="224">
        <v>0.76800000000000002</v>
      </c>
      <c r="E131" s="224">
        <v>0.67120000000000002</v>
      </c>
      <c r="F131" s="224">
        <v>0.67120000000000002</v>
      </c>
      <c r="G131" s="224">
        <v>0.67120000000000002</v>
      </c>
      <c r="H131" s="224">
        <v>0.67120000000000002</v>
      </c>
      <c r="I131" s="224">
        <v>0.28239999999999998</v>
      </c>
      <c r="J131" s="224">
        <v>0.28239999999999998</v>
      </c>
      <c r="K131" s="224">
        <v>0.28239999999999998</v>
      </c>
      <c r="L131" s="224">
        <v>0.25240000000000001</v>
      </c>
      <c r="M131" s="224">
        <v>0.25240000000000001</v>
      </c>
      <c r="N131" s="224">
        <v>0.25240000000000001</v>
      </c>
      <c r="O131" s="205">
        <v>572.24</v>
      </c>
      <c r="P131" s="206">
        <v>530.08000000000004</v>
      </c>
      <c r="Q131" s="206">
        <v>42.16</v>
      </c>
      <c r="R131" s="192"/>
      <c r="S131" s="198" t="s">
        <v>283</v>
      </c>
      <c r="T131" s="199" t="s">
        <v>283</v>
      </c>
      <c r="U131" s="192"/>
      <c r="V131" s="192"/>
      <c r="W131" s="192"/>
      <c r="X131" s="192"/>
      <c r="Y131" s="192"/>
      <c r="Z131" s="192"/>
    </row>
    <row r="132" spans="1:26" ht="15.75">
      <c r="A132" s="192" t="e">
        <v>#REF!</v>
      </c>
      <c r="B132" s="192"/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198" t="s">
        <v>283</v>
      </c>
      <c r="P132" s="199" t="s">
        <v>283</v>
      </c>
      <c r="Q132" s="199" t="s">
        <v>283</v>
      </c>
      <c r="R132" s="192"/>
      <c r="S132" s="198" t="s">
        <v>283</v>
      </c>
      <c r="T132" s="199" t="s">
        <v>283</v>
      </c>
      <c r="U132" s="192"/>
      <c r="V132" s="192"/>
      <c r="W132" s="192"/>
      <c r="X132" s="192"/>
      <c r="Y132" s="192"/>
      <c r="Z132" s="192"/>
    </row>
    <row r="133" spans="1:26" ht="15.75">
      <c r="A133" s="192" t="e">
        <v>#REF!</v>
      </c>
      <c r="B133" s="207" t="s">
        <v>486</v>
      </c>
      <c r="C133" s="226">
        <v>214.25</v>
      </c>
      <c r="D133" s="226">
        <v>336.79</v>
      </c>
      <c r="E133" s="226">
        <v>390.21</v>
      </c>
      <c r="F133" s="226">
        <v>333.72</v>
      </c>
      <c r="G133" s="226">
        <v>281.58</v>
      </c>
      <c r="H133" s="226">
        <v>168.6</v>
      </c>
      <c r="I133" s="226">
        <v>79.5</v>
      </c>
      <c r="J133" s="226">
        <v>47.42</v>
      </c>
      <c r="K133" s="226">
        <v>38.51</v>
      </c>
      <c r="L133" s="226">
        <v>38.03</v>
      </c>
      <c r="M133" s="226">
        <v>38.03</v>
      </c>
      <c r="N133" s="226">
        <v>97.61</v>
      </c>
      <c r="O133" s="208">
        <v>2064.25</v>
      </c>
      <c r="P133" s="209">
        <v>1725.14</v>
      </c>
      <c r="Q133" s="209">
        <v>339.11</v>
      </c>
      <c r="R133" s="192"/>
      <c r="S133" s="208">
        <v>287.52</v>
      </c>
      <c r="T133" s="209">
        <v>56.52</v>
      </c>
      <c r="U133" s="192"/>
      <c r="V133" s="192"/>
      <c r="W133" s="192"/>
      <c r="X133" s="192"/>
      <c r="Y133" s="192"/>
      <c r="Z133" s="192"/>
    </row>
    <row r="134" spans="1:26" ht="15.75">
      <c r="A134" s="192" t="e">
        <v>#REF!</v>
      </c>
      <c r="B134" s="192"/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198" t="s">
        <v>283</v>
      </c>
      <c r="P134" s="199" t="s">
        <v>283</v>
      </c>
      <c r="Q134" s="199" t="s">
        <v>283</v>
      </c>
      <c r="R134" s="192"/>
      <c r="S134" s="198" t="s">
        <v>283</v>
      </c>
      <c r="T134" s="199" t="s">
        <v>283</v>
      </c>
      <c r="U134" s="192"/>
      <c r="V134" s="192"/>
      <c r="W134" s="192"/>
      <c r="X134" s="192"/>
      <c r="Y134" s="192"/>
      <c r="Z134" s="192"/>
    </row>
    <row r="135" spans="1:26" ht="15.75">
      <c r="A135" s="192" t="e">
        <v>#REF!</v>
      </c>
      <c r="B135" s="210" t="s">
        <v>487</v>
      </c>
      <c r="C135" s="228" t="s">
        <v>283</v>
      </c>
      <c r="D135" s="228" t="s">
        <v>283</v>
      </c>
      <c r="E135" s="228" t="s">
        <v>283</v>
      </c>
      <c r="F135" s="228" t="s">
        <v>283</v>
      </c>
      <c r="G135" s="228" t="s">
        <v>283</v>
      </c>
      <c r="H135" s="228" t="s">
        <v>283</v>
      </c>
      <c r="I135" s="228" t="s">
        <v>283</v>
      </c>
      <c r="J135" s="228" t="s">
        <v>283</v>
      </c>
      <c r="K135" s="228" t="s">
        <v>283</v>
      </c>
      <c r="L135" s="228" t="s">
        <v>283</v>
      </c>
      <c r="M135" s="228" t="s">
        <v>283</v>
      </c>
      <c r="N135" s="228" t="s">
        <v>283</v>
      </c>
      <c r="O135" s="211" t="s">
        <v>283</v>
      </c>
      <c r="P135" s="212" t="s">
        <v>283</v>
      </c>
      <c r="Q135" s="212" t="s">
        <v>283</v>
      </c>
      <c r="R135" s="210" t="s">
        <v>283</v>
      </c>
      <c r="S135" s="211" t="s">
        <v>283</v>
      </c>
      <c r="T135" s="212" t="s">
        <v>283</v>
      </c>
      <c r="U135" s="192"/>
      <c r="V135" s="192"/>
      <c r="W135" s="192"/>
      <c r="X135" s="192"/>
      <c r="Y135" s="192"/>
      <c r="Z135" s="192"/>
    </row>
    <row r="136" spans="1:26" ht="15.75">
      <c r="A136" s="192" t="e">
        <v>#REF!</v>
      </c>
      <c r="B136" s="239" t="s">
        <v>480</v>
      </c>
      <c r="C136" s="229">
        <v>2.5299999999999998</v>
      </c>
      <c r="D136" s="229">
        <v>4.05</v>
      </c>
      <c r="E136" s="229">
        <v>4.92</v>
      </c>
      <c r="F136" s="229">
        <v>4.1900000000000004</v>
      </c>
      <c r="G136" s="229">
        <v>3.51</v>
      </c>
      <c r="H136" s="229">
        <v>2.0499999999999998</v>
      </c>
      <c r="I136" s="229">
        <v>1.1000000000000001</v>
      </c>
      <c r="J136" s="229">
        <v>0.59</v>
      </c>
      <c r="K136" s="229">
        <v>0.45</v>
      </c>
      <c r="L136" s="229">
        <v>0.45</v>
      </c>
      <c r="M136" s="229">
        <v>0.45</v>
      </c>
      <c r="N136" s="229">
        <v>1.41</v>
      </c>
      <c r="O136" s="213">
        <v>25.68</v>
      </c>
      <c r="P136" s="214">
        <v>21.24</v>
      </c>
      <c r="Q136" s="214">
        <v>4.4400000000000004</v>
      </c>
      <c r="R136" s="239"/>
      <c r="S136" s="213">
        <v>3.54</v>
      </c>
      <c r="T136" s="214">
        <v>0.74</v>
      </c>
      <c r="U136" s="192"/>
      <c r="V136" s="192"/>
      <c r="W136" s="192"/>
      <c r="X136" s="192"/>
      <c r="Y136" s="192"/>
      <c r="Z136" s="192"/>
    </row>
    <row r="137" spans="1:26" ht="15.75">
      <c r="A137" s="192" t="e">
        <v>#REF!</v>
      </c>
      <c r="B137" s="215" t="s">
        <v>481</v>
      </c>
      <c r="C137" s="230">
        <v>1.2E-2</v>
      </c>
      <c r="D137" s="230">
        <v>1.2E-2</v>
      </c>
      <c r="E137" s="230">
        <v>1.2999999999999999E-2</v>
      </c>
      <c r="F137" s="230">
        <v>1.2999999999999999E-2</v>
      </c>
      <c r="G137" s="230">
        <v>1.2999999999999999E-2</v>
      </c>
      <c r="H137" s="230">
        <v>1.2E-2</v>
      </c>
      <c r="I137" s="230">
        <v>1.4E-2</v>
      </c>
      <c r="J137" s="230">
        <v>1.2999999999999999E-2</v>
      </c>
      <c r="K137" s="230">
        <v>1.2E-2</v>
      </c>
      <c r="L137" s="230">
        <v>1.2E-2</v>
      </c>
      <c r="M137" s="230">
        <v>1.2E-2</v>
      </c>
      <c r="N137" s="230">
        <v>1.4999999999999999E-2</v>
      </c>
      <c r="O137" s="216">
        <v>1.2999999999999999E-2</v>
      </c>
      <c r="P137" s="217">
        <v>1.2E-2</v>
      </c>
      <c r="Q137" s="217">
        <v>1.2999999999999999E-2</v>
      </c>
      <c r="R137" s="215" t="s">
        <v>283</v>
      </c>
      <c r="S137" s="216">
        <v>1.2E-2</v>
      </c>
      <c r="T137" s="217">
        <v>1.2999999999999999E-2</v>
      </c>
      <c r="U137" s="192"/>
      <c r="V137" s="192"/>
      <c r="W137" s="192"/>
      <c r="X137" s="192"/>
      <c r="Y137" s="192"/>
      <c r="Z137" s="192"/>
    </row>
    <row r="138" spans="1:26" ht="15.75">
      <c r="A138" s="192"/>
      <c r="B138" s="192"/>
      <c r="C138" s="220"/>
      <c r="D138" s="220"/>
      <c r="E138" s="220"/>
      <c r="F138" s="220"/>
      <c r="G138" s="220"/>
      <c r="H138" s="220"/>
      <c r="I138" s="220"/>
      <c r="J138" s="220"/>
      <c r="K138" s="220"/>
      <c r="L138" s="220"/>
      <c r="M138" s="220"/>
      <c r="N138" s="220"/>
      <c r="O138" s="192"/>
      <c r="P138" s="192"/>
      <c r="Q138" s="192"/>
      <c r="R138" s="192"/>
      <c r="S138" s="192"/>
      <c r="T138" s="192"/>
      <c r="U138" s="192"/>
      <c r="V138" s="192"/>
      <c r="W138" s="192"/>
      <c r="X138" s="192"/>
      <c r="Y138" s="192"/>
      <c r="Z138" s="192"/>
    </row>
    <row r="139" spans="1:26" ht="15.75">
      <c r="A139" s="192"/>
      <c r="B139" s="192"/>
      <c r="C139" s="220"/>
      <c r="D139" s="220"/>
      <c r="E139" s="220"/>
      <c r="F139" s="220"/>
      <c r="G139" s="220"/>
      <c r="H139" s="220"/>
      <c r="I139" s="220"/>
      <c r="J139" s="220"/>
      <c r="K139" s="220"/>
      <c r="L139" s="220"/>
      <c r="M139" s="220"/>
      <c r="N139" s="220"/>
      <c r="O139" s="192"/>
      <c r="P139" s="192"/>
      <c r="Q139" s="192"/>
      <c r="R139" s="192"/>
      <c r="S139" s="192"/>
      <c r="T139" s="192"/>
      <c r="U139" s="192"/>
      <c r="V139" s="192"/>
      <c r="W139" s="192"/>
      <c r="X139" s="192"/>
      <c r="Y139" s="192"/>
      <c r="Z139" s="192"/>
    </row>
    <row r="140" spans="1:26" ht="15.75">
      <c r="A140" s="192"/>
      <c r="B140" s="192"/>
      <c r="C140" s="220"/>
      <c r="D140" s="220"/>
      <c r="E140" s="220"/>
      <c r="F140" s="220"/>
      <c r="G140" s="220"/>
      <c r="H140" s="220"/>
      <c r="I140" s="220"/>
      <c r="J140" s="220"/>
      <c r="K140" s="220"/>
      <c r="L140" s="220"/>
      <c r="M140" s="220"/>
      <c r="N140" s="220"/>
      <c r="O140" s="192"/>
      <c r="P140" s="192"/>
      <c r="Q140" s="192"/>
      <c r="R140" s="192"/>
      <c r="S140" s="192"/>
      <c r="T140" s="192"/>
      <c r="U140" s="192"/>
      <c r="V140" s="192"/>
      <c r="W140" s="192"/>
      <c r="X140" s="192"/>
      <c r="Y140" s="192"/>
      <c r="Z140" s="192"/>
    </row>
    <row r="141" spans="1:26" ht="15.75">
      <c r="A141" s="192"/>
      <c r="B141" s="192"/>
      <c r="C141" s="220"/>
      <c r="D141" s="220"/>
      <c r="E141" s="220"/>
      <c r="F141" s="220"/>
      <c r="G141" s="220"/>
      <c r="H141" s="220"/>
      <c r="I141" s="220"/>
      <c r="J141" s="220"/>
      <c r="K141" s="220"/>
      <c r="L141" s="220"/>
      <c r="M141" s="220"/>
      <c r="N141" s="220"/>
      <c r="O141" s="192"/>
      <c r="P141" s="192"/>
      <c r="Q141" s="192"/>
      <c r="R141" s="192"/>
      <c r="S141" s="192"/>
      <c r="T141" s="192"/>
      <c r="U141" s="192"/>
      <c r="V141" s="192"/>
      <c r="W141" s="192"/>
      <c r="X141" s="192"/>
      <c r="Y141" s="192"/>
      <c r="Z141" s="192"/>
    </row>
    <row r="142" spans="1:26" ht="15.75">
      <c r="A142" s="192"/>
      <c r="B142" s="218"/>
      <c r="C142" s="220"/>
      <c r="D142" s="220"/>
      <c r="E142" s="220"/>
      <c r="F142" s="220"/>
      <c r="G142" s="220"/>
      <c r="H142" s="220"/>
      <c r="I142" s="220"/>
      <c r="J142" s="220"/>
      <c r="K142" s="220"/>
      <c r="L142" s="220"/>
      <c r="M142" s="220"/>
      <c r="N142" s="220"/>
      <c r="O142" s="192"/>
      <c r="P142" s="192"/>
      <c r="Q142" s="192"/>
      <c r="R142" s="192"/>
      <c r="S142" s="192"/>
      <c r="T142" s="192"/>
      <c r="U142" s="192"/>
      <c r="V142" s="192"/>
      <c r="W142" s="192"/>
      <c r="X142" s="192"/>
      <c r="Y142" s="192"/>
      <c r="Z142" s="192"/>
    </row>
    <row r="143" spans="1:26" ht="15.75">
      <c r="A143" s="192"/>
      <c r="B143" s="192"/>
      <c r="C143" s="220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192"/>
      <c r="P143" s="192"/>
      <c r="Q143" s="192"/>
      <c r="R143" s="192"/>
      <c r="S143" s="192"/>
      <c r="T143" s="192"/>
      <c r="U143" s="192"/>
      <c r="V143" s="192"/>
      <c r="W143" s="192"/>
      <c r="X143" s="192"/>
      <c r="Y143" s="192"/>
      <c r="Z143" s="192"/>
    </row>
    <row r="144" spans="1:26" ht="15.75">
      <c r="A144" s="192"/>
      <c r="B144" s="219"/>
      <c r="C144" s="220"/>
      <c r="D144" s="220"/>
      <c r="E144" s="220"/>
      <c r="F144" s="220"/>
      <c r="G144" s="220"/>
      <c r="H144" s="220"/>
      <c r="I144" s="220"/>
      <c r="J144" s="220"/>
      <c r="K144" s="220"/>
      <c r="L144" s="220"/>
      <c r="M144" s="220"/>
      <c r="N144" s="220"/>
      <c r="O144" s="192"/>
      <c r="P144" s="192"/>
      <c r="Q144" s="192"/>
      <c r="R144" s="192"/>
      <c r="S144" s="192"/>
      <c r="T144" s="192"/>
      <c r="U144" s="192"/>
      <c r="V144" s="192"/>
      <c r="W144" s="192"/>
      <c r="X144" s="192"/>
      <c r="Y144" s="192"/>
      <c r="Z144" s="192"/>
    </row>
    <row r="145" spans="1:26" ht="15.75">
      <c r="A145" s="192"/>
      <c r="B145" s="192"/>
      <c r="C145" s="220"/>
      <c r="D145" s="220"/>
      <c r="E145" s="220"/>
      <c r="F145" s="220"/>
      <c r="G145" s="220"/>
      <c r="H145" s="220"/>
      <c r="I145" s="220"/>
      <c r="J145" s="220"/>
      <c r="K145" s="220"/>
      <c r="L145" s="220"/>
      <c r="M145" s="220"/>
      <c r="N145" s="220"/>
      <c r="O145" s="192"/>
      <c r="P145" s="192"/>
      <c r="Q145" s="192"/>
      <c r="R145" s="192"/>
      <c r="S145" s="192"/>
      <c r="T145" s="192"/>
      <c r="U145" s="192"/>
      <c r="V145" s="192"/>
      <c r="W145" s="192"/>
      <c r="X145" s="192"/>
      <c r="Y145" s="192"/>
      <c r="Z145" s="192"/>
    </row>
    <row r="146" spans="1:26" ht="15.75">
      <c r="A146" s="192"/>
      <c r="B146" s="192"/>
      <c r="C146" s="220"/>
      <c r="D146" s="220"/>
      <c r="E146" s="220"/>
      <c r="F146" s="220"/>
      <c r="G146" s="220"/>
      <c r="H146" s="220"/>
      <c r="I146" s="220"/>
      <c r="J146" s="220"/>
      <c r="K146" s="220"/>
      <c r="L146" s="220"/>
      <c r="M146" s="220"/>
      <c r="N146" s="220"/>
      <c r="O146" s="192"/>
      <c r="P146" s="192"/>
      <c r="Q146" s="192"/>
      <c r="R146" s="192"/>
      <c r="S146" s="192"/>
      <c r="T146" s="192"/>
      <c r="U146" s="192"/>
      <c r="V146" s="192"/>
      <c r="W146" s="192"/>
      <c r="X146" s="192"/>
      <c r="Y146" s="192"/>
      <c r="Z146" s="192"/>
    </row>
    <row r="147" spans="1:26" ht="15.75">
      <c r="A147" s="192"/>
      <c r="B147" s="192"/>
      <c r="C147" s="220"/>
      <c r="D147" s="220"/>
      <c r="E147" s="220"/>
      <c r="F147" s="220"/>
      <c r="G147" s="220"/>
      <c r="H147" s="220"/>
      <c r="I147" s="220"/>
      <c r="J147" s="220"/>
      <c r="K147" s="220"/>
      <c r="L147" s="220"/>
      <c r="M147" s="220"/>
      <c r="N147" s="220"/>
      <c r="O147" s="192"/>
      <c r="P147" s="192"/>
      <c r="Q147" s="192"/>
      <c r="R147" s="192"/>
      <c r="S147" s="192"/>
      <c r="T147" s="192"/>
      <c r="U147" s="192"/>
      <c r="V147" s="192"/>
      <c r="W147" s="192"/>
      <c r="X147" s="192"/>
      <c r="Y147" s="192"/>
      <c r="Z147" s="192"/>
    </row>
    <row r="148" spans="1:26" ht="15.75">
      <c r="A148" s="192"/>
      <c r="B148" s="192"/>
      <c r="C148" s="220"/>
      <c r="D148" s="220"/>
      <c r="E148" s="220"/>
      <c r="F148" s="220"/>
      <c r="G148" s="220"/>
      <c r="H148" s="220"/>
      <c r="I148" s="220"/>
      <c r="J148" s="220"/>
      <c r="K148" s="220"/>
      <c r="L148" s="220"/>
      <c r="M148" s="220"/>
      <c r="N148" s="220"/>
      <c r="O148" s="192"/>
      <c r="P148" s="192"/>
      <c r="Q148" s="192"/>
      <c r="R148" s="192"/>
      <c r="S148" s="192"/>
      <c r="T148" s="192"/>
      <c r="U148" s="192"/>
      <c r="V148" s="192"/>
      <c r="W148" s="192"/>
      <c r="X148" s="192"/>
      <c r="Y148" s="192"/>
      <c r="Z148" s="192"/>
    </row>
    <row r="149" spans="1:26" ht="15.75">
      <c r="A149" s="192"/>
      <c r="B149" s="192"/>
      <c r="C149" s="220"/>
      <c r="D149" s="220"/>
      <c r="E149" s="220"/>
      <c r="F149" s="220"/>
      <c r="G149" s="220"/>
      <c r="H149" s="220"/>
      <c r="I149" s="220"/>
      <c r="J149" s="220"/>
      <c r="K149" s="220"/>
      <c r="L149" s="220"/>
      <c r="M149" s="220"/>
      <c r="N149" s="220"/>
      <c r="O149" s="192"/>
      <c r="P149" s="192"/>
      <c r="Q149" s="192"/>
      <c r="R149" s="192"/>
      <c r="S149" s="192"/>
      <c r="T149" s="192"/>
      <c r="U149" s="192"/>
      <c r="V149" s="192"/>
      <c r="W149" s="192"/>
      <c r="X149" s="192"/>
      <c r="Y149" s="192"/>
      <c r="Z149" s="192"/>
    </row>
    <row r="150" spans="1:26" ht="15.75">
      <c r="A150" s="192"/>
      <c r="B150" s="192"/>
      <c r="C150" s="220"/>
      <c r="D150" s="220"/>
      <c r="E150" s="220"/>
      <c r="F150" s="220"/>
      <c r="G150" s="220"/>
      <c r="H150" s="220"/>
      <c r="I150" s="220"/>
      <c r="J150" s="220"/>
      <c r="K150" s="220"/>
      <c r="L150" s="220"/>
      <c r="M150" s="220"/>
      <c r="N150" s="220"/>
      <c r="O150" s="192"/>
      <c r="P150" s="192"/>
      <c r="Q150" s="192"/>
      <c r="R150" s="192"/>
      <c r="S150" s="192"/>
      <c r="T150" s="192"/>
      <c r="U150" s="192"/>
      <c r="V150" s="192"/>
      <c r="W150" s="192"/>
      <c r="X150" s="192"/>
      <c r="Y150" s="192"/>
      <c r="Z150" s="192"/>
    </row>
    <row r="151" spans="1:26" ht="15.75">
      <c r="A151" s="192"/>
      <c r="B151" s="192"/>
      <c r="C151" s="220"/>
      <c r="D151" s="220"/>
      <c r="E151" s="220"/>
      <c r="F151" s="220"/>
      <c r="G151" s="220"/>
      <c r="H151" s="220"/>
      <c r="I151" s="220"/>
      <c r="J151" s="220"/>
      <c r="K151" s="220"/>
      <c r="L151" s="220"/>
      <c r="M151" s="220"/>
      <c r="N151" s="220"/>
      <c r="O151" s="192"/>
      <c r="P151" s="192"/>
      <c r="Q151" s="192"/>
      <c r="R151" s="192"/>
      <c r="S151" s="192"/>
      <c r="T151" s="192"/>
      <c r="U151" s="192"/>
      <c r="V151" s="192"/>
      <c r="W151" s="192"/>
      <c r="X151" s="192"/>
      <c r="Y151" s="192"/>
      <c r="Z151" s="192"/>
    </row>
    <row r="152" spans="1:26" ht="15.75">
      <c r="A152" s="192"/>
      <c r="B152" s="192"/>
      <c r="C152" s="220"/>
      <c r="D152" s="220"/>
      <c r="E152" s="220"/>
      <c r="F152" s="220"/>
      <c r="G152" s="220"/>
      <c r="H152" s="220"/>
      <c r="I152" s="220"/>
      <c r="J152" s="220"/>
      <c r="K152" s="220"/>
      <c r="L152" s="220"/>
      <c r="M152" s="220"/>
      <c r="N152" s="220"/>
      <c r="O152" s="192"/>
      <c r="P152" s="192"/>
      <c r="Q152" s="192"/>
      <c r="R152" s="192"/>
      <c r="S152" s="192"/>
      <c r="T152" s="192"/>
      <c r="U152" s="192"/>
      <c r="V152" s="192"/>
      <c r="W152" s="192"/>
      <c r="X152" s="192"/>
      <c r="Y152" s="192"/>
      <c r="Z152" s="192"/>
    </row>
    <row r="153" spans="1:26" ht="15.75">
      <c r="A153" s="192"/>
      <c r="B153" s="192"/>
      <c r="C153" s="220"/>
      <c r="D153" s="220"/>
      <c r="E153" s="220"/>
      <c r="F153" s="220"/>
      <c r="G153" s="220"/>
      <c r="H153" s="220"/>
      <c r="I153" s="220"/>
      <c r="J153" s="220"/>
      <c r="K153" s="220"/>
      <c r="L153" s="220"/>
      <c r="M153" s="220"/>
      <c r="N153" s="220"/>
      <c r="O153" s="192"/>
      <c r="P153" s="192"/>
      <c r="Q153" s="192"/>
      <c r="R153" s="192"/>
      <c r="S153" s="192"/>
      <c r="T153" s="192"/>
      <c r="U153" s="192"/>
      <c r="V153" s="192"/>
      <c r="W153" s="192"/>
      <c r="X153" s="192"/>
      <c r="Y153" s="192"/>
      <c r="Z153" s="192"/>
    </row>
    <row r="154" spans="1:26" ht="15.75">
      <c r="A154" s="192"/>
      <c r="B154" s="192"/>
      <c r="C154" s="220"/>
      <c r="D154" s="220"/>
      <c r="E154" s="220"/>
      <c r="F154" s="220"/>
      <c r="G154" s="220"/>
      <c r="H154" s="220"/>
      <c r="I154" s="220"/>
      <c r="J154" s="220"/>
      <c r="K154" s="220"/>
      <c r="L154" s="220"/>
      <c r="M154" s="220"/>
      <c r="N154" s="220"/>
      <c r="O154" s="192"/>
      <c r="P154" s="192"/>
      <c r="Q154" s="192"/>
      <c r="R154" s="192"/>
      <c r="S154" s="192"/>
      <c r="T154" s="192"/>
      <c r="U154" s="192"/>
      <c r="V154" s="192"/>
      <c r="W154" s="192"/>
      <c r="X154" s="192"/>
      <c r="Y154" s="192"/>
      <c r="Z154" s="192"/>
    </row>
    <row r="155" spans="1:26" ht="15.75">
      <c r="A155" s="192"/>
      <c r="B155" s="192"/>
      <c r="C155" s="220"/>
      <c r="D155" s="220"/>
      <c r="E155" s="220"/>
      <c r="F155" s="220"/>
      <c r="G155" s="220"/>
      <c r="H155" s="220"/>
      <c r="I155" s="220"/>
      <c r="J155" s="220"/>
      <c r="K155" s="220"/>
      <c r="L155" s="220"/>
      <c r="M155" s="220"/>
      <c r="N155" s="220"/>
      <c r="O155" s="192"/>
      <c r="P155" s="192"/>
      <c r="Q155" s="192"/>
      <c r="R155" s="192"/>
      <c r="S155" s="192"/>
      <c r="T155" s="192"/>
      <c r="U155" s="192"/>
      <c r="V155" s="192"/>
      <c r="W155" s="192"/>
      <c r="X155" s="192"/>
      <c r="Y155" s="192"/>
      <c r="Z155" s="192"/>
    </row>
    <row r="156" spans="1:26" ht="15.75">
      <c r="A156" s="192"/>
      <c r="B156" s="192"/>
      <c r="C156" s="220"/>
      <c r="D156" s="220"/>
      <c r="E156" s="220"/>
      <c r="F156" s="220"/>
      <c r="G156" s="220"/>
      <c r="H156" s="220"/>
      <c r="I156" s="220"/>
      <c r="J156" s="220"/>
      <c r="K156" s="220"/>
      <c r="L156" s="220"/>
      <c r="M156" s="220"/>
      <c r="N156" s="220"/>
      <c r="O156" s="192"/>
      <c r="P156" s="192"/>
      <c r="Q156" s="192"/>
      <c r="R156" s="192"/>
      <c r="S156" s="192"/>
      <c r="T156" s="192"/>
      <c r="U156" s="192"/>
      <c r="V156" s="192"/>
      <c r="W156" s="192"/>
      <c r="X156" s="192"/>
      <c r="Y156" s="192"/>
      <c r="Z156" s="192"/>
    </row>
    <row r="157" spans="1:26" ht="15.75">
      <c r="A157" s="192"/>
      <c r="B157" s="192"/>
      <c r="C157" s="220"/>
      <c r="D157" s="220"/>
      <c r="E157" s="220"/>
      <c r="F157" s="220"/>
      <c r="G157" s="220"/>
      <c r="H157" s="220"/>
      <c r="I157" s="220"/>
      <c r="J157" s="220"/>
      <c r="K157" s="220"/>
      <c r="L157" s="220"/>
      <c r="M157" s="220"/>
      <c r="N157" s="220"/>
      <c r="O157" s="192"/>
      <c r="P157" s="192"/>
      <c r="Q157" s="192"/>
      <c r="R157" s="192"/>
      <c r="S157" s="192"/>
      <c r="T157" s="192"/>
      <c r="U157" s="192"/>
      <c r="V157" s="192"/>
      <c r="W157" s="192"/>
      <c r="X157" s="192"/>
      <c r="Y157" s="192"/>
      <c r="Z157" s="192"/>
    </row>
    <row r="158" spans="1:26" ht="15.75">
      <c r="A158" s="192"/>
      <c r="B158" s="192"/>
      <c r="C158" s="220"/>
      <c r="D158" s="220"/>
      <c r="E158" s="220"/>
      <c r="F158" s="220"/>
      <c r="G158" s="220"/>
      <c r="H158" s="220"/>
      <c r="I158" s="220"/>
      <c r="J158" s="220"/>
      <c r="K158" s="220"/>
      <c r="L158" s="220"/>
      <c r="M158" s="220"/>
      <c r="N158" s="220"/>
      <c r="O158" s="192"/>
      <c r="P158" s="192"/>
      <c r="Q158" s="192"/>
      <c r="R158" s="192"/>
      <c r="S158" s="192"/>
      <c r="T158" s="192"/>
      <c r="U158" s="192"/>
      <c r="V158" s="192"/>
      <c r="W158" s="192"/>
      <c r="X158" s="192"/>
      <c r="Y158" s="192"/>
      <c r="Z158" s="192"/>
    </row>
    <row r="159" spans="1:26" ht="15.75">
      <c r="A159" s="192"/>
      <c r="B159" s="192"/>
      <c r="C159" s="220"/>
      <c r="D159" s="220"/>
      <c r="E159" s="220"/>
      <c r="F159" s="220"/>
      <c r="G159" s="220"/>
      <c r="H159" s="220"/>
      <c r="I159" s="220"/>
      <c r="J159" s="220"/>
      <c r="K159" s="220"/>
      <c r="L159" s="220"/>
      <c r="M159" s="220"/>
      <c r="N159" s="220"/>
      <c r="O159" s="192"/>
      <c r="P159" s="192"/>
      <c r="Q159" s="192"/>
      <c r="R159" s="192"/>
      <c r="S159" s="192"/>
      <c r="T159" s="192"/>
      <c r="U159" s="192"/>
      <c r="V159" s="192"/>
      <c r="W159" s="192"/>
      <c r="X159" s="192"/>
      <c r="Y159" s="192"/>
      <c r="Z159" s="192"/>
    </row>
    <row r="160" spans="1:26" ht="15.75">
      <c r="A160" s="192"/>
      <c r="B160" s="192"/>
      <c r="C160" s="220"/>
      <c r="D160" s="220"/>
      <c r="E160" s="220"/>
      <c r="F160" s="220"/>
      <c r="G160" s="220"/>
      <c r="H160" s="220"/>
      <c r="I160" s="220"/>
      <c r="J160" s="220"/>
      <c r="K160" s="220"/>
      <c r="L160" s="220"/>
      <c r="M160" s="220"/>
      <c r="N160" s="220"/>
      <c r="O160" s="192"/>
      <c r="P160" s="192"/>
      <c r="Q160" s="192"/>
      <c r="R160" s="192"/>
      <c r="S160" s="192"/>
      <c r="T160" s="192"/>
      <c r="U160" s="192"/>
      <c r="V160" s="192"/>
      <c r="W160" s="192"/>
      <c r="X160" s="192"/>
      <c r="Y160" s="192"/>
      <c r="Z160" s="192"/>
    </row>
    <row r="161" spans="1:26" ht="15.75">
      <c r="A161" s="192"/>
      <c r="B161" s="192"/>
      <c r="C161" s="220"/>
      <c r="D161" s="220"/>
      <c r="E161" s="220"/>
      <c r="F161" s="220"/>
      <c r="G161" s="220"/>
      <c r="H161" s="220"/>
      <c r="I161" s="220"/>
      <c r="J161" s="220"/>
      <c r="K161" s="220"/>
      <c r="L161" s="220"/>
      <c r="M161" s="220"/>
      <c r="N161" s="220"/>
      <c r="O161" s="192"/>
      <c r="P161" s="192"/>
      <c r="Q161" s="192"/>
      <c r="R161" s="192"/>
      <c r="S161" s="192"/>
      <c r="T161" s="192"/>
      <c r="U161" s="192"/>
      <c r="V161" s="192"/>
      <c r="W161" s="192"/>
      <c r="X161" s="192"/>
      <c r="Y161" s="192"/>
      <c r="Z161" s="192"/>
    </row>
    <row r="162" spans="1:26" ht="15.75">
      <c r="A162" s="192"/>
      <c r="B162" s="192"/>
      <c r="C162" s="220"/>
      <c r="D162" s="220"/>
      <c r="E162" s="220"/>
      <c r="F162" s="220"/>
      <c r="G162" s="220"/>
      <c r="H162" s="220"/>
      <c r="I162" s="220"/>
      <c r="J162" s="220"/>
      <c r="K162" s="220"/>
      <c r="L162" s="220"/>
      <c r="M162" s="220"/>
      <c r="N162" s="220"/>
      <c r="O162" s="192"/>
      <c r="P162" s="192"/>
      <c r="Q162" s="192"/>
      <c r="R162" s="192"/>
      <c r="S162" s="192"/>
      <c r="T162" s="192"/>
      <c r="U162" s="192"/>
      <c r="V162" s="192"/>
      <c r="W162" s="192"/>
      <c r="X162" s="192"/>
      <c r="Y162" s="192"/>
      <c r="Z162" s="192"/>
    </row>
    <row r="163" spans="1:26" ht="15.75">
      <c r="A163" s="192"/>
      <c r="B163" s="192"/>
      <c r="C163" s="220"/>
      <c r="D163" s="220"/>
      <c r="E163" s="220"/>
      <c r="F163" s="220"/>
      <c r="G163" s="220"/>
      <c r="H163" s="220"/>
      <c r="I163" s="220"/>
      <c r="J163" s="220"/>
      <c r="K163" s="220"/>
      <c r="L163" s="220"/>
      <c r="M163" s="220"/>
      <c r="N163" s="220"/>
      <c r="O163" s="192"/>
      <c r="P163" s="192"/>
      <c r="Q163" s="192"/>
      <c r="R163" s="192"/>
      <c r="S163" s="192"/>
      <c r="T163" s="192"/>
      <c r="U163" s="192"/>
      <c r="V163" s="192"/>
      <c r="W163" s="192"/>
      <c r="X163" s="192"/>
      <c r="Y163" s="192"/>
      <c r="Z163" s="192"/>
    </row>
    <row r="164" spans="1:26" ht="15.75">
      <c r="A164" s="192"/>
      <c r="B164" s="192"/>
      <c r="C164" s="220"/>
      <c r="D164" s="220"/>
      <c r="E164" s="220"/>
      <c r="F164" s="220"/>
      <c r="G164" s="220"/>
      <c r="H164" s="220"/>
      <c r="I164" s="220"/>
      <c r="J164" s="220"/>
      <c r="K164" s="220"/>
      <c r="L164" s="220"/>
      <c r="M164" s="220"/>
      <c r="N164" s="220"/>
      <c r="O164" s="192"/>
      <c r="P164" s="192"/>
      <c r="Q164" s="192"/>
      <c r="R164" s="192"/>
      <c r="S164" s="192"/>
      <c r="T164" s="192"/>
      <c r="U164" s="192"/>
      <c r="V164" s="192"/>
      <c r="W164" s="192"/>
      <c r="X164" s="192"/>
      <c r="Y164" s="192"/>
      <c r="Z164" s="192"/>
    </row>
    <row r="165" spans="1:26" ht="15.75">
      <c r="A165" s="192"/>
      <c r="B165" s="192"/>
      <c r="C165" s="220"/>
      <c r="D165" s="220"/>
      <c r="E165" s="220"/>
      <c r="F165" s="220"/>
      <c r="G165" s="220"/>
      <c r="H165" s="220"/>
      <c r="I165" s="220"/>
      <c r="J165" s="220"/>
      <c r="K165" s="220"/>
      <c r="L165" s="220"/>
      <c r="M165" s="220"/>
      <c r="N165" s="220"/>
      <c r="O165" s="192"/>
      <c r="P165" s="192"/>
      <c r="Q165" s="192"/>
      <c r="R165" s="192"/>
      <c r="S165" s="192"/>
      <c r="T165" s="192"/>
      <c r="U165" s="192"/>
      <c r="V165" s="192"/>
      <c r="W165" s="192"/>
      <c r="X165" s="192"/>
      <c r="Y165" s="192"/>
      <c r="Z165" s="192"/>
    </row>
    <row r="166" spans="1:26" ht="15.75">
      <c r="A166" s="192"/>
      <c r="B166" s="192"/>
      <c r="C166" s="220"/>
      <c r="D166" s="220"/>
      <c r="E166" s="220"/>
      <c r="F166" s="220"/>
      <c r="G166" s="220"/>
      <c r="H166" s="220"/>
      <c r="I166" s="220"/>
      <c r="J166" s="220"/>
      <c r="K166" s="220"/>
      <c r="L166" s="220"/>
      <c r="M166" s="220"/>
      <c r="N166" s="220"/>
      <c r="O166" s="192"/>
      <c r="P166" s="192"/>
      <c r="Q166" s="192"/>
      <c r="R166" s="192"/>
      <c r="S166" s="192"/>
      <c r="T166" s="192"/>
      <c r="U166" s="192"/>
      <c r="V166" s="192"/>
      <c r="W166" s="192"/>
      <c r="X166" s="192"/>
      <c r="Y166" s="192"/>
      <c r="Z166" s="192"/>
    </row>
    <row r="167" spans="1:26" ht="15.75">
      <c r="A167" s="192"/>
      <c r="B167" s="192"/>
      <c r="C167" s="220"/>
      <c r="D167" s="220"/>
      <c r="E167" s="220"/>
      <c r="F167" s="220"/>
      <c r="G167" s="220"/>
      <c r="H167" s="220"/>
      <c r="I167" s="220"/>
      <c r="J167" s="220"/>
      <c r="K167" s="220"/>
      <c r="L167" s="220"/>
      <c r="M167" s="220"/>
      <c r="N167" s="220"/>
      <c r="O167" s="192"/>
      <c r="P167" s="192"/>
      <c r="Q167" s="192"/>
      <c r="R167" s="192"/>
      <c r="S167" s="192"/>
      <c r="T167" s="192"/>
      <c r="U167" s="192"/>
      <c r="V167" s="192"/>
      <c r="W167" s="192"/>
      <c r="X167" s="192"/>
      <c r="Y167" s="192"/>
      <c r="Z167" s="192"/>
    </row>
    <row r="168" spans="1:26" ht="15.75">
      <c r="A168" s="192"/>
      <c r="B168" s="218"/>
      <c r="C168" s="220"/>
      <c r="D168" s="220"/>
      <c r="E168" s="220"/>
      <c r="F168" s="220"/>
      <c r="G168" s="220"/>
      <c r="H168" s="220"/>
      <c r="I168" s="220"/>
      <c r="J168" s="220"/>
      <c r="K168" s="220"/>
      <c r="L168" s="220"/>
      <c r="M168" s="220"/>
      <c r="N168" s="220"/>
      <c r="O168" s="192"/>
      <c r="P168" s="192"/>
      <c r="Q168" s="192"/>
      <c r="R168" s="192"/>
      <c r="S168" s="192"/>
      <c r="T168" s="192"/>
      <c r="U168" s="192"/>
      <c r="V168" s="192"/>
      <c r="W168" s="192"/>
      <c r="X168" s="192"/>
      <c r="Y168" s="192"/>
      <c r="Z168" s="192"/>
    </row>
    <row r="169" spans="1:26" ht="15.75">
      <c r="A169" s="192"/>
      <c r="B169" s="192"/>
      <c r="C169" s="220"/>
      <c r="D169" s="220"/>
      <c r="E169" s="220"/>
      <c r="F169" s="220"/>
      <c r="G169" s="220"/>
      <c r="H169" s="220"/>
      <c r="I169" s="220"/>
      <c r="J169" s="220"/>
      <c r="K169" s="220"/>
      <c r="L169" s="220"/>
      <c r="M169" s="220"/>
      <c r="N169" s="220"/>
      <c r="O169" s="192"/>
      <c r="P169" s="192"/>
      <c r="Q169" s="192"/>
      <c r="R169" s="192"/>
      <c r="S169" s="192"/>
      <c r="T169" s="192"/>
      <c r="U169" s="192"/>
      <c r="V169" s="192"/>
      <c r="W169" s="192"/>
      <c r="X169" s="192"/>
      <c r="Y169" s="192"/>
      <c r="Z169" s="192"/>
    </row>
    <row r="170" spans="1:26" ht="15.75">
      <c r="A170" s="192"/>
      <c r="B170" s="219"/>
      <c r="C170" s="220"/>
      <c r="D170" s="220"/>
      <c r="E170" s="220"/>
      <c r="F170" s="220"/>
      <c r="G170" s="220"/>
      <c r="H170" s="220"/>
      <c r="I170" s="220"/>
      <c r="J170" s="220"/>
      <c r="K170" s="220"/>
      <c r="L170" s="220"/>
      <c r="M170" s="220"/>
      <c r="N170" s="220"/>
      <c r="O170" s="192"/>
      <c r="P170" s="192"/>
      <c r="Q170" s="192"/>
      <c r="R170" s="192"/>
      <c r="S170" s="192"/>
      <c r="T170" s="192"/>
      <c r="U170" s="192"/>
      <c r="V170" s="192"/>
      <c r="W170" s="192"/>
      <c r="X170" s="192"/>
      <c r="Y170" s="192"/>
      <c r="Z170" s="192"/>
    </row>
    <row r="171" spans="1:26" ht="15.75">
      <c r="A171" s="192"/>
      <c r="B171" s="192"/>
      <c r="C171" s="220"/>
      <c r="D171" s="220"/>
      <c r="E171" s="220"/>
      <c r="F171" s="220"/>
      <c r="G171" s="220"/>
      <c r="H171" s="220"/>
      <c r="I171" s="220"/>
      <c r="J171" s="220"/>
      <c r="K171" s="220"/>
      <c r="L171" s="220"/>
      <c r="M171" s="220"/>
      <c r="N171" s="220"/>
      <c r="O171" s="192"/>
      <c r="P171" s="192"/>
      <c r="Q171" s="192"/>
      <c r="R171" s="192"/>
      <c r="S171" s="192"/>
      <c r="T171" s="192"/>
      <c r="U171" s="192"/>
      <c r="V171" s="192"/>
      <c r="W171" s="192"/>
      <c r="X171" s="192"/>
      <c r="Y171" s="192"/>
      <c r="Z171" s="192"/>
    </row>
    <row r="172" spans="1:26" ht="15.75">
      <c r="A172" s="192"/>
      <c r="B172" s="192"/>
      <c r="C172" s="220"/>
      <c r="D172" s="220"/>
      <c r="E172" s="220"/>
      <c r="F172" s="220"/>
      <c r="G172" s="220"/>
      <c r="H172" s="220"/>
      <c r="I172" s="220"/>
      <c r="J172" s="220"/>
      <c r="K172" s="220"/>
      <c r="L172" s="220"/>
      <c r="M172" s="220"/>
      <c r="N172" s="220"/>
      <c r="O172" s="192"/>
      <c r="P172" s="192"/>
      <c r="Q172" s="192"/>
      <c r="R172" s="192"/>
      <c r="S172" s="192"/>
      <c r="T172" s="192"/>
      <c r="U172" s="192"/>
      <c r="V172" s="192"/>
      <c r="W172" s="192"/>
      <c r="X172" s="192"/>
      <c r="Y172" s="192"/>
      <c r="Z172" s="192"/>
    </row>
    <row r="173" spans="1:26" ht="15.75">
      <c r="A173" s="192"/>
      <c r="B173" s="192"/>
      <c r="C173" s="220"/>
      <c r="D173" s="220"/>
      <c r="E173" s="220"/>
      <c r="F173" s="220"/>
      <c r="G173" s="220"/>
      <c r="H173" s="220"/>
      <c r="I173" s="220"/>
      <c r="J173" s="220"/>
      <c r="K173" s="220"/>
      <c r="L173" s="220"/>
      <c r="M173" s="220"/>
      <c r="N173" s="220"/>
      <c r="O173" s="192"/>
      <c r="P173" s="192"/>
      <c r="Q173" s="192"/>
      <c r="R173" s="192"/>
      <c r="S173" s="192"/>
      <c r="T173" s="192"/>
      <c r="U173" s="192"/>
      <c r="V173" s="192"/>
      <c r="W173" s="192"/>
      <c r="X173" s="192"/>
      <c r="Y173" s="192"/>
      <c r="Z173" s="192"/>
    </row>
    <row r="174" spans="1:26" ht="15.75">
      <c r="A174" s="192"/>
      <c r="B174" s="192"/>
      <c r="C174" s="220"/>
      <c r="D174" s="220"/>
      <c r="E174" s="220"/>
      <c r="F174" s="220"/>
      <c r="G174" s="220"/>
      <c r="H174" s="220"/>
      <c r="I174" s="220"/>
      <c r="J174" s="220"/>
      <c r="K174" s="220"/>
      <c r="L174" s="220"/>
      <c r="M174" s="220"/>
      <c r="N174" s="220"/>
      <c r="O174" s="192"/>
      <c r="P174" s="192"/>
      <c r="Q174" s="192"/>
      <c r="R174" s="192"/>
      <c r="S174" s="192"/>
      <c r="T174" s="192"/>
      <c r="U174" s="192"/>
      <c r="V174" s="192"/>
      <c r="W174" s="192"/>
      <c r="X174" s="192"/>
      <c r="Y174" s="192"/>
      <c r="Z174" s="192"/>
    </row>
    <row r="175" spans="1:26" ht="15.75">
      <c r="A175" s="192"/>
      <c r="B175" s="192"/>
      <c r="C175" s="220"/>
      <c r="D175" s="220"/>
      <c r="E175" s="220"/>
      <c r="F175" s="220"/>
      <c r="G175" s="220"/>
      <c r="H175" s="220"/>
      <c r="I175" s="220"/>
      <c r="J175" s="220"/>
      <c r="K175" s="220"/>
      <c r="L175" s="220"/>
      <c r="M175" s="220"/>
      <c r="N175" s="220"/>
      <c r="O175" s="192"/>
      <c r="P175" s="192"/>
      <c r="Q175" s="192"/>
      <c r="R175" s="192"/>
      <c r="S175" s="192"/>
      <c r="T175" s="192"/>
      <c r="U175" s="192"/>
      <c r="V175" s="192"/>
      <c r="W175" s="192"/>
      <c r="X175" s="192"/>
      <c r="Y175" s="192"/>
      <c r="Z175" s="192"/>
    </row>
    <row r="176" spans="1:26" ht="15.75">
      <c r="A176" s="192"/>
      <c r="B176" s="192"/>
      <c r="C176" s="220"/>
      <c r="D176" s="220"/>
      <c r="E176" s="220"/>
      <c r="F176" s="220"/>
      <c r="G176" s="220"/>
      <c r="H176" s="220"/>
      <c r="I176" s="220"/>
      <c r="J176" s="220"/>
      <c r="K176" s="220"/>
      <c r="L176" s="220"/>
      <c r="M176" s="220"/>
      <c r="N176" s="220"/>
      <c r="O176" s="192"/>
      <c r="P176" s="192"/>
      <c r="Q176" s="192"/>
      <c r="R176" s="192"/>
      <c r="S176" s="192"/>
      <c r="T176" s="192"/>
      <c r="U176" s="192"/>
      <c r="V176" s="192"/>
      <c r="W176" s="192"/>
      <c r="X176" s="192"/>
      <c r="Y176" s="192"/>
      <c r="Z176" s="192"/>
    </row>
    <row r="177" spans="1:26" ht="15.75">
      <c r="A177" s="192"/>
      <c r="B177" s="192"/>
      <c r="C177" s="220"/>
      <c r="D177" s="220"/>
      <c r="E177" s="220"/>
      <c r="F177" s="220"/>
      <c r="G177" s="220"/>
      <c r="H177" s="220"/>
      <c r="I177" s="220"/>
      <c r="J177" s="220"/>
      <c r="K177" s="220"/>
      <c r="L177" s="220"/>
      <c r="M177" s="220"/>
      <c r="N177" s="220"/>
      <c r="O177" s="192"/>
      <c r="P177" s="192"/>
      <c r="Q177" s="192"/>
      <c r="R177" s="192"/>
      <c r="S177" s="192"/>
      <c r="T177" s="192"/>
      <c r="U177" s="192"/>
      <c r="V177" s="192"/>
      <c r="W177" s="192"/>
      <c r="X177" s="192"/>
      <c r="Y177" s="192"/>
      <c r="Z177" s="192"/>
    </row>
    <row r="178" spans="1:26" ht="15.75">
      <c r="A178" s="192"/>
      <c r="B178" s="192"/>
      <c r="C178" s="220"/>
      <c r="D178" s="220"/>
      <c r="E178" s="220"/>
      <c r="F178" s="220"/>
      <c r="G178" s="220"/>
      <c r="H178" s="220"/>
      <c r="I178" s="220"/>
      <c r="J178" s="220"/>
      <c r="K178" s="220"/>
      <c r="L178" s="220"/>
      <c r="M178" s="220"/>
      <c r="N178" s="220"/>
      <c r="O178" s="192"/>
      <c r="P178" s="192"/>
      <c r="Q178" s="192"/>
      <c r="R178" s="192"/>
      <c r="S178" s="192"/>
      <c r="T178" s="192"/>
      <c r="U178" s="192"/>
      <c r="V178" s="192"/>
      <c r="W178" s="192"/>
      <c r="X178" s="192"/>
      <c r="Y178" s="192"/>
      <c r="Z178" s="192"/>
    </row>
    <row r="179" spans="1:26" ht="15.75">
      <c r="A179" s="192"/>
      <c r="B179" s="192"/>
      <c r="C179" s="220"/>
      <c r="D179" s="220"/>
      <c r="E179" s="220"/>
      <c r="F179" s="220"/>
      <c r="G179" s="220"/>
      <c r="H179" s="220"/>
      <c r="I179" s="220"/>
      <c r="J179" s="220"/>
      <c r="K179" s="220"/>
      <c r="L179" s="220"/>
      <c r="M179" s="220"/>
      <c r="N179" s="220"/>
      <c r="O179" s="192"/>
      <c r="P179" s="192"/>
      <c r="Q179" s="192"/>
      <c r="R179" s="192"/>
      <c r="S179" s="192"/>
      <c r="T179" s="192"/>
      <c r="U179" s="192"/>
      <c r="V179" s="192"/>
      <c r="W179" s="192"/>
      <c r="X179" s="192"/>
      <c r="Y179" s="192"/>
      <c r="Z179" s="192"/>
    </row>
    <row r="180" spans="1:26" ht="15.75">
      <c r="A180" s="192"/>
      <c r="B180" s="192"/>
      <c r="C180" s="220"/>
      <c r="D180" s="220"/>
      <c r="E180" s="220"/>
      <c r="F180" s="220"/>
      <c r="G180" s="220"/>
      <c r="H180" s="220"/>
      <c r="I180" s="220"/>
      <c r="J180" s="220"/>
      <c r="K180" s="220"/>
      <c r="L180" s="220"/>
      <c r="M180" s="220"/>
      <c r="N180" s="220"/>
      <c r="O180" s="192"/>
      <c r="P180" s="192"/>
      <c r="Q180" s="192"/>
      <c r="R180" s="192"/>
      <c r="S180" s="192"/>
      <c r="T180" s="192"/>
      <c r="U180" s="192"/>
      <c r="V180" s="192"/>
      <c r="W180" s="192"/>
      <c r="X180" s="192"/>
      <c r="Y180" s="192"/>
      <c r="Z180" s="192"/>
    </row>
    <row r="181" spans="1:26" ht="15.75">
      <c r="A181" s="192"/>
      <c r="B181" s="192"/>
      <c r="C181" s="220"/>
      <c r="D181" s="220"/>
      <c r="E181" s="220"/>
      <c r="F181" s="220"/>
      <c r="G181" s="220"/>
      <c r="H181" s="220"/>
      <c r="I181" s="220"/>
      <c r="J181" s="220"/>
      <c r="K181" s="220"/>
      <c r="L181" s="220"/>
      <c r="M181" s="220"/>
      <c r="N181" s="220"/>
      <c r="O181" s="192"/>
      <c r="P181" s="192"/>
      <c r="Q181" s="192"/>
      <c r="R181" s="192"/>
      <c r="S181" s="192"/>
      <c r="T181" s="192"/>
      <c r="U181" s="192"/>
      <c r="V181" s="192"/>
      <c r="W181" s="192"/>
      <c r="X181" s="192"/>
      <c r="Y181" s="192"/>
      <c r="Z181" s="192"/>
    </row>
    <row r="182" spans="1:26" ht="15.75">
      <c r="A182" s="192"/>
      <c r="B182" s="192"/>
      <c r="C182" s="220"/>
      <c r="D182" s="220"/>
      <c r="E182" s="220"/>
      <c r="F182" s="220"/>
      <c r="G182" s="220"/>
      <c r="H182" s="220"/>
      <c r="I182" s="220"/>
      <c r="J182" s="220"/>
      <c r="K182" s="220"/>
      <c r="L182" s="220"/>
      <c r="M182" s="220"/>
      <c r="N182" s="220"/>
      <c r="O182" s="192"/>
      <c r="P182" s="192"/>
      <c r="Q182" s="192"/>
      <c r="R182" s="192"/>
      <c r="S182" s="192"/>
      <c r="T182" s="192"/>
      <c r="U182" s="192"/>
      <c r="V182" s="192"/>
      <c r="W182" s="192"/>
      <c r="X182" s="192"/>
      <c r="Y182" s="192"/>
      <c r="Z182" s="192"/>
    </row>
    <row r="183" spans="1:26" ht="15.75">
      <c r="A183" s="192"/>
      <c r="B183" s="192"/>
      <c r="C183" s="220"/>
      <c r="D183" s="220"/>
      <c r="E183" s="220"/>
      <c r="F183" s="220"/>
      <c r="G183" s="220"/>
      <c r="H183" s="220"/>
      <c r="I183" s="220"/>
      <c r="J183" s="220"/>
      <c r="K183" s="220"/>
      <c r="L183" s="220"/>
      <c r="M183" s="220"/>
      <c r="N183" s="220"/>
      <c r="O183" s="192"/>
      <c r="P183" s="192"/>
      <c r="Q183" s="192"/>
      <c r="R183" s="192"/>
      <c r="S183" s="192"/>
      <c r="T183" s="192"/>
      <c r="U183" s="192"/>
      <c r="V183" s="192"/>
      <c r="W183" s="192"/>
      <c r="X183" s="192"/>
      <c r="Y183" s="192"/>
      <c r="Z183" s="192"/>
    </row>
    <row r="184" spans="1:26" ht="15.75">
      <c r="A184" s="192"/>
      <c r="B184" s="192"/>
      <c r="C184" s="220"/>
      <c r="D184" s="220"/>
      <c r="E184" s="220"/>
      <c r="F184" s="220"/>
      <c r="G184" s="220"/>
      <c r="H184" s="220"/>
      <c r="I184" s="220"/>
      <c r="J184" s="220"/>
      <c r="K184" s="220"/>
      <c r="L184" s="220"/>
      <c r="M184" s="220"/>
      <c r="N184" s="220"/>
      <c r="O184" s="192"/>
      <c r="P184" s="192"/>
      <c r="Q184" s="192"/>
      <c r="R184" s="192"/>
      <c r="S184" s="192"/>
      <c r="T184" s="192"/>
      <c r="U184" s="192"/>
      <c r="V184" s="192"/>
      <c r="W184" s="192"/>
      <c r="X184" s="192"/>
      <c r="Y184" s="192"/>
      <c r="Z184" s="192"/>
    </row>
    <row r="185" spans="1:26" ht="15.75">
      <c r="A185" s="192"/>
      <c r="B185" s="192"/>
      <c r="C185" s="220"/>
      <c r="D185" s="220"/>
      <c r="E185" s="220"/>
      <c r="F185" s="220"/>
      <c r="G185" s="220"/>
      <c r="H185" s="220"/>
      <c r="I185" s="220"/>
      <c r="J185" s="220"/>
      <c r="K185" s="220"/>
      <c r="L185" s="220"/>
      <c r="M185" s="220"/>
      <c r="N185" s="220"/>
      <c r="O185" s="192"/>
      <c r="P185" s="192"/>
      <c r="Q185" s="192"/>
      <c r="R185" s="192"/>
      <c r="S185" s="192"/>
      <c r="T185" s="192"/>
      <c r="U185" s="192"/>
      <c r="V185" s="192"/>
      <c r="W185" s="192"/>
      <c r="X185" s="192"/>
      <c r="Y185" s="192"/>
      <c r="Z185" s="192"/>
    </row>
    <row r="186" spans="1:26" ht="15.75">
      <c r="A186" s="192"/>
      <c r="B186" s="192"/>
      <c r="C186" s="220"/>
      <c r="D186" s="220"/>
      <c r="E186" s="220"/>
      <c r="F186" s="220"/>
      <c r="G186" s="220"/>
      <c r="H186" s="220"/>
      <c r="I186" s="220"/>
      <c r="J186" s="220"/>
      <c r="K186" s="220"/>
      <c r="L186" s="220"/>
      <c r="M186" s="220"/>
      <c r="N186" s="220"/>
      <c r="O186" s="192"/>
      <c r="P186" s="192"/>
      <c r="Q186" s="192"/>
      <c r="R186" s="192"/>
      <c r="S186" s="192"/>
      <c r="T186" s="192"/>
      <c r="U186" s="192"/>
      <c r="V186" s="192"/>
      <c r="W186" s="192"/>
      <c r="X186" s="192"/>
      <c r="Y186" s="192"/>
      <c r="Z186" s="192"/>
    </row>
    <row r="187" spans="1:26" ht="15.75">
      <c r="A187" s="192"/>
      <c r="B187" s="192"/>
      <c r="C187" s="220"/>
      <c r="D187" s="220"/>
      <c r="E187" s="220"/>
      <c r="F187" s="220"/>
      <c r="G187" s="220"/>
      <c r="H187" s="220"/>
      <c r="I187" s="220"/>
      <c r="J187" s="220"/>
      <c r="K187" s="220"/>
      <c r="L187" s="220"/>
      <c r="M187" s="220"/>
      <c r="N187" s="220"/>
      <c r="O187" s="192"/>
      <c r="P187" s="192"/>
      <c r="Q187" s="192"/>
      <c r="R187" s="192"/>
      <c r="S187" s="192"/>
      <c r="T187" s="192"/>
      <c r="U187" s="192"/>
      <c r="V187" s="192"/>
      <c r="W187" s="192"/>
      <c r="X187" s="192"/>
      <c r="Y187" s="192"/>
      <c r="Z187" s="192"/>
    </row>
    <row r="188" spans="1:26" ht="15.75">
      <c r="A188" s="192"/>
      <c r="B188" s="192"/>
      <c r="C188" s="220"/>
      <c r="D188" s="220"/>
      <c r="E188" s="220"/>
      <c r="F188" s="220"/>
      <c r="G188" s="220"/>
      <c r="H188" s="220"/>
      <c r="I188" s="220"/>
      <c r="J188" s="220"/>
      <c r="K188" s="220"/>
      <c r="L188" s="220"/>
      <c r="M188" s="220"/>
      <c r="N188" s="220"/>
      <c r="O188" s="192"/>
      <c r="P188" s="192"/>
      <c r="Q188" s="192"/>
      <c r="R188" s="192"/>
      <c r="S188" s="192"/>
      <c r="T188" s="192"/>
      <c r="U188" s="192"/>
      <c r="V188" s="192"/>
      <c r="W188" s="192"/>
      <c r="X188" s="192"/>
      <c r="Y188" s="192"/>
      <c r="Z188" s="192"/>
    </row>
    <row r="189" spans="1:26" ht="15.75">
      <c r="A189" s="192"/>
      <c r="B189" s="192"/>
      <c r="C189" s="220"/>
      <c r="D189" s="220"/>
      <c r="E189" s="220"/>
      <c r="F189" s="220"/>
      <c r="G189" s="220"/>
      <c r="H189" s="220"/>
      <c r="I189" s="220"/>
      <c r="J189" s="220"/>
      <c r="K189" s="220"/>
      <c r="L189" s="220"/>
      <c r="M189" s="220"/>
      <c r="N189" s="220"/>
      <c r="O189" s="192"/>
      <c r="P189" s="192"/>
      <c r="Q189" s="192"/>
      <c r="R189" s="192"/>
      <c r="S189" s="192"/>
      <c r="T189" s="192"/>
      <c r="U189" s="192"/>
      <c r="V189" s="192"/>
      <c r="W189" s="192"/>
      <c r="X189" s="192"/>
      <c r="Y189" s="192"/>
      <c r="Z189" s="192"/>
    </row>
    <row r="190" spans="1:26" ht="15.75">
      <c r="A190" s="192"/>
      <c r="B190" s="192"/>
      <c r="C190" s="220"/>
      <c r="D190" s="220"/>
      <c r="E190" s="220"/>
      <c r="F190" s="220"/>
      <c r="G190" s="220"/>
      <c r="H190" s="220"/>
      <c r="I190" s="220"/>
      <c r="J190" s="220"/>
      <c r="K190" s="220"/>
      <c r="L190" s="220"/>
      <c r="M190" s="220"/>
      <c r="N190" s="220"/>
      <c r="O190" s="192"/>
      <c r="P190" s="192"/>
      <c r="Q190" s="192"/>
      <c r="R190" s="192"/>
      <c r="S190" s="192"/>
      <c r="T190" s="192"/>
      <c r="U190" s="192"/>
      <c r="V190" s="192"/>
      <c r="W190" s="192"/>
      <c r="X190" s="192"/>
      <c r="Y190" s="192"/>
      <c r="Z190" s="192"/>
    </row>
    <row r="191" spans="1:26" ht="15.75">
      <c r="A191" s="192"/>
      <c r="B191" s="192"/>
      <c r="C191" s="220"/>
      <c r="D191" s="220"/>
      <c r="E191" s="220"/>
      <c r="F191" s="220"/>
      <c r="G191" s="220"/>
      <c r="H191" s="220"/>
      <c r="I191" s="220"/>
      <c r="J191" s="220"/>
      <c r="K191" s="220"/>
      <c r="L191" s="220"/>
      <c r="M191" s="220"/>
      <c r="N191" s="220"/>
      <c r="O191" s="192"/>
      <c r="P191" s="192"/>
      <c r="Q191" s="192"/>
      <c r="R191" s="192"/>
      <c r="S191" s="192"/>
      <c r="T191" s="192"/>
      <c r="U191" s="192"/>
      <c r="V191" s="192"/>
      <c r="W191" s="192"/>
      <c r="X191" s="192"/>
      <c r="Y191" s="192"/>
      <c r="Z191" s="192"/>
    </row>
    <row r="192" spans="1:26" ht="15.75">
      <c r="A192" s="192"/>
      <c r="B192" s="192"/>
      <c r="C192" s="220"/>
      <c r="D192" s="220"/>
      <c r="E192" s="220"/>
      <c r="F192" s="220"/>
      <c r="G192" s="220"/>
      <c r="H192" s="220"/>
      <c r="I192" s="220"/>
      <c r="J192" s="220"/>
      <c r="K192" s="220"/>
      <c r="L192" s="220"/>
      <c r="M192" s="220"/>
      <c r="N192" s="220"/>
      <c r="O192" s="192"/>
      <c r="P192" s="192"/>
      <c r="Q192" s="192"/>
      <c r="R192" s="192"/>
      <c r="S192" s="192"/>
      <c r="T192" s="192"/>
      <c r="U192" s="192"/>
      <c r="V192" s="192"/>
      <c r="W192" s="192"/>
      <c r="X192" s="192"/>
      <c r="Y192" s="192"/>
      <c r="Z192" s="192"/>
    </row>
    <row r="193" spans="1:26" ht="15.75">
      <c r="A193" s="192"/>
      <c r="B193" s="192"/>
      <c r="C193" s="220"/>
      <c r="D193" s="220"/>
      <c r="E193" s="220"/>
      <c r="F193" s="220"/>
      <c r="G193" s="220"/>
      <c r="H193" s="220"/>
      <c r="I193" s="220"/>
      <c r="J193" s="220"/>
      <c r="K193" s="220"/>
      <c r="L193" s="220"/>
      <c r="M193" s="220"/>
      <c r="N193" s="220"/>
      <c r="O193" s="192"/>
      <c r="P193" s="192"/>
      <c r="Q193" s="192"/>
      <c r="R193" s="192"/>
      <c r="S193" s="192"/>
      <c r="T193" s="192"/>
      <c r="U193" s="192"/>
      <c r="V193" s="192"/>
      <c r="W193" s="192"/>
      <c r="X193" s="192"/>
      <c r="Y193" s="192"/>
      <c r="Z193" s="192"/>
    </row>
    <row r="194" spans="1:26" ht="15.75">
      <c r="A194" s="192"/>
      <c r="B194" s="218"/>
      <c r="C194" s="220"/>
      <c r="D194" s="220"/>
      <c r="E194" s="220"/>
      <c r="F194" s="220"/>
      <c r="G194" s="220"/>
      <c r="H194" s="220"/>
      <c r="I194" s="220"/>
      <c r="J194" s="220"/>
      <c r="K194" s="220"/>
      <c r="L194" s="220"/>
      <c r="M194" s="220"/>
      <c r="N194" s="220"/>
      <c r="O194" s="192"/>
      <c r="P194" s="192"/>
      <c r="Q194" s="192"/>
      <c r="R194" s="192"/>
      <c r="S194" s="192"/>
      <c r="T194" s="192"/>
      <c r="U194" s="192"/>
      <c r="V194" s="192"/>
      <c r="W194" s="192"/>
      <c r="X194" s="192"/>
      <c r="Y194" s="192"/>
      <c r="Z194" s="192"/>
    </row>
    <row r="195" spans="1:26" ht="15.75">
      <c r="A195" s="192"/>
      <c r="B195" s="192"/>
      <c r="C195" s="220"/>
      <c r="D195" s="220"/>
      <c r="E195" s="220"/>
      <c r="F195" s="220"/>
      <c r="G195" s="220"/>
      <c r="H195" s="220"/>
      <c r="I195" s="220"/>
      <c r="J195" s="220"/>
      <c r="K195" s="220"/>
      <c r="L195" s="220"/>
      <c r="M195" s="220"/>
      <c r="N195" s="220"/>
      <c r="O195" s="192"/>
      <c r="P195" s="192"/>
      <c r="Q195" s="192"/>
      <c r="R195" s="192"/>
      <c r="S195" s="192"/>
      <c r="T195" s="192"/>
      <c r="U195" s="192"/>
      <c r="V195" s="192"/>
      <c r="W195" s="192"/>
      <c r="X195" s="192"/>
      <c r="Y195" s="192"/>
      <c r="Z195" s="192"/>
    </row>
    <row r="196" spans="1:26" ht="15.75">
      <c r="A196" s="192"/>
      <c r="B196" s="219"/>
      <c r="C196" s="220"/>
      <c r="D196" s="220"/>
      <c r="E196" s="220"/>
      <c r="F196" s="220"/>
      <c r="G196" s="220"/>
      <c r="H196" s="220"/>
      <c r="I196" s="220"/>
      <c r="J196" s="220"/>
      <c r="K196" s="220"/>
      <c r="L196" s="220"/>
      <c r="M196" s="220"/>
      <c r="N196" s="220"/>
      <c r="O196" s="192"/>
      <c r="P196" s="192"/>
      <c r="Q196" s="192"/>
      <c r="R196" s="192"/>
      <c r="S196" s="192"/>
      <c r="T196" s="192"/>
      <c r="U196" s="192"/>
      <c r="V196" s="192"/>
      <c r="W196" s="192"/>
      <c r="X196" s="192"/>
      <c r="Y196" s="192"/>
      <c r="Z196" s="192"/>
    </row>
    <row r="197" spans="1:26" ht="15.75">
      <c r="A197" s="192"/>
      <c r="B197" s="192"/>
      <c r="C197" s="220"/>
      <c r="D197" s="220"/>
      <c r="E197" s="220"/>
      <c r="F197" s="220"/>
      <c r="G197" s="220"/>
      <c r="H197" s="220"/>
      <c r="I197" s="220"/>
      <c r="J197" s="220"/>
      <c r="K197" s="220"/>
      <c r="L197" s="220"/>
      <c r="M197" s="220"/>
      <c r="N197" s="220"/>
      <c r="O197" s="192"/>
      <c r="P197" s="192"/>
      <c r="Q197" s="192"/>
      <c r="R197" s="192"/>
      <c r="S197" s="192"/>
      <c r="T197" s="192"/>
      <c r="U197" s="192"/>
      <c r="V197" s="192"/>
      <c r="W197" s="192"/>
      <c r="X197" s="192"/>
      <c r="Y197" s="192"/>
      <c r="Z197" s="192"/>
    </row>
    <row r="198" spans="1:26" ht="15.75">
      <c r="A198" s="192"/>
      <c r="B198" s="192"/>
      <c r="C198" s="220"/>
      <c r="D198" s="220"/>
      <c r="E198" s="220"/>
      <c r="F198" s="220"/>
      <c r="G198" s="220"/>
      <c r="H198" s="220"/>
      <c r="I198" s="220"/>
      <c r="J198" s="220"/>
      <c r="K198" s="220"/>
      <c r="L198" s="220"/>
      <c r="M198" s="220"/>
      <c r="N198" s="220"/>
      <c r="O198" s="192"/>
      <c r="P198" s="192"/>
      <c r="Q198" s="192"/>
      <c r="R198" s="192"/>
      <c r="S198" s="192"/>
      <c r="T198" s="192"/>
      <c r="U198" s="192"/>
      <c r="V198" s="192"/>
      <c r="W198" s="192"/>
      <c r="X198" s="192"/>
      <c r="Y198" s="192"/>
      <c r="Z198" s="192"/>
    </row>
    <row r="199" spans="1:26" ht="15.75">
      <c r="A199" s="192"/>
      <c r="B199" s="192"/>
      <c r="C199" s="220"/>
      <c r="D199" s="220"/>
      <c r="E199" s="220"/>
      <c r="F199" s="220"/>
      <c r="G199" s="220"/>
      <c r="H199" s="220"/>
      <c r="I199" s="220"/>
      <c r="J199" s="220"/>
      <c r="K199" s="220"/>
      <c r="L199" s="220"/>
      <c r="M199" s="220"/>
      <c r="N199" s="220"/>
      <c r="O199" s="192"/>
      <c r="P199" s="192"/>
      <c r="Q199" s="192"/>
      <c r="R199" s="192"/>
      <c r="S199" s="192"/>
      <c r="T199" s="192"/>
      <c r="U199" s="192"/>
      <c r="V199" s="192"/>
      <c r="W199" s="192"/>
      <c r="X199" s="192"/>
      <c r="Y199" s="192"/>
      <c r="Z199" s="192"/>
    </row>
    <row r="200" spans="1:26" ht="15.75">
      <c r="A200" s="192"/>
      <c r="B200" s="192"/>
      <c r="C200" s="220"/>
      <c r="D200" s="220"/>
      <c r="E200" s="220"/>
      <c r="F200" s="220"/>
      <c r="G200" s="220"/>
      <c r="H200" s="220"/>
      <c r="I200" s="220"/>
      <c r="J200" s="220"/>
      <c r="K200" s="220"/>
      <c r="L200" s="220"/>
      <c r="M200" s="220"/>
      <c r="N200" s="220"/>
      <c r="O200" s="192"/>
      <c r="P200" s="192"/>
      <c r="Q200" s="192"/>
      <c r="R200" s="192"/>
      <c r="S200" s="192"/>
      <c r="T200" s="192"/>
      <c r="U200" s="192"/>
      <c r="V200" s="192"/>
      <c r="W200" s="192"/>
      <c r="X200" s="192"/>
      <c r="Y200" s="192"/>
      <c r="Z200" s="192"/>
    </row>
    <row r="201" spans="1:26" ht="15.75">
      <c r="A201" s="192"/>
      <c r="B201" s="192"/>
      <c r="C201" s="220"/>
      <c r="D201" s="220"/>
      <c r="E201" s="220"/>
      <c r="F201" s="220"/>
      <c r="G201" s="220"/>
      <c r="H201" s="220"/>
      <c r="I201" s="220"/>
      <c r="J201" s="220"/>
      <c r="K201" s="220"/>
      <c r="L201" s="220"/>
      <c r="M201" s="220"/>
      <c r="N201" s="220"/>
      <c r="O201" s="192"/>
      <c r="P201" s="192"/>
      <c r="Q201" s="192"/>
      <c r="R201" s="192"/>
      <c r="S201" s="192"/>
      <c r="T201" s="192"/>
      <c r="U201" s="192"/>
      <c r="V201" s="192"/>
      <c r="W201" s="192"/>
      <c r="X201" s="192"/>
      <c r="Y201" s="192"/>
      <c r="Z201" s="192"/>
    </row>
    <row r="202" spans="1:26" ht="15.75">
      <c r="A202" s="192"/>
      <c r="B202" s="192"/>
      <c r="C202" s="220"/>
      <c r="D202" s="220"/>
      <c r="E202" s="220"/>
      <c r="F202" s="220"/>
      <c r="G202" s="220"/>
      <c r="H202" s="220"/>
      <c r="I202" s="220"/>
      <c r="J202" s="220"/>
      <c r="K202" s="220"/>
      <c r="L202" s="220"/>
      <c r="M202" s="220"/>
      <c r="N202" s="220"/>
      <c r="O202" s="192"/>
      <c r="P202" s="192"/>
      <c r="Q202" s="192"/>
      <c r="R202" s="192"/>
      <c r="S202" s="192"/>
      <c r="T202" s="192"/>
      <c r="U202" s="192"/>
      <c r="V202" s="192"/>
      <c r="W202" s="192"/>
      <c r="X202" s="192"/>
      <c r="Y202" s="192"/>
      <c r="Z202" s="192"/>
    </row>
    <row r="203" spans="1:26" ht="15.75">
      <c r="A203" s="192"/>
      <c r="B203" s="192"/>
      <c r="C203" s="220"/>
      <c r="D203" s="220"/>
      <c r="E203" s="220"/>
      <c r="F203" s="220"/>
      <c r="G203" s="220"/>
      <c r="H203" s="220"/>
      <c r="I203" s="220"/>
      <c r="J203" s="220"/>
      <c r="K203" s="220"/>
      <c r="L203" s="220"/>
      <c r="M203" s="220"/>
      <c r="N203" s="220"/>
      <c r="O203" s="192"/>
      <c r="P203" s="192"/>
      <c r="Q203" s="192"/>
      <c r="R203" s="192"/>
      <c r="S203" s="192"/>
      <c r="T203" s="192"/>
      <c r="U203" s="192"/>
      <c r="V203" s="192"/>
      <c r="W203" s="192"/>
      <c r="X203" s="192"/>
      <c r="Y203" s="192"/>
      <c r="Z203" s="192"/>
    </row>
    <row r="204" spans="1:26" ht="15.75">
      <c r="A204" s="192"/>
      <c r="B204" s="192"/>
      <c r="C204" s="220"/>
      <c r="D204" s="220"/>
      <c r="E204" s="220"/>
      <c r="F204" s="220"/>
      <c r="G204" s="220"/>
      <c r="H204" s="220"/>
      <c r="I204" s="220"/>
      <c r="J204" s="220"/>
      <c r="K204" s="220"/>
      <c r="L204" s="220"/>
      <c r="M204" s="220"/>
      <c r="N204" s="220"/>
      <c r="O204" s="192"/>
      <c r="P204" s="192"/>
      <c r="Q204" s="192"/>
      <c r="R204" s="192"/>
      <c r="S204" s="192"/>
      <c r="T204" s="192"/>
      <c r="U204" s="192"/>
      <c r="V204" s="192"/>
      <c r="W204" s="192"/>
      <c r="X204" s="192"/>
      <c r="Y204" s="192"/>
      <c r="Z204" s="192"/>
    </row>
    <row r="205" spans="1:26" ht="15.75">
      <c r="A205" s="192"/>
      <c r="B205" s="192"/>
      <c r="C205" s="220"/>
      <c r="D205" s="220"/>
      <c r="E205" s="220"/>
      <c r="F205" s="220"/>
      <c r="G205" s="220"/>
      <c r="H205" s="220"/>
      <c r="I205" s="220"/>
      <c r="J205" s="220"/>
      <c r="K205" s="220"/>
      <c r="L205" s="220"/>
      <c r="M205" s="220"/>
      <c r="N205" s="220"/>
      <c r="O205" s="192"/>
      <c r="P205" s="192"/>
      <c r="Q205" s="192"/>
      <c r="R205" s="192"/>
      <c r="S205" s="192"/>
      <c r="T205" s="192"/>
      <c r="U205" s="192"/>
      <c r="V205" s="192"/>
      <c r="W205" s="192"/>
      <c r="X205" s="192"/>
      <c r="Y205" s="192"/>
      <c r="Z205" s="192"/>
    </row>
    <row r="206" spans="1:26" ht="15.75">
      <c r="A206" s="192"/>
      <c r="B206" s="192"/>
      <c r="C206" s="220"/>
      <c r="D206" s="220"/>
      <c r="E206" s="220"/>
      <c r="F206" s="220"/>
      <c r="G206" s="220"/>
      <c r="H206" s="220"/>
      <c r="I206" s="220"/>
      <c r="J206" s="220"/>
      <c r="K206" s="220"/>
      <c r="L206" s="220"/>
      <c r="M206" s="220"/>
      <c r="N206" s="220"/>
      <c r="O206" s="192"/>
      <c r="P206" s="192"/>
      <c r="Q206" s="192"/>
      <c r="R206" s="192"/>
      <c r="S206" s="192"/>
      <c r="T206" s="192"/>
      <c r="U206" s="192"/>
      <c r="V206" s="192"/>
      <c r="W206" s="192"/>
      <c r="X206" s="192"/>
      <c r="Y206" s="192"/>
      <c r="Z206" s="192"/>
    </row>
    <row r="207" spans="1:26" ht="15.75">
      <c r="A207" s="192"/>
      <c r="B207" s="192"/>
      <c r="C207" s="220"/>
      <c r="D207" s="220"/>
      <c r="E207" s="220"/>
      <c r="F207" s="220"/>
      <c r="G207" s="220"/>
      <c r="H207" s="220"/>
      <c r="I207" s="220"/>
      <c r="J207" s="220"/>
      <c r="K207" s="220"/>
      <c r="L207" s="220"/>
      <c r="M207" s="220"/>
      <c r="N207" s="220"/>
      <c r="O207" s="192"/>
      <c r="P207" s="192"/>
      <c r="Q207" s="192"/>
      <c r="R207" s="192"/>
      <c r="S207" s="192"/>
      <c r="T207" s="192"/>
      <c r="U207" s="192"/>
      <c r="V207" s="192"/>
      <c r="W207" s="192"/>
      <c r="X207" s="192"/>
      <c r="Y207" s="192"/>
      <c r="Z207" s="192"/>
    </row>
    <row r="208" spans="1:26" ht="15.75">
      <c r="A208" s="192"/>
      <c r="B208" s="192"/>
      <c r="C208" s="220"/>
      <c r="D208" s="220"/>
      <c r="E208" s="220"/>
      <c r="F208" s="220"/>
      <c r="G208" s="220"/>
      <c r="H208" s="220"/>
      <c r="I208" s="220"/>
      <c r="J208" s="220"/>
      <c r="K208" s="220"/>
      <c r="L208" s="220"/>
      <c r="M208" s="220"/>
      <c r="N208" s="220"/>
      <c r="O208" s="192"/>
      <c r="P208" s="192"/>
      <c r="Q208" s="192"/>
      <c r="R208" s="192"/>
      <c r="S208" s="192"/>
      <c r="T208" s="192"/>
      <c r="U208" s="192"/>
      <c r="V208" s="192"/>
      <c r="W208" s="192"/>
      <c r="X208" s="192"/>
      <c r="Y208" s="192"/>
      <c r="Z208" s="192"/>
    </row>
    <row r="209" spans="1:26" ht="15.75">
      <c r="A209" s="192"/>
      <c r="B209" s="192"/>
      <c r="C209" s="220"/>
      <c r="D209" s="220"/>
      <c r="E209" s="220"/>
      <c r="F209" s="220"/>
      <c r="G209" s="220"/>
      <c r="H209" s="220"/>
      <c r="I209" s="220"/>
      <c r="J209" s="220"/>
      <c r="K209" s="220"/>
      <c r="L209" s="220"/>
      <c r="M209" s="220"/>
      <c r="N209" s="220"/>
      <c r="O209" s="192"/>
      <c r="P209" s="192"/>
      <c r="Q209" s="192"/>
      <c r="R209" s="192"/>
      <c r="S209" s="192"/>
      <c r="T209" s="192"/>
      <c r="U209" s="192"/>
      <c r="V209" s="192"/>
      <c r="W209" s="192"/>
      <c r="X209" s="192"/>
      <c r="Y209" s="192"/>
      <c r="Z209" s="192"/>
    </row>
    <row r="210" spans="1:26" ht="15.75">
      <c r="A210" s="192"/>
      <c r="B210" s="192"/>
      <c r="C210" s="220"/>
      <c r="D210" s="220"/>
      <c r="E210" s="220"/>
      <c r="F210" s="220"/>
      <c r="G210" s="220"/>
      <c r="H210" s="220"/>
      <c r="I210" s="220"/>
      <c r="J210" s="220"/>
      <c r="K210" s="220"/>
      <c r="L210" s="220"/>
      <c r="M210" s="220"/>
      <c r="N210" s="220"/>
      <c r="O210" s="192"/>
      <c r="P210" s="192"/>
      <c r="Q210" s="192"/>
      <c r="R210" s="192"/>
      <c r="S210" s="192"/>
      <c r="T210" s="192"/>
      <c r="U210" s="192"/>
      <c r="V210" s="192"/>
      <c r="W210" s="192"/>
      <c r="X210" s="192"/>
      <c r="Y210" s="192"/>
      <c r="Z210" s="192"/>
    </row>
    <row r="211" spans="1:26" ht="15.75">
      <c r="A211" s="192"/>
      <c r="B211" s="192"/>
      <c r="C211" s="220"/>
      <c r="D211" s="220"/>
      <c r="E211" s="220"/>
      <c r="F211" s="220"/>
      <c r="G211" s="220"/>
      <c r="H211" s="220"/>
      <c r="I211" s="220"/>
      <c r="J211" s="220"/>
      <c r="K211" s="220"/>
      <c r="L211" s="220"/>
      <c r="M211" s="220"/>
      <c r="N211" s="220"/>
      <c r="O211" s="192"/>
      <c r="P211" s="192"/>
      <c r="Q211" s="192"/>
      <c r="R211" s="192"/>
      <c r="S211" s="192"/>
      <c r="T211" s="192"/>
      <c r="U211" s="192"/>
      <c r="V211" s="192"/>
      <c r="W211" s="192"/>
      <c r="X211" s="192"/>
      <c r="Y211" s="192"/>
      <c r="Z211" s="192"/>
    </row>
    <row r="212" spans="1:26" ht="15.75">
      <c r="A212" s="192"/>
      <c r="B212" s="192"/>
      <c r="C212" s="220"/>
      <c r="D212" s="220"/>
      <c r="E212" s="220"/>
      <c r="F212" s="220"/>
      <c r="G212" s="220"/>
      <c r="H212" s="220"/>
      <c r="I212" s="220"/>
      <c r="J212" s="220"/>
      <c r="K212" s="220"/>
      <c r="L212" s="220"/>
      <c r="M212" s="220"/>
      <c r="N212" s="220"/>
      <c r="O212" s="192"/>
      <c r="P212" s="192"/>
      <c r="Q212" s="192"/>
      <c r="R212" s="192"/>
      <c r="S212" s="192"/>
      <c r="T212" s="192"/>
      <c r="U212" s="192"/>
      <c r="V212" s="192"/>
      <c r="W212" s="192"/>
      <c r="X212" s="192"/>
      <c r="Y212" s="192"/>
      <c r="Z212" s="192"/>
    </row>
    <row r="213" spans="1:26" ht="15.75">
      <c r="A213" s="192"/>
      <c r="B213" s="192"/>
      <c r="C213" s="220"/>
      <c r="D213" s="220"/>
      <c r="E213" s="220"/>
      <c r="F213" s="220"/>
      <c r="G213" s="220"/>
      <c r="H213" s="220"/>
      <c r="I213" s="220"/>
      <c r="J213" s="220"/>
      <c r="K213" s="220"/>
      <c r="L213" s="220"/>
      <c r="M213" s="220"/>
      <c r="N213" s="220"/>
      <c r="O213" s="192"/>
      <c r="P213" s="192"/>
      <c r="Q213" s="192"/>
      <c r="R213" s="192"/>
      <c r="S213" s="192"/>
      <c r="T213" s="192"/>
      <c r="U213" s="192"/>
      <c r="V213" s="192"/>
      <c r="W213" s="192"/>
      <c r="X213" s="192"/>
      <c r="Y213" s="192"/>
      <c r="Z213" s="192"/>
    </row>
    <row r="214" spans="1:26" ht="15.75">
      <c r="A214" s="192"/>
      <c r="B214" s="192"/>
      <c r="C214" s="220"/>
      <c r="D214" s="220"/>
      <c r="E214" s="220"/>
      <c r="F214" s="220"/>
      <c r="G214" s="220"/>
      <c r="H214" s="220"/>
      <c r="I214" s="220"/>
      <c r="J214" s="220"/>
      <c r="K214" s="220"/>
      <c r="L214" s="220"/>
      <c r="M214" s="220"/>
      <c r="N214" s="220"/>
      <c r="O214" s="192"/>
      <c r="P214" s="192"/>
      <c r="Q214" s="192"/>
      <c r="R214" s="192"/>
      <c r="S214" s="192"/>
      <c r="T214" s="192"/>
      <c r="U214" s="192"/>
      <c r="V214" s="192"/>
      <c r="W214" s="192"/>
      <c r="X214" s="192"/>
      <c r="Y214" s="192"/>
      <c r="Z214" s="192"/>
    </row>
    <row r="215" spans="1:26" ht="15.75">
      <c r="A215" s="192"/>
      <c r="B215" s="192"/>
      <c r="C215" s="220"/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192"/>
      <c r="P215" s="192"/>
      <c r="Q215" s="192"/>
      <c r="R215" s="192"/>
      <c r="S215" s="192"/>
      <c r="T215" s="192"/>
      <c r="U215" s="192"/>
      <c r="V215" s="192"/>
      <c r="W215" s="192"/>
      <c r="X215" s="192"/>
      <c r="Y215" s="192"/>
      <c r="Z215" s="192"/>
    </row>
    <row r="216" spans="1:26" ht="15.75">
      <c r="A216" s="192"/>
      <c r="B216" s="192"/>
      <c r="C216" s="220"/>
      <c r="D216" s="220"/>
      <c r="E216" s="220"/>
      <c r="F216" s="220"/>
      <c r="G216" s="220"/>
      <c r="H216" s="220"/>
      <c r="I216" s="220"/>
      <c r="J216" s="220"/>
      <c r="K216" s="220"/>
      <c r="L216" s="220"/>
      <c r="M216" s="220"/>
      <c r="N216" s="220"/>
      <c r="O216" s="192"/>
      <c r="P216" s="192"/>
      <c r="Q216" s="192"/>
      <c r="R216" s="192"/>
      <c r="S216" s="192"/>
      <c r="T216" s="192"/>
      <c r="U216" s="192"/>
      <c r="V216" s="192"/>
      <c r="W216" s="192"/>
      <c r="X216" s="192"/>
      <c r="Y216" s="192"/>
      <c r="Z216" s="192"/>
    </row>
    <row r="217" spans="1:26" ht="15.75">
      <c r="A217" s="192"/>
      <c r="B217" s="192"/>
      <c r="C217" s="220"/>
      <c r="D217" s="220"/>
      <c r="E217" s="220"/>
      <c r="F217" s="220"/>
      <c r="G217" s="220"/>
      <c r="H217" s="220"/>
      <c r="I217" s="220"/>
      <c r="J217" s="220"/>
      <c r="K217" s="220"/>
      <c r="L217" s="220"/>
      <c r="M217" s="220"/>
      <c r="N217" s="220"/>
      <c r="O217" s="192"/>
      <c r="P217" s="192"/>
      <c r="Q217" s="192"/>
      <c r="R217" s="192"/>
      <c r="S217" s="192"/>
      <c r="T217" s="192"/>
      <c r="U217" s="192"/>
      <c r="V217" s="192"/>
      <c r="W217" s="192"/>
      <c r="X217" s="192"/>
      <c r="Y217" s="192"/>
      <c r="Z217" s="192"/>
    </row>
    <row r="218" spans="1:26" ht="15.75">
      <c r="A218" s="192"/>
      <c r="B218" s="192"/>
      <c r="C218" s="220"/>
      <c r="D218" s="220"/>
      <c r="E218" s="220"/>
      <c r="F218" s="220"/>
      <c r="G218" s="220"/>
      <c r="H218" s="220"/>
      <c r="I218" s="220"/>
      <c r="J218" s="220"/>
      <c r="K218" s="220"/>
      <c r="L218" s="220"/>
      <c r="M218" s="220"/>
      <c r="N218" s="220"/>
      <c r="O218" s="192"/>
      <c r="P218" s="192"/>
      <c r="Q218" s="192"/>
      <c r="R218" s="192"/>
      <c r="S218" s="192"/>
      <c r="T218" s="192"/>
      <c r="U218" s="192"/>
      <c r="V218" s="192"/>
      <c r="W218" s="192"/>
      <c r="X218" s="192"/>
      <c r="Y218" s="192"/>
      <c r="Z218" s="192"/>
    </row>
    <row r="219" spans="1:26" ht="15.75">
      <c r="A219" s="192"/>
      <c r="B219" s="192"/>
      <c r="C219" s="220"/>
      <c r="D219" s="220"/>
      <c r="E219" s="220"/>
      <c r="F219" s="220"/>
      <c r="G219" s="220"/>
      <c r="H219" s="220"/>
      <c r="I219" s="220"/>
      <c r="J219" s="220"/>
      <c r="K219" s="220"/>
      <c r="L219" s="220"/>
      <c r="M219" s="220"/>
      <c r="N219" s="220"/>
      <c r="O219" s="192"/>
      <c r="P219" s="192"/>
      <c r="Q219" s="192"/>
      <c r="R219" s="192"/>
      <c r="S219" s="192"/>
      <c r="T219" s="192"/>
      <c r="U219" s="192"/>
      <c r="V219" s="192"/>
      <c r="W219" s="192"/>
      <c r="X219" s="192"/>
      <c r="Y219" s="192"/>
      <c r="Z219" s="192"/>
    </row>
    <row r="220" spans="1:26" ht="15.75">
      <c r="A220" s="192"/>
      <c r="B220" s="218"/>
      <c r="C220" s="220"/>
      <c r="D220" s="220"/>
      <c r="E220" s="220"/>
      <c r="F220" s="220"/>
      <c r="G220" s="220"/>
      <c r="H220" s="220"/>
      <c r="I220" s="220"/>
      <c r="J220" s="220"/>
      <c r="K220" s="220"/>
      <c r="L220" s="220"/>
      <c r="M220" s="220"/>
      <c r="N220" s="220"/>
      <c r="O220" s="192"/>
      <c r="P220" s="192"/>
      <c r="Q220" s="192"/>
      <c r="R220" s="192"/>
      <c r="S220" s="192"/>
      <c r="T220" s="192"/>
      <c r="U220" s="192"/>
      <c r="V220" s="192"/>
      <c r="W220" s="192"/>
      <c r="X220" s="192"/>
      <c r="Y220" s="192"/>
      <c r="Z220" s="192"/>
    </row>
    <row r="221" spans="1:26" ht="15.75">
      <c r="A221" s="192"/>
      <c r="B221" s="192"/>
      <c r="C221" s="220"/>
      <c r="D221" s="220"/>
      <c r="E221" s="220"/>
      <c r="F221" s="220"/>
      <c r="G221" s="220"/>
      <c r="H221" s="220"/>
      <c r="I221" s="220"/>
      <c r="J221" s="220"/>
      <c r="K221" s="220"/>
      <c r="L221" s="220"/>
      <c r="M221" s="220"/>
      <c r="N221" s="220"/>
      <c r="O221" s="192"/>
      <c r="P221" s="192"/>
      <c r="Q221" s="192"/>
      <c r="R221" s="192"/>
      <c r="S221" s="192"/>
      <c r="T221" s="192"/>
      <c r="U221" s="192"/>
      <c r="V221" s="192"/>
      <c r="W221" s="192"/>
      <c r="X221" s="192"/>
      <c r="Y221" s="192"/>
      <c r="Z221" s="192"/>
    </row>
    <row r="222" spans="1:26" ht="15.75">
      <c r="A222" s="192"/>
      <c r="B222" s="219"/>
      <c r="C222" s="220"/>
      <c r="D222" s="220"/>
      <c r="E222" s="220"/>
      <c r="F222" s="220"/>
      <c r="G222" s="220"/>
      <c r="H222" s="220"/>
      <c r="I222" s="220"/>
      <c r="J222" s="220"/>
      <c r="K222" s="220"/>
      <c r="L222" s="220"/>
      <c r="M222" s="220"/>
      <c r="N222" s="220"/>
      <c r="O222" s="192"/>
      <c r="P222" s="192"/>
      <c r="Q222" s="192"/>
      <c r="R222" s="192"/>
      <c r="S222" s="192"/>
      <c r="T222" s="192"/>
      <c r="U222" s="192"/>
      <c r="V222" s="192"/>
      <c r="W222" s="192"/>
      <c r="X222" s="192"/>
      <c r="Y222" s="192"/>
      <c r="Z222" s="192"/>
    </row>
    <row r="223" spans="1:26" ht="15.75">
      <c r="A223" s="192"/>
      <c r="B223" s="192"/>
      <c r="C223" s="220"/>
      <c r="D223" s="220"/>
      <c r="E223" s="220"/>
      <c r="F223" s="220"/>
      <c r="G223" s="220"/>
      <c r="H223" s="220"/>
      <c r="I223" s="220"/>
      <c r="J223" s="220"/>
      <c r="K223" s="220"/>
      <c r="L223" s="220"/>
      <c r="M223" s="220"/>
      <c r="N223" s="220"/>
      <c r="O223" s="192"/>
      <c r="P223" s="192"/>
      <c r="Q223" s="192"/>
      <c r="R223" s="192"/>
      <c r="S223" s="192"/>
      <c r="T223" s="192"/>
      <c r="U223" s="192"/>
      <c r="V223" s="192"/>
      <c r="W223" s="192"/>
      <c r="X223" s="192"/>
      <c r="Y223" s="192"/>
      <c r="Z223" s="192"/>
    </row>
    <row r="224" spans="1:26" ht="15.75">
      <c r="A224" s="192"/>
      <c r="B224" s="192"/>
      <c r="C224" s="220"/>
      <c r="D224" s="220"/>
      <c r="E224" s="220"/>
      <c r="F224" s="220"/>
      <c r="G224" s="220"/>
      <c r="H224" s="220"/>
      <c r="I224" s="220"/>
      <c r="J224" s="220"/>
      <c r="K224" s="220"/>
      <c r="L224" s="220"/>
      <c r="M224" s="220"/>
      <c r="N224" s="220"/>
      <c r="O224" s="192"/>
      <c r="P224" s="192"/>
      <c r="Q224" s="192"/>
      <c r="R224" s="192"/>
      <c r="S224" s="192"/>
      <c r="T224" s="192"/>
      <c r="U224" s="192"/>
      <c r="V224" s="192"/>
      <c r="W224" s="192"/>
      <c r="X224" s="192"/>
      <c r="Y224" s="192"/>
      <c r="Z224" s="192"/>
    </row>
    <row r="225" spans="1:26" ht="15.75">
      <c r="A225" s="192"/>
      <c r="B225" s="192"/>
      <c r="C225" s="220"/>
      <c r="D225" s="220"/>
      <c r="E225" s="220"/>
      <c r="F225" s="220"/>
      <c r="G225" s="220"/>
      <c r="H225" s="220"/>
      <c r="I225" s="220"/>
      <c r="J225" s="220"/>
      <c r="K225" s="220"/>
      <c r="L225" s="220"/>
      <c r="M225" s="220"/>
      <c r="N225" s="220"/>
      <c r="O225" s="192"/>
      <c r="P225" s="192"/>
      <c r="Q225" s="192"/>
      <c r="R225" s="192"/>
      <c r="S225" s="192"/>
      <c r="T225" s="192"/>
      <c r="U225" s="192"/>
      <c r="V225" s="192"/>
      <c r="W225" s="192"/>
      <c r="X225" s="192"/>
      <c r="Y225" s="192"/>
      <c r="Z225" s="192"/>
    </row>
    <row r="226" spans="1:26" ht="15.75">
      <c r="A226" s="192"/>
      <c r="B226" s="192"/>
      <c r="C226" s="220"/>
      <c r="D226" s="220"/>
      <c r="E226" s="220"/>
      <c r="F226" s="220"/>
      <c r="G226" s="220"/>
      <c r="H226" s="220"/>
      <c r="I226" s="220"/>
      <c r="J226" s="220"/>
      <c r="K226" s="220"/>
      <c r="L226" s="220"/>
      <c r="M226" s="220"/>
      <c r="N226" s="220"/>
      <c r="O226" s="192"/>
      <c r="P226" s="192"/>
      <c r="Q226" s="192"/>
      <c r="R226" s="192"/>
      <c r="S226" s="192"/>
      <c r="T226" s="192"/>
      <c r="U226" s="192"/>
      <c r="V226" s="192"/>
      <c r="W226" s="192"/>
      <c r="X226" s="192"/>
      <c r="Y226" s="192"/>
      <c r="Z226" s="192"/>
    </row>
    <row r="227" spans="1:26" ht="15.75">
      <c r="A227" s="192"/>
      <c r="B227" s="192"/>
      <c r="C227" s="220"/>
      <c r="D227" s="220"/>
      <c r="E227" s="220"/>
      <c r="F227" s="220"/>
      <c r="G227" s="220"/>
      <c r="H227" s="220"/>
      <c r="I227" s="220"/>
      <c r="J227" s="220"/>
      <c r="K227" s="220"/>
      <c r="L227" s="220"/>
      <c r="M227" s="220"/>
      <c r="N227" s="220"/>
      <c r="O227" s="192"/>
      <c r="P227" s="192"/>
      <c r="Q227" s="192"/>
      <c r="R227" s="192"/>
      <c r="S227" s="192"/>
      <c r="T227" s="192"/>
      <c r="U227" s="192"/>
      <c r="V227" s="192"/>
      <c r="W227" s="192"/>
      <c r="X227" s="192"/>
      <c r="Y227" s="192"/>
      <c r="Z227" s="192"/>
    </row>
    <row r="228" spans="1:26" ht="15.75">
      <c r="A228" s="192"/>
      <c r="B228" s="192"/>
      <c r="C228" s="220"/>
      <c r="D228" s="220"/>
      <c r="E228" s="220"/>
      <c r="F228" s="220"/>
      <c r="G228" s="220"/>
      <c r="H228" s="220"/>
      <c r="I228" s="220"/>
      <c r="J228" s="220"/>
      <c r="K228" s="220"/>
      <c r="L228" s="220"/>
      <c r="M228" s="220"/>
      <c r="N228" s="220"/>
      <c r="O228" s="192"/>
      <c r="P228" s="192"/>
      <c r="Q228" s="192"/>
      <c r="R228" s="192"/>
      <c r="S228" s="192"/>
      <c r="T228" s="192"/>
      <c r="U228" s="192"/>
      <c r="V228" s="192"/>
      <c r="W228" s="192"/>
      <c r="X228" s="192"/>
      <c r="Y228" s="192"/>
      <c r="Z228" s="192"/>
    </row>
    <row r="229" spans="1:26" ht="15.75">
      <c r="A229" s="192"/>
      <c r="B229" s="192"/>
      <c r="C229" s="220"/>
      <c r="D229" s="220"/>
      <c r="E229" s="220"/>
      <c r="F229" s="220"/>
      <c r="G229" s="220"/>
      <c r="H229" s="220"/>
      <c r="I229" s="220"/>
      <c r="J229" s="220"/>
      <c r="K229" s="220"/>
      <c r="L229" s="220"/>
      <c r="M229" s="220"/>
      <c r="N229" s="220"/>
      <c r="O229" s="192"/>
      <c r="P229" s="192"/>
      <c r="Q229" s="192"/>
      <c r="R229" s="192"/>
      <c r="S229" s="192"/>
      <c r="T229" s="192"/>
      <c r="U229" s="192"/>
      <c r="V229" s="192"/>
      <c r="W229" s="192"/>
      <c r="X229" s="192"/>
      <c r="Y229" s="192"/>
      <c r="Z229" s="192"/>
    </row>
    <row r="230" spans="1:26" ht="15.75">
      <c r="A230" s="192"/>
      <c r="B230" s="192"/>
      <c r="C230" s="220"/>
      <c r="D230" s="220"/>
      <c r="E230" s="220"/>
      <c r="F230" s="220"/>
      <c r="G230" s="220"/>
      <c r="H230" s="220"/>
      <c r="I230" s="220"/>
      <c r="J230" s="220"/>
      <c r="K230" s="220"/>
      <c r="L230" s="220"/>
      <c r="M230" s="220"/>
      <c r="N230" s="220"/>
      <c r="O230" s="192"/>
      <c r="P230" s="192"/>
      <c r="Q230" s="192"/>
      <c r="R230" s="192"/>
      <c r="S230" s="192"/>
      <c r="T230" s="192"/>
      <c r="U230" s="192"/>
      <c r="V230" s="192"/>
      <c r="W230" s="192"/>
      <c r="X230" s="192"/>
      <c r="Y230" s="192"/>
      <c r="Z230" s="192"/>
    </row>
    <row r="231" spans="1:26" ht="15.75">
      <c r="A231" s="192"/>
      <c r="B231" s="192"/>
      <c r="C231" s="220"/>
      <c r="D231" s="220"/>
      <c r="E231" s="220"/>
      <c r="F231" s="220"/>
      <c r="G231" s="220"/>
      <c r="H231" s="220"/>
      <c r="I231" s="220"/>
      <c r="J231" s="220"/>
      <c r="K231" s="220"/>
      <c r="L231" s="220"/>
      <c r="M231" s="220"/>
      <c r="N231" s="220"/>
      <c r="O231" s="192"/>
      <c r="P231" s="192"/>
      <c r="Q231" s="192"/>
      <c r="R231" s="192"/>
      <c r="S231" s="192"/>
      <c r="T231" s="192"/>
      <c r="U231" s="192"/>
      <c r="V231" s="192"/>
      <c r="W231" s="192"/>
      <c r="X231" s="192"/>
      <c r="Y231" s="192"/>
      <c r="Z231" s="192"/>
    </row>
    <row r="232" spans="1:26" ht="15.75">
      <c r="A232" s="192"/>
      <c r="B232" s="192"/>
      <c r="C232" s="220"/>
      <c r="D232" s="220"/>
      <c r="E232" s="220"/>
      <c r="F232" s="220"/>
      <c r="G232" s="220"/>
      <c r="H232" s="220"/>
      <c r="I232" s="220"/>
      <c r="J232" s="220"/>
      <c r="K232" s="220"/>
      <c r="L232" s="220"/>
      <c r="M232" s="220"/>
      <c r="N232" s="220"/>
      <c r="O232" s="192"/>
      <c r="P232" s="192"/>
      <c r="Q232" s="192"/>
      <c r="R232" s="192"/>
      <c r="S232" s="192"/>
      <c r="T232" s="192"/>
      <c r="U232" s="192"/>
      <c r="V232" s="192"/>
      <c r="W232" s="192"/>
      <c r="X232" s="192"/>
      <c r="Y232" s="192"/>
      <c r="Z232" s="192"/>
    </row>
    <row r="233" spans="1:26" ht="15.75">
      <c r="A233" s="192"/>
      <c r="B233" s="192"/>
      <c r="C233" s="220"/>
      <c r="D233" s="220"/>
      <c r="E233" s="220"/>
      <c r="F233" s="220"/>
      <c r="G233" s="220"/>
      <c r="H233" s="220"/>
      <c r="I233" s="220"/>
      <c r="J233" s="220"/>
      <c r="K233" s="220"/>
      <c r="L233" s="220"/>
      <c r="M233" s="220"/>
      <c r="N233" s="220"/>
      <c r="O233" s="192"/>
      <c r="P233" s="192"/>
      <c r="Q233" s="192"/>
      <c r="R233" s="192"/>
      <c r="S233" s="192"/>
      <c r="T233" s="192"/>
      <c r="U233" s="192"/>
      <c r="V233" s="192"/>
      <c r="W233" s="192"/>
      <c r="X233" s="192"/>
      <c r="Y233" s="192"/>
      <c r="Z233" s="192"/>
    </row>
    <row r="234" spans="1:26" ht="15.75">
      <c r="A234" s="192"/>
      <c r="B234" s="192"/>
      <c r="C234" s="220"/>
      <c r="D234" s="220"/>
      <c r="E234" s="220"/>
      <c r="F234" s="220"/>
      <c r="G234" s="220"/>
      <c r="H234" s="220"/>
      <c r="I234" s="220"/>
      <c r="J234" s="220"/>
      <c r="K234" s="220"/>
      <c r="L234" s="220"/>
      <c r="M234" s="220"/>
      <c r="N234" s="220"/>
      <c r="O234" s="192"/>
      <c r="P234" s="192"/>
      <c r="Q234" s="192"/>
      <c r="R234" s="192"/>
      <c r="S234" s="192"/>
      <c r="T234" s="192"/>
      <c r="U234" s="192"/>
      <c r="V234" s="192"/>
      <c r="W234" s="192"/>
      <c r="X234" s="192"/>
      <c r="Y234" s="192"/>
      <c r="Z234" s="192"/>
    </row>
    <row r="235" spans="1:26" ht="15.75">
      <c r="A235" s="192"/>
      <c r="B235" s="192"/>
      <c r="C235" s="220"/>
      <c r="D235" s="220"/>
      <c r="E235" s="220"/>
      <c r="F235" s="220"/>
      <c r="G235" s="220"/>
      <c r="H235" s="220"/>
      <c r="I235" s="220"/>
      <c r="J235" s="220"/>
      <c r="K235" s="220"/>
      <c r="L235" s="220"/>
      <c r="M235" s="220"/>
      <c r="N235" s="220"/>
      <c r="O235" s="192"/>
      <c r="P235" s="192"/>
      <c r="Q235" s="192"/>
      <c r="R235" s="192"/>
      <c r="S235" s="192"/>
      <c r="T235" s="192"/>
      <c r="U235" s="192"/>
      <c r="V235" s="192"/>
      <c r="W235" s="192"/>
      <c r="X235" s="192"/>
      <c r="Y235" s="192"/>
      <c r="Z235" s="192"/>
    </row>
    <row r="236" spans="1:26" ht="15.75">
      <c r="A236" s="192"/>
      <c r="B236" s="192"/>
      <c r="C236" s="220"/>
      <c r="D236" s="220"/>
      <c r="E236" s="220"/>
      <c r="F236" s="220"/>
      <c r="G236" s="220"/>
      <c r="H236" s="220"/>
      <c r="I236" s="220"/>
      <c r="J236" s="220"/>
      <c r="K236" s="220"/>
      <c r="L236" s="220"/>
      <c r="M236" s="220"/>
      <c r="N236" s="220"/>
      <c r="O236" s="192"/>
      <c r="P236" s="192"/>
      <c r="Q236" s="192"/>
      <c r="R236" s="192"/>
      <c r="S236" s="192"/>
      <c r="T236" s="192"/>
      <c r="U236" s="192"/>
      <c r="V236" s="192"/>
      <c r="W236" s="192"/>
      <c r="X236" s="192"/>
      <c r="Y236" s="192"/>
      <c r="Z236" s="192"/>
    </row>
    <row r="237" spans="1:26" ht="15.75">
      <c r="A237" s="192"/>
      <c r="B237" s="192"/>
      <c r="C237" s="220"/>
      <c r="D237" s="220"/>
      <c r="E237" s="220"/>
      <c r="F237" s="220"/>
      <c r="G237" s="220"/>
      <c r="H237" s="220"/>
      <c r="I237" s="220"/>
      <c r="J237" s="220"/>
      <c r="K237" s="220"/>
      <c r="L237" s="220"/>
      <c r="M237" s="220"/>
      <c r="N237" s="220"/>
      <c r="O237" s="192"/>
      <c r="P237" s="192"/>
      <c r="Q237" s="192"/>
      <c r="R237" s="192"/>
      <c r="S237" s="192"/>
      <c r="T237" s="192"/>
      <c r="U237" s="192"/>
      <c r="V237" s="192"/>
      <c r="W237" s="192"/>
      <c r="X237" s="192"/>
      <c r="Y237" s="192"/>
      <c r="Z237" s="192"/>
    </row>
    <row r="238" spans="1:26" ht="15.75">
      <c r="A238" s="192"/>
      <c r="B238" s="192"/>
      <c r="C238" s="220"/>
      <c r="D238" s="220"/>
      <c r="E238" s="220"/>
      <c r="F238" s="220"/>
      <c r="G238" s="220"/>
      <c r="H238" s="220"/>
      <c r="I238" s="220"/>
      <c r="J238" s="220"/>
      <c r="K238" s="220"/>
      <c r="L238" s="220"/>
      <c r="M238" s="220"/>
      <c r="N238" s="220"/>
      <c r="O238" s="192"/>
      <c r="P238" s="192"/>
      <c r="Q238" s="192"/>
      <c r="R238" s="192"/>
      <c r="S238" s="192"/>
      <c r="T238" s="192"/>
      <c r="U238" s="192"/>
      <c r="V238" s="192"/>
      <c r="W238" s="192"/>
      <c r="X238" s="192"/>
      <c r="Y238" s="192"/>
      <c r="Z238" s="192"/>
    </row>
    <row r="239" spans="1:26" ht="15.75">
      <c r="A239" s="192"/>
      <c r="B239" s="192"/>
      <c r="C239" s="220"/>
      <c r="D239" s="220"/>
      <c r="E239" s="220"/>
      <c r="F239" s="220"/>
      <c r="G239" s="220"/>
      <c r="H239" s="220"/>
      <c r="I239" s="220"/>
      <c r="J239" s="220"/>
      <c r="K239" s="220"/>
      <c r="L239" s="220"/>
      <c r="M239" s="220"/>
      <c r="N239" s="220"/>
      <c r="O239" s="192"/>
      <c r="P239" s="192"/>
      <c r="Q239" s="192"/>
      <c r="R239" s="192"/>
      <c r="S239" s="192"/>
      <c r="T239" s="192"/>
      <c r="U239" s="192"/>
      <c r="V239" s="192"/>
      <c r="W239" s="192"/>
      <c r="X239" s="192"/>
      <c r="Y239" s="192"/>
      <c r="Z239" s="192"/>
    </row>
    <row r="240" spans="1:26" ht="15.75">
      <c r="A240" s="192"/>
      <c r="B240" s="192"/>
      <c r="C240" s="220"/>
      <c r="D240" s="220"/>
      <c r="E240" s="220"/>
      <c r="F240" s="220"/>
      <c r="G240" s="220"/>
      <c r="H240" s="220"/>
      <c r="I240" s="220"/>
      <c r="J240" s="220"/>
      <c r="K240" s="220"/>
      <c r="L240" s="220"/>
      <c r="M240" s="220"/>
      <c r="N240" s="220"/>
      <c r="O240" s="192"/>
      <c r="P240" s="192"/>
      <c r="Q240" s="192"/>
      <c r="R240" s="192"/>
      <c r="S240" s="192"/>
      <c r="T240" s="192"/>
      <c r="U240" s="192"/>
      <c r="V240" s="192"/>
      <c r="W240" s="192"/>
      <c r="X240" s="192"/>
      <c r="Y240" s="192"/>
      <c r="Z240" s="192"/>
    </row>
    <row r="241" spans="1:26" ht="15.75">
      <c r="A241" s="192"/>
      <c r="B241" s="192"/>
      <c r="C241" s="220"/>
      <c r="D241" s="220"/>
      <c r="E241" s="220"/>
      <c r="F241" s="220"/>
      <c r="G241" s="220"/>
      <c r="H241" s="220"/>
      <c r="I241" s="220"/>
      <c r="J241" s="220"/>
      <c r="K241" s="220"/>
      <c r="L241" s="220"/>
      <c r="M241" s="220"/>
      <c r="N241" s="220"/>
      <c r="O241" s="192"/>
      <c r="P241" s="192"/>
      <c r="Q241" s="192"/>
      <c r="R241" s="192"/>
      <c r="S241" s="192"/>
      <c r="T241" s="192"/>
      <c r="U241" s="192"/>
      <c r="V241" s="192"/>
      <c r="W241" s="192"/>
      <c r="X241" s="192"/>
      <c r="Y241" s="192"/>
      <c r="Z241" s="192"/>
    </row>
    <row r="242" spans="1:26" ht="15.75">
      <c r="A242" s="192"/>
      <c r="B242" s="192"/>
      <c r="C242" s="220"/>
      <c r="D242" s="220"/>
      <c r="E242" s="220"/>
      <c r="F242" s="220"/>
      <c r="G242" s="220"/>
      <c r="H242" s="220"/>
      <c r="I242" s="220"/>
      <c r="J242" s="220"/>
      <c r="K242" s="220"/>
      <c r="L242" s="220"/>
      <c r="M242" s="220"/>
      <c r="N242" s="220"/>
      <c r="O242" s="192"/>
      <c r="P242" s="192"/>
      <c r="Q242" s="192"/>
      <c r="R242" s="192"/>
      <c r="S242" s="192"/>
      <c r="T242" s="192"/>
      <c r="U242" s="192"/>
      <c r="V242" s="192"/>
      <c r="W242" s="192"/>
      <c r="X242" s="192"/>
      <c r="Y242" s="192"/>
      <c r="Z242" s="192"/>
    </row>
    <row r="243" spans="1:26" ht="15.75">
      <c r="A243" s="192"/>
      <c r="B243" s="192"/>
      <c r="C243" s="220"/>
      <c r="D243" s="220"/>
      <c r="E243" s="220"/>
      <c r="F243" s="220"/>
      <c r="G243" s="220"/>
      <c r="H243" s="220"/>
      <c r="I243" s="220"/>
      <c r="J243" s="220"/>
      <c r="K243" s="220"/>
      <c r="L243" s="220"/>
      <c r="M243" s="220"/>
      <c r="N243" s="220"/>
      <c r="O243" s="192"/>
      <c r="P243" s="192"/>
      <c r="Q243" s="192"/>
      <c r="R243" s="192"/>
      <c r="S243" s="192"/>
      <c r="T243" s="192"/>
      <c r="U243" s="192"/>
      <c r="V243" s="192"/>
      <c r="W243" s="192"/>
      <c r="X243" s="192"/>
      <c r="Y243" s="192"/>
      <c r="Z243" s="192"/>
    </row>
    <row r="244" spans="1:26" ht="15.75">
      <c r="A244" s="192"/>
      <c r="B244" s="192"/>
      <c r="C244" s="220"/>
      <c r="D244" s="220"/>
      <c r="E244" s="220"/>
      <c r="F244" s="220"/>
      <c r="G244" s="220"/>
      <c r="H244" s="220"/>
      <c r="I244" s="220"/>
      <c r="J244" s="220"/>
      <c r="K244" s="220"/>
      <c r="L244" s="220"/>
      <c r="M244" s="220"/>
      <c r="N244" s="220"/>
      <c r="O244" s="192"/>
      <c r="P244" s="192"/>
      <c r="Q244" s="192"/>
      <c r="R244" s="192"/>
      <c r="S244" s="192"/>
      <c r="T244" s="192"/>
      <c r="U244" s="192"/>
      <c r="V244" s="192"/>
      <c r="W244" s="192"/>
      <c r="X244" s="192"/>
      <c r="Y244" s="192"/>
      <c r="Z244" s="192"/>
    </row>
    <row r="245" spans="1:26" ht="15.75">
      <c r="A245" s="192"/>
      <c r="B245" s="192"/>
      <c r="C245" s="220"/>
      <c r="D245" s="220"/>
      <c r="E245" s="220"/>
      <c r="F245" s="220"/>
      <c r="G245" s="220"/>
      <c r="H245" s="220"/>
      <c r="I245" s="220"/>
      <c r="J245" s="220"/>
      <c r="K245" s="220"/>
      <c r="L245" s="220"/>
      <c r="M245" s="220"/>
      <c r="N245" s="220"/>
      <c r="O245" s="192"/>
      <c r="P245" s="192"/>
      <c r="Q245" s="192"/>
      <c r="R245" s="192"/>
      <c r="S245" s="192"/>
      <c r="T245" s="192"/>
      <c r="U245" s="192"/>
      <c r="V245" s="192"/>
      <c r="W245" s="192"/>
      <c r="X245" s="192"/>
      <c r="Y245" s="192"/>
      <c r="Z245" s="192"/>
    </row>
    <row r="246" spans="1:26" ht="15.75">
      <c r="A246" s="192"/>
      <c r="B246" s="218"/>
      <c r="C246" s="220"/>
      <c r="D246" s="220"/>
      <c r="E246" s="220"/>
      <c r="F246" s="220"/>
      <c r="G246" s="220"/>
      <c r="H246" s="220"/>
      <c r="I246" s="220"/>
      <c r="J246" s="220"/>
      <c r="K246" s="220"/>
      <c r="L246" s="220"/>
      <c r="M246" s="220"/>
      <c r="N246" s="220"/>
      <c r="O246" s="192"/>
      <c r="P246" s="192"/>
      <c r="Q246" s="192"/>
      <c r="R246" s="192"/>
      <c r="S246" s="192"/>
      <c r="T246" s="192"/>
      <c r="U246" s="192"/>
      <c r="V246" s="192"/>
      <c r="W246" s="192"/>
      <c r="X246" s="192"/>
      <c r="Y246" s="192"/>
      <c r="Z246" s="192"/>
    </row>
    <row r="247" spans="1:26" ht="15.75">
      <c r="A247" s="192"/>
      <c r="B247" s="192"/>
      <c r="C247" s="220"/>
      <c r="D247" s="220"/>
      <c r="E247" s="220"/>
      <c r="F247" s="220"/>
      <c r="G247" s="220"/>
      <c r="H247" s="220"/>
      <c r="I247" s="220"/>
      <c r="J247" s="220"/>
      <c r="K247" s="220"/>
      <c r="L247" s="220"/>
      <c r="M247" s="220"/>
      <c r="N247" s="220"/>
      <c r="O247" s="192"/>
      <c r="P247" s="192"/>
      <c r="Q247" s="192"/>
      <c r="R247" s="192"/>
      <c r="S247" s="192"/>
      <c r="T247" s="192"/>
      <c r="U247" s="192"/>
      <c r="V247" s="192"/>
      <c r="W247" s="192"/>
      <c r="X247" s="192"/>
      <c r="Y247" s="192"/>
      <c r="Z247" s="192"/>
    </row>
    <row r="248" spans="1:26" ht="15.75">
      <c r="A248" s="192"/>
      <c r="B248" s="219"/>
      <c r="C248" s="220"/>
      <c r="D248" s="220"/>
      <c r="E248" s="220"/>
      <c r="F248" s="220"/>
      <c r="G248" s="220"/>
      <c r="H248" s="220"/>
      <c r="I248" s="220"/>
      <c r="J248" s="220"/>
      <c r="K248" s="220"/>
      <c r="L248" s="220"/>
      <c r="M248" s="220"/>
      <c r="N248" s="220"/>
      <c r="O248" s="192"/>
      <c r="P248" s="192"/>
      <c r="Q248" s="192"/>
      <c r="R248" s="192"/>
      <c r="S248" s="192"/>
      <c r="T248" s="192"/>
      <c r="U248" s="192"/>
      <c r="V248" s="192"/>
      <c r="W248" s="192"/>
      <c r="X248" s="192"/>
      <c r="Y248" s="192"/>
      <c r="Z248" s="192"/>
    </row>
    <row r="249" spans="1:26" ht="15.75">
      <c r="A249" s="192"/>
      <c r="B249" s="192"/>
      <c r="C249" s="220"/>
      <c r="D249" s="220"/>
      <c r="E249" s="220"/>
      <c r="F249" s="220"/>
      <c r="G249" s="220"/>
      <c r="H249" s="220"/>
      <c r="I249" s="220"/>
      <c r="J249" s="220"/>
      <c r="K249" s="220"/>
      <c r="L249" s="220"/>
      <c r="M249" s="220"/>
      <c r="N249" s="220"/>
      <c r="O249" s="192"/>
      <c r="P249" s="192"/>
      <c r="Q249" s="192"/>
      <c r="R249" s="192"/>
      <c r="S249" s="192"/>
      <c r="T249" s="192"/>
      <c r="U249" s="192"/>
      <c r="V249" s="192"/>
      <c r="W249" s="192"/>
      <c r="X249" s="192"/>
      <c r="Y249" s="192"/>
      <c r="Z249" s="192"/>
    </row>
    <row r="250" spans="1:26" ht="15.75">
      <c r="A250" s="192"/>
      <c r="B250" s="192"/>
      <c r="C250" s="220"/>
      <c r="D250" s="220"/>
      <c r="E250" s="220"/>
      <c r="F250" s="220"/>
      <c r="G250" s="220"/>
      <c r="H250" s="220"/>
      <c r="I250" s="220"/>
      <c r="J250" s="220"/>
      <c r="K250" s="220"/>
      <c r="L250" s="220"/>
      <c r="M250" s="220"/>
      <c r="N250" s="220"/>
      <c r="O250" s="192"/>
      <c r="P250" s="192"/>
      <c r="Q250" s="192"/>
      <c r="R250" s="192"/>
      <c r="S250" s="192"/>
      <c r="T250" s="192"/>
      <c r="U250" s="192"/>
      <c r="V250" s="192"/>
      <c r="W250" s="192"/>
      <c r="X250" s="192"/>
      <c r="Y250" s="192"/>
      <c r="Z250" s="192"/>
    </row>
    <row r="251" spans="1:26" ht="15.75">
      <c r="A251" s="192"/>
      <c r="B251" s="192"/>
      <c r="C251" s="220"/>
      <c r="D251" s="220"/>
      <c r="E251" s="220"/>
      <c r="F251" s="220"/>
      <c r="G251" s="220"/>
      <c r="H251" s="220"/>
      <c r="I251" s="220"/>
      <c r="J251" s="220"/>
      <c r="K251" s="220"/>
      <c r="L251" s="220"/>
      <c r="M251" s="220"/>
      <c r="N251" s="220"/>
      <c r="O251" s="192"/>
      <c r="P251" s="192"/>
      <c r="Q251" s="192"/>
      <c r="R251" s="192"/>
      <c r="S251" s="192"/>
      <c r="T251" s="192"/>
      <c r="U251" s="192"/>
      <c r="V251" s="192"/>
      <c r="W251" s="192"/>
      <c r="X251" s="192"/>
      <c r="Y251" s="192"/>
      <c r="Z251" s="192"/>
    </row>
    <row r="252" spans="1:26" ht="15.75">
      <c r="A252" s="192"/>
      <c r="B252" s="192"/>
      <c r="C252" s="220"/>
      <c r="D252" s="220"/>
      <c r="E252" s="220"/>
      <c r="F252" s="220"/>
      <c r="G252" s="220"/>
      <c r="H252" s="220"/>
      <c r="I252" s="220"/>
      <c r="J252" s="220"/>
      <c r="K252" s="220"/>
      <c r="L252" s="220"/>
      <c r="M252" s="220"/>
      <c r="N252" s="220"/>
      <c r="O252" s="192"/>
      <c r="P252" s="192"/>
      <c r="Q252" s="192"/>
      <c r="R252" s="192"/>
      <c r="S252" s="192"/>
      <c r="T252" s="192"/>
      <c r="U252" s="192"/>
      <c r="V252" s="192"/>
      <c r="W252" s="192"/>
      <c r="X252" s="192"/>
      <c r="Y252" s="192"/>
      <c r="Z252" s="192"/>
    </row>
    <row r="253" spans="1:26" ht="15.75">
      <c r="A253" s="192"/>
      <c r="B253" s="192"/>
      <c r="C253" s="220"/>
      <c r="D253" s="220"/>
      <c r="E253" s="220"/>
      <c r="F253" s="220"/>
      <c r="G253" s="220"/>
      <c r="H253" s="220"/>
      <c r="I253" s="220"/>
      <c r="J253" s="220"/>
      <c r="K253" s="220"/>
      <c r="L253" s="220"/>
      <c r="M253" s="220"/>
      <c r="N253" s="220"/>
      <c r="O253" s="192"/>
      <c r="P253" s="192"/>
      <c r="Q253" s="192"/>
      <c r="R253" s="192"/>
      <c r="S253" s="192"/>
      <c r="T253" s="192"/>
      <c r="U253" s="192"/>
      <c r="V253" s="192"/>
      <c r="W253" s="192"/>
      <c r="X253" s="192"/>
      <c r="Y253" s="192"/>
      <c r="Z253" s="192"/>
    </row>
    <row r="254" spans="1:26" ht="15.75">
      <c r="A254" s="192"/>
      <c r="B254" s="192"/>
      <c r="C254" s="220"/>
      <c r="D254" s="220"/>
      <c r="E254" s="220"/>
      <c r="F254" s="220"/>
      <c r="G254" s="220"/>
      <c r="H254" s="220"/>
      <c r="I254" s="220"/>
      <c r="J254" s="220"/>
      <c r="K254" s="220"/>
      <c r="L254" s="220"/>
      <c r="M254" s="220"/>
      <c r="N254" s="220"/>
      <c r="O254" s="192"/>
      <c r="P254" s="192"/>
      <c r="Q254" s="192"/>
      <c r="R254" s="192"/>
      <c r="S254" s="192"/>
      <c r="T254" s="192"/>
      <c r="U254" s="192"/>
      <c r="V254" s="192"/>
      <c r="W254" s="192"/>
      <c r="X254" s="192"/>
      <c r="Y254" s="192"/>
      <c r="Z254" s="192"/>
    </row>
    <row r="255" spans="1:26" ht="15.75">
      <c r="A255" s="192"/>
      <c r="B255" s="192"/>
      <c r="C255" s="220"/>
      <c r="D255" s="220"/>
      <c r="E255" s="220"/>
      <c r="F255" s="220"/>
      <c r="G255" s="220"/>
      <c r="H255" s="220"/>
      <c r="I255" s="220"/>
      <c r="J255" s="220"/>
      <c r="K255" s="220"/>
      <c r="L255" s="220"/>
      <c r="M255" s="220"/>
      <c r="N255" s="220"/>
      <c r="O255" s="192"/>
      <c r="P255" s="192"/>
      <c r="Q255" s="192"/>
      <c r="R255" s="192"/>
      <c r="S255" s="192"/>
      <c r="T255" s="192"/>
      <c r="U255" s="192"/>
      <c r="V255" s="192"/>
      <c r="W255" s="192"/>
      <c r="X255" s="192"/>
      <c r="Y255" s="192"/>
      <c r="Z255" s="192"/>
    </row>
    <row r="256" spans="1:26" ht="15.75">
      <c r="A256" s="192"/>
      <c r="B256" s="192"/>
      <c r="C256" s="220"/>
      <c r="D256" s="220"/>
      <c r="E256" s="220"/>
      <c r="F256" s="220"/>
      <c r="G256" s="220"/>
      <c r="H256" s="220"/>
      <c r="I256" s="220"/>
      <c r="J256" s="220"/>
      <c r="K256" s="220"/>
      <c r="L256" s="220"/>
      <c r="M256" s="220"/>
      <c r="N256" s="220"/>
      <c r="O256" s="192"/>
      <c r="P256" s="192"/>
      <c r="Q256" s="192"/>
      <c r="R256" s="192"/>
      <c r="S256" s="192"/>
      <c r="T256" s="192"/>
      <c r="U256" s="192"/>
      <c r="V256" s="192"/>
      <c r="W256" s="192"/>
      <c r="X256" s="192"/>
      <c r="Y256" s="192"/>
      <c r="Z256" s="192"/>
    </row>
    <row r="257" spans="1:26" ht="15.75">
      <c r="A257" s="192"/>
      <c r="B257" s="192"/>
      <c r="C257" s="220"/>
      <c r="D257" s="220"/>
      <c r="E257" s="220"/>
      <c r="F257" s="220"/>
      <c r="G257" s="220"/>
      <c r="H257" s="220"/>
      <c r="I257" s="220"/>
      <c r="J257" s="220"/>
      <c r="K257" s="220"/>
      <c r="L257" s="220"/>
      <c r="M257" s="220"/>
      <c r="N257" s="220"/>
      <c r="O257" s="192"/>
      <c r="P257" s="192"/>
      <c r="Q257" s="192"/>
      <c r="R257" s="192"/>
      <c r="S257" s="192"/>
      <c r="T257" s="192"/>
      <c r="U257" s="192"/>
      <c r="V257" s="192"/>
      <c r="W257" s="192"/>
      <c r="X257" s="192"/>
      <c r="Y257" s="192"/>
      <c r="Z257" s="192"/>
    </row>
    <row r="258" spans="1:26" ht="15.75">
      <c r="A258" s="192"/>
      <c r="B258" s="192"/>
      <c r="C258" s="220"/>
      <c r="D258" s="220"/>
      <c r="E258" s="220"/>
      <c r="F258" s="220"/>
      <c r="G258" s="220"/>
      <c r="H258" s="220"/>
      <c r="I258" s="220"/>
      <c r="J258" s="220"/>
      <c r="K258" s="220"/>
      <c r="L258" s="220"/>
      <c r="M258" s="220"/>
      <c r="N258" s="220"/>
      <c r="O258" s="192"/>
      <c r="P258" s="192"/>
      <c r="Q258" s="192"/>
      <c r="R258" s="192"/>
      <c r="S258" s="192"/>
      <c r="T258" s="192"/>
      <c r="U258" s="192"/>
      <c r="V258" s="192"/>
      <c r="W258" s="192"/>
      <c r="X258" s="192"/>
      <c r="Y258" s="192"/>
      <c r="Z258" s="192"/>
    </row>
    <row r="259" spans="1:26" ht="15.75">
      <c r="A259" s="192"/>
      <c r="B259" s="192"/>
      <c r="C259" s="220"/>
      <c r="D259" s="220"/>
      <c r="E259" s="220"/>
      <c r="F259" s="220"/>
      <c r="G259" s="220"/>
      <c r="H259" s="220"/>
      <c r="I259" s="220"/>
      <c r="J259" s="220"/>
      <c r="K259" s="220"/>
      <c r="L259" s="220"/>
      <c r="M259" s="220"/>
      <c r="N259" s="220"/>
      <c r="O259" s="192"/>
      <c r="P259" s="192"/>
      <c r="Q259" s="192"/>
      <c r="R259" s="192"/>
      <c r="S259" s="192"/>
      <c r="T259" s="192"/>
      <c r="U259" s="192"/>
      <c r="V259" s="192"/>
      <c r="W259" s="192"/>
      <c r="X259" s="192"/>
      <c r="Y259" s="192"/>
      <c r="Z259" s="192"/>
    </row>
    <row r="260" spans="1:26" ht="15.75">
      <c r="A260" s="192"/>
      <c r="B260" s="192"/>
      <c r="C260" s="220"/>
      <c r="D260" s="220"/>
      <c r="E260" s="220"/>
      <c r="F260" s="220"/>
      <c r="G260" s="220"/>
      <c r="H260" s="220"/>
      <c r="I260" s="220"/>
      <c r="J260" s="220"/>
      <c r="K260" s="220"/>
      <c r="L260" s="220"/>
      <c r="M260" s="220"/>
      <c r="N260" s="220"/>
      <c r="O260" s="192"/>
      <c r="P260" s="192"/>
      <c r="Q260" s="192"/>
      <c r="R260" s="192"/>
      <c r="S260" s="192"/>
      <c r="T260" s="192"/>
      <c r="U260" s="192"/>
      <c r="V260" s="192"/>
      <c r="W260" s="192"/>
      <c r="X260" s="192"/>
      <c r="Y260" s="192"/>
      <c r="Z260" s="192"/>
    </row>
    <row r="261" spans="1:26" ht="15.75">
      <c r="A261" s="192"/>
      <c r="B261" s="192"/>
      <c r="C261" s="220"/>
      <c r="D261" s="220"/>
      <c r="E261" s="220"/>
      <c r="F261" s="220"/>
      <c r="G261" s="220"/>
      <c r="H261" s="220"/>
      <c r="I261" s="220"/>
      <c r="J261" s="220"/>
      <c r="K261" s="220"/>
      <c r="L261" s="220"/>
      <c r="M261" s="220"/>
      <c r="N261" s="220"/>
      <c r="O261" s="192"/>
      <c r="P261" s="192"/>
      <c r="Q261" s="192"/>
      <c r="R261" s="192"/>
      <c r="S261" s="192"/>
      <c r="T261" s="192"/>
      <c r="U261" s="192"/>
      <c r="V261" s="192"/>
      <c r="W261" s="192"/>
      <c r="X261" s="192"/>
      <c r="Y261" s="192"/>
      <c r="Z261" s="192"/>
    </row>
    <row r="262" spans="1:26" ht="15.75">
      <c r="A262" s="192"/>
      <c r="B262" s="192"/>
      <c r="C262" s="220"/>
      <c r="D262" s="220"/>
      <c r="E262" s="220"/>
      <c r="F262" s="220"/>
      <c r="G262" s="220"/>
      <c r="H262" s="220"/>
      <c r="I262" s="220"/>
      <c r="J262" s="220"/>
      <c r="K262" s="220"/>
      <c r="L262" s="220"/>
      <c r="M262" s="220"/>
      <c r="N262" s="220"/>
      <c r="O262" s="192"/>
      <c r="P262" s="192"/>
      <c r="Q262" s="192"/>
      <c r="R262" s="192"/>
      <c r="S262" s="192"/>
      <c r="T262" s="192"/>
      <c r="U262" s="192"/>
      <c r="V262" s="192"/>
      <c r="W262" s="192"/>
      <c r="X262" s="192"/>
      <c r="Y262" s="192"/>
      <c r="Z262" s="192"/>
    </row>
    <row r="263" spans="1:26" ht="15.75">
      <c r="A263" s="192"/>
      <c r="B263" s="192"/>
      <c r="C263" s="220"/>
      <c r="D263" s="220"/>
      <c r="E263" s="220"/>
      <c r="F263" s="220"/>
      <c r="G263" s="220"/>
      <c r="H263" s="220"/>
      <c r="I263" s="220"/>
      <c r="J263" s="220"/>
      <c r="K263" s="220"/>
      <c r="L263" s="220"/>
      <c r="M263" s="220"/>
      <c r="N263" s="220"/>
      <c r="O263" s="192"/>
      <c r="P263" s="192"/>
      <c r="Q263" s="192"/>
      <c r="R263" s="192"/>
      <c r="S263" s="192"/>
      <c r="T263" s="192"/>
      <c r="U263" s="192"/>
      <c r="V263" s="192"/>
      <c r="W263" s="192"/>
      <c r="X263" s="192"/>
      <c r="Y263" s="192"/>
      <c r="Z263" s="192"/>
    </row>
    <row r="264" spans="1:26" ht="15.75">
      <c r="A264" s="192"/>
      <c r="B264" s="192"/>
      <c r="C264" s="220"/>
      <c r="D264" s="220"/>
      <c r="E264" s="220"/>
      <c r="F264" s="220"/>
      <c r="G264" s="220"/>
      <c r="H264" s="220"/>
      <c r="I264" s="220"/>
      <c r="J264" s="220"/>
      <c r="K264" s="220"/>
      <c r="L264" s="220"/>
      <c r="M264" s="220"/>
      <c r="N264" s="220"/>
      <c r="O264" s="192"/>
      <c r="P264" s="192"/>
      <c r="Q264" s="192"/>
      <c r="R264" s="192"/>
      <c r="S264" s="192"/>
      <c r="T264" s="192"/>
      <c r="U264" s="192"/>
      <c r="V264" s="192"/>
      <c r="W264" s="192"/>
      <c r="X264" s="192"/>
      <c r="Y264" s="192"/>
      <c r="Z264" s="192"/>
    </row>
    <row r="265" spans="1:26" ht="15.75">
      <c r="A265" s="192"/>
      <c r="B265" s="192"/>
      <c r="C265" s="220"/>
      <c r="D265" s="220"/>
      <c r="E265" s="220"/>
      <c r="F265" s="220"/>
      <c r="G265" s="220"/>
      <c r="H265" s="220"/>
      <c r="I265" s="220"/>
      <c r="J265" s="220"/>
      <c r="K265" s="220"/>
      <c r="L265" s="220"/>
      <c r="M265" s="220"/>
      <c r="N265" s="220"/>
      <c r="O265" s="192"/>
      <c r="P265" s="192"/>
      <c r="Q265" s="192"/>
      <c r="R265" s="192"/>
      <c r="S265" s="192"/>
      <c r="T265" s="192"/>
      <c r="U265" s="192"/>
      <c r="V265" s="192"/>
      <c r="W265" s="192"/>
      <c r="X265" s="192"/>
      <c r="Y265" s="192"/>
      <c r="Z265" s="192"/>
    </row>
    <row r="266" spans="1:26" ht="15.75">
      <c r="A266" s="192"/>
      <c r="B266" s="192"/>
      <c r="C266" s="220"/>
      <c r="D266" s="220"/>
      <c r="E266" s="220"/>
      <c r="F266" s="220"/>
      <c r="G266" s="220"/>
      <c r="H266" s="220"/>
      <c r="I266" s="220"/>
      <c r="J266" s="220"/>
      <c r="K266" s="220"/>
      <c r="L266" s="220"/>
      <c r="M266" s="220"/>
      <c r="N266" s="220"/>
      <c r="O266" s="192"/>
      <c r="P266" s="192"/>
      <c r="Q266" s="192"/>
      <c r="R266" s="192"/>
      <c r="S266" s="192"/>
      <c r="T266" s="192"/>
      <c r="U266" s="192"/>
      <c r="V266" s="192"/>
      <c r="W266" s="192"/>
      <c r="X266" s="192"/>
      <c r="Y266" s="192"/>
      <c r="Z266" s="192"/>
    </row>
    <row r="267" spans="1:26" ht="15.75">
      <c r="A267" s="192"/>
      <c r="B267" s="192"/>
      <c r="C267" s="220"/>
      <c r="D267" s="220"/>
      <c r="E267" s="220"/>
      <c r="F267" s="220"/>
      <c r="G267" s="220"/>
      <c r="H267" s="220"/>
      <c r="I267" s="220"/>
      <c r="J267" s="220"/>
      <c r="K267" s="220"/>
      <c r="L267" s="220"/>
      <c r="M267" s="220"/>
      <c r="N267" s="220"/>
      <c r="O267" s="192"/>
      <c r="P267" s="192"/>
      <c r="Q267" s="192"/>
      <c r="R267" s="192"/>
      <c r="S267" s="192"/>
      <c r="T267" s="192"/>
      <c r="U267" s="192"/>
      <c r="V267" s="192"/>
      <c r="W267" s="192"/>
      <c r="X267" s="192"/>
      <c r="Y267" s="192"/>
      <c r="Z267" s="192"/>
    </row>
    <row r="268" spans="1:26" ht="15.75">
      <c r="A268" s="192"/>
      <c r="B268" s="192"/>
      <c r="C268" s="220"/>
      <c r="D268" s="220"/>
      <c r="E268" s="220"/>
      <c r="F268" s="220"/>
      <c r="G268" s="220"/>
      <c r="H268" s="220"/>
      <c r="I268" s="220"/>
      <c r="J268" s="220"/>
      <c r="K268" s="220"/>
      <c r="L268" s="220"/>
      <c r="M268" s="220"/>
      <c r="N268" s="220"/>
      <c r="O268" s="192"/>
      <c r="P268" s="192"/>
      <c r="Q268" s="192"/>
      <c r="R268" s="192"/>
      <c r="S268" s="192"/>
      <c r="T268" s="192"/>
      <c r="U268" s="192"/>
      <c r="V268" s="192"/>
      <c r="W268" s="192"/>
      <c r="X268" s="192"/>
      <c r="Y268" s="192"/>
      <c r="Z268" s="192"/>
    </row>
    <row r="269" spans="1:26" ht="15.75">
      <c r="A269" s="192"/>
      <c r="B269" s="192"/>
      <c r="C269" s="220"/>
      <c r="D269" s="220"/>
      <c r="E269" s="220"/>
      <c r="F269" s="220"/>
      <c r="G269" s="220"/>
      <c r="H269" s="220"/>
      <c r="I269" s="220"/>
      <c r="J269" s="220"/>
      <c r="K269" s="220"/>
      <c r="L269" s="220"/>
      <c r="M269" s="220"/>
      <c r="N269" s="220"/>
      <c r="O269" s="192"/>
      <c r="P269" s="192"/>
      <c r="Q269" s="192"/>
      <c r="R269" s="192"/>
      <c r="S269" s="192"/>
      <c r="T269" s="192"/>
      <c r="U269" s="192"/>
      <c r="V269" s="192"/>
      <c r="W269" s="192"/>
      <c r="X269" s="192"/>
      <c r="Y269" s="192"/>
      <c r="Z269" s="192"/>
    </row>
    <row r="270" spans="1:26" ht="15.75">
      <c r="A270" s="192"/>
      <c r="B270" s="192"/>
      <c r="C270" s="220"/>
      <c r="D270" s="220"/>
      <c r="E270" s="220"/>
      <c r="F270" s="220"/>
      <c r="G270" s="220"/>
      <c r="H270" s="220"/>
      <c r="I270" s="220"/>
      <c r="J270" s="220"/>
      <c r="K270" s="220"/>
      <c r="L270" s="220"/>
      <c r="M270" s="220"/>
      <c r="N270" s="220"/>
      <c r="O270" s="192"/>
      <c r="P270" s="192"/>
      <c r="Q270" s="192"/>
      <c r="R270" s="192"/>
      <c r="S270" s="192"/>
      <c r="T270" s="192"/>
      <c r="U270" s="192"/>
      <c r="V270" s="192"/>
      <c r="W270" s="192"/>
      <c r="X270" s="192"/>
      <c r="Y270" s="192"/>
      <c r="Z270" s="192"/>
    </row>
    <row r="271" spans="1:26" ht="15.75">
      <c r="A271" s="192"/>
      <c r="B271" s="192"/>
      <c r="C271" s="220"/>
      <c r="D271" s="220"/>
      <c r="E271" s="220"/>
      <c r="F271" s="220"/>
      <c r="G271" s="220"/>
      <c r="H271" s="220"/>
      <c r="I271" s="220"/>
      <c r="J271" s="220"/>
      <c r="K271" s="220"/>
      <c r="L271" s="220"/>
      <c r="M271" s="220"/>
      <c r="N271" s="220"/>
      <c r="O271" s="192"/>
      <c r="P271" s="192"/>
      <c r="Q271" s="192"/>
      <c r="R271" s="192"/>
      <c r="S271" s="192"/>
      <c r="T271" s="192"/>
      <c r="U271" s="192"/>
      <c r="V271" s="192"/>
      <c r="W271" s="192"/>
      <c r="X271" s="192"/>
      <c r="Y271" s="192"/>
      <c r="Z271" s="192"/>
    </row>
    <row r="272" spans="1:26" ht="15.75">
      <c r="A272" s="192"/>
      <c r="B272" s="218"/>
      <c r="C272" s="220"/>
      <c r="D272" s="220"/>
      <c r="E272" s="220"/>
      <c r="F272" s="220"/>
      <c r="G272" s="220"/>
      <c r="H272" s="220"/>
      <c r="I272" s="220"/>
      <c r="J272" s="220"/>
      <c r="K272" s="220"/>
      <c r="L272" s="220"/>
      <c r="M272" s="220"/>
      <c r="N272" s="220"/>
      <c r="O272" s="192"/>
      <c r="P272" s="192"/>
      <c r="Q272" s="192"/>
      <c r="R272" s="192"/>
      <c r="S272" s="192"/>
      <c r="T272" s="192"/>
      <c r="U272" s="192"/>
      <c r="V272" s="192"/>
      <c r="W272" s="192"/>
      <c r="X272" s="192"/>
      <c r="Y272" s="192"/>
      <c r="Z272" s="192"/>
    </row>
    <row r="273" spans="1:26" ht="15.75">
      <c r="A273" s="192"/>
      <c r="B273" s="192"/>
      <c r="C273" s="220"/>
      <c r="D273" s="220"/>
      <c r="E273" s="220"/>
      <c r="F273" s="220"/>
      <c r="G273" s="220"/>
      <c r="H273" s="220"/>
      <c r="I273" s="220"/>
      <c r="J273" s="220"/>
      <c r="K273" s="220"/>
      <c r="L273" s="220"/>
      <c r="M273" s="220"/>
      <c r="N273" s="220"/>
      <c r="O273" s="192"/>
      <c r="P273" s="192"/>
      <c r="Q273" s="192"/>
      <c r="R273" s="192"/>
      <c r="S273" s="192"/>
      <c r="T273" s="192"/>
      <c r="U273" s="192"/>
      <c r="V273" s="192"/>
      <c r="W273" s="192"/>
      <c r="X273" s="192"/>
      <c r="Y273" s="192"/>
      <c r="Z273" s="192"/>
    </row>
    <row r="274" spans="1:26" ht="15.75">
      <c r="A274" s="192"/>
      <c r="B274" s="219"/>
      <c r="C274" s="220"/>
      <c r="D274" s="220"/>
      <c r="E274" s="220"/>
      <c r="F274" s="220"/>
      <c r="G274" s="220"/>
      <c r="H274" s="220"/>
      <c r="I274" s="220"/>
      <c r="J274" s="220"/>
      <c r="K274" s="220"/>
      <c r="L274" s="220"/>
      <c r="M274" s="220"/>
      <c r="N274" s="220"/>
      <c r="O274" s="192"/>
      <c r="P274" s="192"/>
      <c r="Q274" s="192"/>
      <c r="R274" s="192"/>
      <c r="S274" s="192"/>
      <c r="T274" s="192"/>
      <c r="U274" s="192"/>
      <c r="V274" s="192"/>
      <c r="W274" s="192"/>
      <c r="X274" s="192"/>
      <c r="Y274" s="192"/>
      <c r="Z274" s="192"/>
    </row>
    <row r="275" spans="1:26" ht="15.75">
      <c r="A275" s="192"/>
      <c r="B275" s="192"/>
      <c r="C275" s="220"/>
      <c r="D275" s="220"/>
      <c r="E275" s="220"/>
      <c r="F275" s="220"/>
      <c r="G275" s="220"/>
      <c r="H275" s="220"/>
      <c r="I275" s="220"/>
      <c r="J275" s="220"/>
      <c r="K275" s="220"/>
      <c r="L275" s="220"/>
      <c r="M275" s="220"/>
      <c r="N275" s="220"/>
      <c r="O275" s="192"/>
      <c r="P275" s="192"/>
      <c r="Q275" s="192"/>
      <c r="R275" s="192"/>
      <c r="S275" s="192"/>
      <c r="T275" s="192"/>
      <c r="U275" s="192"/>
      <c r="V275" s="192"/>
      <c r="W275" s="192"/>
      <c r="X275" s="192"/>
      <c r="Y275" s="192"/>
      <c r="Z275" s="192"/>
    </row>
    <row r="276" spans="1:26" ht="15.75">
      <c r="A276" s="192"/>
      <c r="B276" s="192"/>
      <c r="C276" s="220"/>
      <c r="D276" s="220"/>
      <c r="E276" s="220"/>
      <c r="F276" s="220"/>
      <c r="G276" s="220"/>
      <c r="H276" s="220"/>
      <c r="I276" s="220"/>
      <c r="J276" s="220"/>
      <c r="K276" s="220"/>
      <c r="L276" s="220"/>
      <c r="M276" s="220"/>
      <c r="N276" s="220"/>
      <c r="O276" s="192"/>
      <c r="P276" s="192"/>
      <c r="Q276" s="192"/>
      <c r="R276" s="192"/>
      <c r="S276" s="192"/>
      <c r="T276" s="192"/>
      <c r="U276" s="192"/>
      <c r="V276" s="192"/>
      <c r="W276" s="192"/>
      <c r="X276" s="192"/>
      <c r="Y276" s="192"/>
      <c r="Z276" s="192"/>
    </row>
    <row r="277" spans="1:26" ht="15.75">
      <c r="A277" s="192"/>
      <c r="B277" s="192"/>
      <c r="C277" s="220"/>
      <c r="D277" s="220"/>
      <c r="E277" s="220"/>
      <c r="F277" s="220"/>
      <c r="G277" s="220"/>
      <c r="H277" s="220"/>
      <c r="I277" s="220"/>
      <c r="J277" s="220"/>
      <c r="K277" s="220"/>
      <c r="L277" s="220"/>
      <c r="M277" s="220"/>
      <c r="N277" s="220"/>
      <c r="O277" s="192"/>
      <c r="P277" s="192"/>
      <c r="Q277" s="192"/>
      <c r="R277" s="192"/>
      <c r="S277" s="192"/>
      <c r="T277" s="192"/>
      <c r="U277" s="192"/>
      <c r="V277" s="192"/>
      <c r="W277" s="192"/>
      <c r="X277" s="192"/>
      <c r="Y277" s="192"/>
      <c r="Z277" s="192"/>
    </row>
    <row r="278" spans="1:26" ht="15.75">
      <c r="A278" s="192"/>
      <c r="B278" s="192"/>
      <c r="C278" s="220"/>
      <c r="D278" s="220"/>
      <c r="E278" s="220"/>
      <c r="F278" s="220"/>
      <c r="G278" s="220"/>
      <c r="H278" s="220"/>
      <c r="I278" s="220"/>
      <c r="J278" s="220"/>
      <c r="K278" s="220"/>
      <c r="L278" s="220"/>
      <c r="M278" s="220"/>
      <c r="N278" s="220"/>
      <c r="O278" s="192"/>
      <c r="P278" s="192"/>
      <c r="Q278" s="192"/>
      <c r="R278" s="192"/>
      <c r="S278" s="192"/>
      <c r="T278" s="192"/>
      <c r="U278" s="192"/>
      <c r="V278" s="192"/>
      <c r="W278" s="192"/>
      <c r="X278" s="192"/>
      <c r="Y278" s="192"/>
      <c r="Z278" s="192"/>
    </row>
    <row r="279" spans="1:26" ht="15.75">
      <c r="A279" s="192"/>
      <c r="B279" s="192"/>
      <c r="C279" s="220"/>
      <c r="D279" s="220"/>
      <c r="E279" s="220"/>
      <c r="F279" s="220"/>
      <c r="G279" s="220"/>
      <c r="H279" s="220"/>
      <c r="I279" s="220"/>
      <c r="J279" s="220"/>
      <c r="K279" s="220"/>
      <c r="L279" s="220"/>
      <c r="M279" s="220"/>
      <c r="N279" s="220"/>
      <c r="O279" s="192"/>
      <c r="P279" s="192"/>
      <c r="Q279" s="192"/>
      <c r="R279" s="192"/>
      <c r="S279" s="192"/>
      <c r="T279" s="192"/>
      <c r="U279" s="192"/>
      <c r="V279" s="192"/>
      <c r="W279" s="192"/>
      <c r="X279" s="192"/>
      <c r="Y279" s="192"/>
      <c r="Z279" s="192"/>
    </row>
    <row r="280" spans="1:26" ht="15.75">
      <c r="A280" s="192"/>
      <c r="B280" s="192"/>
      <c r="C280" s="220"/>
      <c r="D280" s="220"/>
      <c r="E280" s="220"/>
      <c r="F280" s="220"/>
      <c r="G280" s="220"/>
      <c r="H280" s="220"/>
      <c r="I280" s="220"/>
      <c r="J280" s="220"/>
      <c r="K280" s="220"/>
      <c r="L280" s="220"/>
      <c r="M280" s="220"/>
      <c r="N280" s="220"/>
      <c r="O280" s="192"/>
      <c r="P280" s="192"/>
      <c r="Q280" s="192"/>
      <c r="R280" s="192"/>
      <c r="S280" s="192"/>
      <c r="T280" s="192"/>
      <c r="U280" s="192"/>
      <c r="V280" s="192"/>
      <c r="W280" s="192"/>
      <c r="X280" s="192"/>
      <c r="Y280" s="192"/>
      <c r="Z280" s="192"/>
    </row>
    <row r="281" spans="1:26" ht="15.75">
      <c r="A281" s="192"/>
      <c r="B281" s="192"/>
      <c r="C281" s="220"/>
      <c r="D281" s="220"/>
      <c r="E281" s="220"/>
      <c r="F281" s="220"/>
      <c r="G281" s="220"/>
      <c r="H281" s="220"/>
      <c r="I281" s="220"/>
      <c r="J281" s="220"/>
      <c r="K281" s="220"/>
      <c r="L281" s="220"/>
      <c r="M281" s="220"/>
      <c r="N281" s="220"/>
      <c r="O281" s="192"/>
      <c r="P281" s="192"/>
      <c r="Q281" s="192"/>
      <c r="R281" s="192"/>
      <c r="S281" s="192"/>
      <c r="T281" s="192"/>
      <c r="U281" s="192"/>
      <c r="V281" s="192"/>
      <c r="W281" s="192"/>
      <c r="X281" s="192"/>
      <c r="Y281" s="192"/>
      <c r="Z281" s="192"/>
    </row>
    <row r="282" spans="1:26" ht="15.75">
      <c r="A282" s="192"/>
      <c r="B282" s="192"/>
      <c r="C282" s="220"/>
      <c r="D282" s="220"/>
      <c r="E282" s="220"/>
      <c r="F282" s="220"/>
      <c r="G282" s="220"/>
      <c r="H282" s="220"/>
      <c r="I282" s="220"/>
      <c r="J282" s="220"/>
      <c r="K282" s="220"/>
      <c r="L282" s="220"/>
      <c r="M282" s="220"/>
      <c r="N282" s="220"/>
      <c r="O282" s="192"/>
      <c r="P282" s="192"/>
      <c r="Q282" s="192"/>
      <c r="R282" s="192"/>
      <c r="S282" s="192"/>
      <c r="T282" s="192"/>
      <c r="U282" s="192"/>
      <c r="V282" s="192"/>
      <c r="W282" s="192"/>
      <c r="X282" s="192"/>
      <c r="Y282" s="192"/>
      <c r="Z282" s="192"/>
    </row>
    <row r="283" spans="1:26" ht="15.75">
      <c r="A283" s="192"/>
      <c r="B283" s="192"/>
      <c r="C283" s="220"/>
      <c r="D283" s="220"/>
      <c r="E283" s="220"/>
      <c r="F283" s="220"/>
      <c r="G283" s="220"/>
      <c r="H283" s="220"/>
      <c r="I283" s="220"/>
      <c r="J283" s="220"/>
      <c r="K283" s="220"/>
      <c r="L283" s="220"/>
      <c r="M283" s="220"/>
      <c r="N283" s="220"/>
      <c r="O283" s="192"/>
      <c r="P283" s="192"/>
      <c r="Q283" s="192"/>
      <c r="R283" s="192"/>
      <c r="S283" s="192"/>
      <c r="T283" s="192"/>
      <c r="U283" s="192"/>
      <c r="V283" s="192"/>
      <c r="W283" s="192"/>
      <c r="X283" s="192"/>
      <c r="Y283" s="192"/>
      <c r="Z283" s="192"/>
    </row>
    <row r="284" spans="1:26" ht="15.75">
      <c r="A284" s="192"/>
      <c r="B284" s="192"/>
      <c r="C284" s="220"/>
      <c r="D284" s="220"/>
      <c r="E284" s="220"/>
      <c r="F284" s="220"/>
      <c r="G284" s="220"/>
      <c r="H284" s="220"/>
      <c r="I284" s="220"/>
      <c r="J284" s="220"/>
      <c r="K284" s="220"/>
      <c r="L284" s="220"/>
      <c r="M284" s="220"/>
      <c r="N284" s="220"/>
      <c r="O284" s="192"/>
      <c r="P284" s="192"/>
      <c r="Q284" s="192"/>
      <c r="R284" s="192"/>
      <c r="S284" s="192"/>
      <c r="T284" s="192"/>
      <c r="U284" s="192"/>
      <c r="V284" s="192"/>
      <c r="W284" s="192"/>
      <c r="X284" s="192"/>
      <c r="Y284" s="192"/>
      <c r="Z284" s="192"/>
    </row>
    <row r="285" spans="1:26" ht="15.75">
      <c r="A285" s="192"/>
      <c r="B285" s="192"/>
      <c r="C285" s="220"/>
      <c r="D285" s="220"/>
      <c r="E285" s="220"/>
      <c r="F285" s="220"/>
      <c r="G285" s="220"/>
      <c r="H285" s="220"/>
      <c r="I285" s="220"/>
      <c r="J285" s="220"/>
      <c r="K285" s="220"/>
      <c r="L285" s="220"/>
      <c r="M285" s="220"/>
      <c r="N285" s="220"/>
      <c r="O285" s="192"/>
      <c r="P285" s="192"/>
      <c r="Q285" s="192"/>
      <c r="R285" s="192"/>
      <c r="S285" s="192"/>
      <c r="T285" s="192"/>
      <c r="U285" s="192"/>
      <c r="V285" s="192"/>
      <c r="W285" s="192"/>
      <c r="X285" s="192"/>
      <c r="Y285" s="192"/>
      <c r="Z285" s="192"/>
    </row>
    <row r="286" spans="1:26" ht="15.75">
      <c r="A286" s="192"/>
      <c r="B286" s="192"/>
      <c r="C286" s="220"/>
      <c r="D286" s="220"/>
      <c r="E286" s="220"/>
      <c r="F286" s="220"/>
      <c r="G286" s="220"/>
      <c r="H286" s="220"/>
      <c r="I286" s="220"/>
      <c r="J286" s="220"/>
      <c r="K286" s="220"/>
      <c r="L286" s="220"/>
      <c r="M286" s="220"/>
      <c r="N286" s="220"/>
      <c r="O286" s="192"/>
      <c r="P286" s="192"/>
      <c r="Q286" s="192"/>
      <c r="R286" s="192"/>
      <c r="S286" s="192"/>
      <c r="T286" s="192"/>
      <c r="U286" s="192"/>
      <c r="V286" s="192"/>
      <c r="W286" s="192"/>
      <c r="X286" s="192"/>
      <c r="Y286" s="192"/>
      <c r="Z286" s="192"/>
    </row>
    <row r="287" spans="1:26" ht="15.75">
      <c r="A287" s="192"/>
      <c r="B287" s="192"/>
      <c r="C287" s="220"/>
      <c r="D287" s="220"/>
      <c r="E287" s="220"/>
      <c r="F287" s="220"/>
      <c r="G287" s="220"/>
      <c r="H287" s="220"/>
      <c r="I287" s="220"/>
      <c r="J287" s="220"/>
      <c r="K287" s="220"/>
      <c r="L287" s="220"/>
      <c r="M287" s="220"/>
      <c r="N287" s="220"/>
      <c r="O287" s="192"/>
      <c r="P287" s="192"/>
      <c r="Q287" s="192"/>
      <c r="R287" s="192"/>
      <c r="S287" s="192"/>
      <c r="T287" s="192"/>
      <c r="U287" s="192"/>
      <c r="V287" s="192"/>
      <c r="W287" s="192"/>
      <c r="X287" s="192"/>
      <c r="Y287" s="192"/>
      <c r="Z287" s="192"/>
    </row>
    <row r="288" spans="1:26" ht="15.75">
      <c r="A288" s="192"/>
      <c r="B288" s="192"/>
      <c r="C288" s="220"/>
      <c r="D288" s="220"/>
      <c r="E288" s="220"/>
      <c r="F288" s="220"/>
      <c r="G288" s="220"/>
      <c r="H288" s="220"/>
      <c r="I288" s="220"/>
      <c r="J288" s="220"/>
      <c r="K288" s="220"/>
      <c r="L288" s="220"/>
      <c r="M288" s="220"/>
      <c r="N288" s="220"/>
      <c r="O288" s="192"/>
      <c r="P288" s="192"/>
      <c r="Q288" s="192"/>
      <c r="R288" s="192"/>
      <c r="S288" s="192"/>
      <c r="T288" s="192"/>
      <c r="U288" s="192"/>
      <c r="V288" s="192"/>
      <c r="W288" s="192"/>
      <c r="X288" s="192"/>
      <c r="Y288" s="192"/>
      <c r="Z288" s="192"/>
    </row>
    <row r="289" spans="1:26" ht="15.75">
      <c r="A289" s="192"/>
      <c r="B289" s="192"/>
      <c r="C289" s="220"/>
      <c r="D289" s="220"/>
      <c r="E289" s="220"/>
      <c r="F289" s="220"/>
      <c r="G289" s="220"/>
      <c r="H289" s="220"/>
      <c r="I289" s="220"/>
      <c r="J289" s="220"/>
      <c r="K289" s="220"/>
      <c r="L289" s="220"/>
      <c r="M289" s="220"/>
      <c r="N289" s="220"/>
      <c r="O289" s="192"/>
      <c r="P289" s="192"/>
      <c r="Q289" s="192"/>
      <c r="R289" s="192"/>
      <c r="S289" s="192"/>
      <c r="T289" s="192"/>
      <c r="U289" s="192"/>
      <c r="V289" s="192"/>
      <c r="W289" s="192"/>
      <c r="X289" s="192"/>
      <c r="Y289" s="192"/>
      <c r="Z289" s="192"/>
    </row>
    <row r="290" spans="1:26" ht="15.75">
      <c r="A290" s="192"/>
      <c r="B290" s="192"/>
      <c r="C290" s="220"/>
      <c r="D290" s="220"/>
      <c r="E290" s="220"/>
      <c r="F290" s="220"/>
      <c r="G290" s="220"/>
      <c r="H290" s="220"/>
      <c r="I290" s="220"/>
      <c r="J290" s="220"/>
      <c r="K290" s="220"/>
      <c r="L290" s="220"/>
      <c r="M290" s="220"/>
      <c r="N290" s="220"/>
      <c r="O290" s="192"/>
      <c r="P290" s="192"/>
      <c r="Q290" s="192"/>
      <c r="R290" s="192"/>
      <c r="S290" s="192"/>
      <c r="T290" s="192"/>
      <c r="U290" s="192"/>
      <c r="V290" s="192"/>
      <c r="W290" s="192"/>
      <c r="X290" s="192"/>
      <c r="Y290" s="192"/>
      <c r="Z290" s="192"/>
    </row>
    <row r="291" spans="1:26" ht="15.75">
      <c r="A291" s="192"/>
      <c r="B291" s="192"/>
      <c r="C291" s="220"/>
      <c r="D291" s="220"/>
      <c r="E291" s="220"/>
      <c r="F291" s="220"/>
      <c r="G291" s="220"/>
      <c r="H291" s="220"/>
      <c r="I291" s="220"/>
      <c r="J291" s="220"/>
      <c r="K291" s="220"/>
      <c r="L291" s="220"/>
      <c r="M291" s="220"/>
      <c r="N291" s="220"/>
      <c r="O291" s="192"/>
      <c r="P291" s="192"/>
      <c r="Q291" s="192"/>
      <c r="R291" s="192"/>
      <c r="S291" s="192"/>
      <c r="T291" s="192"/>
      <c r="U291" s="192"/>
      <c r="V291" s="192"/>
      <c r="W291" s="192"/>
      <c r="X291" s="192"/>
      <c r="Y291" s="192"/>
      <c r="Z291" s="192"/>
    </row>
    <row r="292" spans="1:26" ht="15.75">
      <c r="A292" s="192"/>
      <c r="B292" s="192"/>
      <c r="C292" s="220"/>
      <c r="D292" s="220"/>
      <c r="E292" s="220"/>
      <c r="F292" s="220"/>
      <c r="G292" s="220"/>
      <c r="H292" s="220"/>
      <c r="I292" s="220"/>
      <c r="J292" s="220"/>
      <c r="K292" s="220"/>
      <c r="L292" s="220"/>
      <c r="M292" s="220"/>
      <c r="N292" s="220"/>
      <c r="O292" s="192"/>
      <c r="P292" s="192"/>
      <c r="Q292" s="192"/>
      <c r="R292" s="192"/>
      <c r="S292" s="192"/>
      <c r="T292" s="192"/>
      <c r="U292" s="192"/>
      <c r="V292" s="192"/>
      <c r="W292" s="192"/>
      <c r="X292" s="192"/>
      <c r="Y292" s="192"/>
      <c r="Z292" s="192"/>
    </row>
    <row r="293" spans="1:26" ht="15.75">
      <c r="A293" s="192"/>
      <c r="B293" s="192"/>
      <c r="C293" s="220"/>
      <c r="D293" s="220"/>
      <c r="E293" s="220"/>
      <c r="F293" s="220"/>
      <c r="G293" s="220"/>
      <c r="H293" s="220"/>
      <c r="I293" s="220"/>
      <c r="J293" s="220"/>
      <c r="K293" s="220"/>
      <c r="L293" s="220"/>
      <c r="M293" s="220"/>
      <c r="N293" s="220"/>
      <c r="O293" s="192"/>
      <c r="P293" s="192"/>
      <c r="Q293" s="192"/>
      <c r="R293" s="192"/>
      <c r="S293" s="192"/>
      <c r="T293" s="192"/>
      <c r="U293" s="192"/>
      <c r="V293" s="192"/>
      <c r="W293" s="192"/>
      <c r="X293" s="192"/>
      <c r="Y293" s="192"/>
      <c r="Z293" s="192"/>
    </row>
    <row r="294" spans="1:26" ht="15.75">
      <c r="A294" s="192"/>
      <c r="B294" s="192"/>
      <c r="C294" s="220"/>
      <c r="D294" s="220"/>
      <c r="E294" s="220"/>
      <c r="F294" s="220"/>
      <c r="G294" s="220"/>
      <c r="H294" s="220"/>
      <c r="I294" s="220"/>
      <c r="J294" s="220"/>
      <c r="K294" s="220"/>
      <c r="L294" s="220"/>
      <c r="M294" s="220"/>
      <c r="N294" s="220"/>
      <c r="O294" s="192"/>
      <c r="P294" s="192"/>
      <c r="Q294" s="192"/>
      <c r="R294" s="192"/>
      <c r="S294" s="192"/>
      <c r="T294" s="192"/>
      <c r="U294" s="192"/>
      <c r="V294" s="192"/>
      <c r="W294" s="192"/>
      <c r="X294" s="192"/>
      <c r="Y294" s="192"/>
      <c r="Z294" s="192"/>
    </row>
    <row r="295" spans="1:26" ht="15.75">
      <c r="A295" s="192"/>
      <c r="B295" s="192"/>
      <c r="C295" s="220"/>
      <c r="D295" s="220"/>
      <c r="E295" s="220"/>
      <c r="F295" s="220"/>
      <c r="G295" s="220"/>
      <c r="H295" s="220"/>
      <c r="I295" s="220"/>
      <c r="J295" s="220"/>
      <c r="K295" s="220"/>
      <c r="L295" s="220"/>
      <c r="M295" s="220"/>
      <c r="N295" s="220"/>
      <c r="O295" s="192"/>
      <c r="P295" s="192"/>
      <c r="Q295" s="192"/>
      <c r="R295" s="192"/>
      <c r="S295" s="192"/>
      <c r="T295" s="192"/>
      <c r="U295" s="192"/>
      <c r="V295" s="192"/>
      <c r="W295" s="192"/>
      <c r="X295" s="192"/>
      <c r="Y295" s="192"/>
      <c r="Z295" s="192"/>
    </row>
    <row r="296" spans="1:26" ht="15.75">
      <c r="A296" s="192"/>
      <c r="B296" s="192"/>
      <c r="C296" s="220"/>
      <c r="D296" s="220"/>
      <c r="E296" s="220"/>
      <c r="F296" s="220"/>
      <c r="G296" s="220"/>
      <c r="H296" s="220"/>
      <c r="I296" s="220"/>
      <c r="J296" s="220"/>
      <c r="K296" s="220"/>
      <c r="L296" s="220"/>
      <c r="M296" s="220"/>
      <c r="N296" s="220"/>
      <c r="O296" s="192"/>
      <c r="P296" s="192"/>
      <c r="Q296" s="192"/>
      <c r="R296" s="192"/>
      <c r="S296" s="192"/>
      <c r="T296" s="192"/>
      <c r="U296" s="192"/>
      <c r="V296" s="192"/>
      <c r="W296" s="192"/>
      <c r="X296" s="192"/>
      <c r="Y296" s="192"/>
      <c r="Z296" s="192"/>
    </row>
    <row r="297" spans="1:26" ht="15.75">
      <c r="A297" s="192"/>
      <c r="B297" s="192"/>
      <c r="C297" s="220"/>
      <c r="D297" s="220"/>
      <c r="E297" s="220"/>
      <c r="F297" s="220"/>
      <c r="G297" s="220"/>
      <c r="H297" s="220"/>
      <c r="I297" s="220"/>
      <c r="J297" s="220"/>
      <c r="K297" s="220"/>
      <c r="L297" s="220"/>
      <c r="M297" s="220"/>
      <c r="N297" s="220"/>
      <c r="O297" s="192"/>
      <c r="P297" s="192"/>
      <c r="Q297" s="192"/>
      <c r="R297" s="192"/>
      <c r="S297" s="192"/>
      <c r="T297" s="192"/>
      <c r="U297" s="192"/>
      <c r="V297" s="192"/>
      <c r="W297" s="192"/>
      <c r="X297" s="192"/>
      <c r="Y297" s="192"/>
      <c r="Z297" s="192"/>
    </row>
    <row r="298" spans="1:26" ht="15.75">
      <c r="A298" s="192"/>
      <c r="B298" s="192"/>
      <c r="C298" s="220"/>
      <c r="D298" s="220"/>
      <c r="E298" s="220"/>
      <c r="F298" s="220"/>
      <c r="G298" s="220"/>
      <c r="H298" s="220"/>
      <c r="I298" s="220"/>
      <c r="J298" s="220"/>
      <c r="K298" s="220"/>
      <c r="L298" s="220"/>
      <c r="M298" s="220"/>
      <c r="N298" s="220"/>
      <c r="O298" s="192"/>
      <c r="P298" s="192"/>
      <c r="Q298" s="192"/>
      <c r="R298" s="192"/>
      <c r="S298" s="192"/>
      <c r="T298" s="192"/>
      <c r="U298" s="192"/>
      <c r="V298" s="192"/>
      <c r="W298" s="192"/>
      <c r="X298" s="192"/>
      <c r="Y298" s="192"/>
      <c r="Z298" s="192"/>
    </row>
    <row r="299" spans="1:26" ht="15.75">
      <c r="A299" s="192"/>
      <c r="B299" s="192"/>
      <c r="C299" s="220"/>
      <c r="D299" s="220"/>
      <c r="E299" s="220"/>
      <c r="F299" s="220"/>
      <c r="G299" s="220"/>
      <c r="H299" s="220"/>
      <c r="I299" s="220"/>
      <c r="J299" s="220"/>
      <c r="K299" s="220"/>
      <c r="L299" s="220"/>
      <c r="M299" s="220"/>
      <c r="N299" s="220"/>
      <c r="O299" s="192"/>
      <c r="P299" s="192"/>
      <c r="Q299" s="192"/>
      <c r="R299" s="192"/>
      <c r="S299" s="192"/>
      <c r="T299" s="192"/>
      <c r="U299" s="192"/>
      <c r="V299" s="192"/>
      <c r="W299" s="192"/>
      <c r="X299" s="192"/>
      <c r="Y299" s="192"/>
      <c r="Z299" s="192"/>
    </row>
    <row r="300" spans="1:26" ht="15.75">
      <c r="A300" s="192"/>
      <c r="B300" s="192"/>
      <c r="C300" s="220"/>
      <c r="D300" s="220"/>
      <c r="E300" s="220"/>
      <c r="F300" s="220"/>
      <c r="G300" s="220"/>
      <c r="H300" s="220"/>
      <c r="I300" s="220"/>
      <c r="J300" s="220"/>
      <c r="K300" s="220"/>
      <c r="L300" s="220"/>
      <c r="M300" s="220"/>
      <c r="N300" s="220"/>
      <c r="O300" s="192"/>
      <c r="P300" s="192"/>
      <c r="Q300" s="192"/>
      <c r="R300" s="192"/>
      <c r="S300" s="192"/>
      <c r="T300" s="192"/>
      <c r="U300" s="192"/>
      <c r="V300" s="192"/>
      <c r="W300" s="192"/>
      <c r="X300" s="192"/>
      <c r="Y300" s="192"/>
      <c r="Z300" s="192"/>
    </row>
    <row r="301" spans="1:26" ht="15.75">
      <c r="A301" s="192"/>
      <c r="B301" s="192"/>
      <c r="C301" s="220"/>
      <c r="D301" s="220"/>
      <c r="E301" s="220"/>
      <c r="F301" s="220"/>
      <c r="G301" s="220"/>
      <c r="H301" s="220"/>
      <c r="I301" s="220"/>
      <c r="J301" s="220"/>
      <c r="K301" s="220"/>
      <c r="L301" s="220"/>
      <c r="M301" s="220"/>
      <c r="N301" s="220"/>
      <c r="O301" s="192"/>
      <c r="P301" s="192"/>
      <c r="Q301" s="192"/>
      <c r="R301" s="192"/>
      <c r="S301" s="192"/>
      <c r="T301" s="192"/>
      <c r="U301" s="192"/>
      <c r="V301" s="192"/>
      <c r="W301" s="192"/>
      <c r="X301" s="192"/>
      <c r="Y301" s="192"/>
      <c r="Z301" s="192"/>
    </row>
    <row r="302" spans="1:26" ht="15.75">
      <c r="A302" s="192"/>
      <c r="B302" s="218"/>
      <c r="C302" s="220"/>
      <c r="D302" s="220"/>
      <c r="E302" s="220"/>
      <c r="F302" s="220"/>
      <c r="G302" s="220"/>
      <c r="H302" s="220"/>
      <c r="I302" s="220"/>
      <c r="J302" s="220"/>
      <c r="K302" s="220"/>
      <c r="L302" s="220"/>
      <c r="M302" s="220"/>
      <c r="N302" s="220"/>
      <c r="O302" s="192"/>
      <c r="P302" s="192"/>
      <c r="Q302" s="192"/>
      <c r="R302" s="192"/>
      <c r="S302" s="192"/>
      <c r="T302" s="192"/>
      <c r="U302" s="192"/>
      <c r="V302" s="192"/>
      <c r="W302" s="192"/>
      <c r="X302" s="192"/>
      <c r="Y302" s="192"/>
      <c r="Z302" s="192"/>
    </row>
    <row r="303" spans="1:26" ht="15.75">
      <c r="A303" s="192"/>
      <c r="B303" s="192"/>
      <c r="C303" s="220"/>
      <c r="D303" s="220"/>
      <c r="E303" s="220"/>
      <c r="F303" s="220"/>
      <c r="G303" s="220"/>
      <c r="H303" s="220"/>
      <c r="I303" s="220"/>
      <c r="J303" s="220"/>
      <c r="K303" s="220"/>
      <c r="L303" s="220"/>
      <c r="M303" s="220"/>
      <c r="N303" s="220"/>
      <c r="O303" s="192"/>
      <c r="P303" s="192"/>
      <c r="Q303" s="192"/>
      <c r="R303" s="192"/>
      <c r="S303" s="192"/>
      <c r="T303" s="192"/>
      <c r="U303" s="192"/>
      <c r="V303" s="192"/>
      <c r="W303" s="192"/>
      <c r="X303" s="192"/>
      <c r="Y303" s="192"/>
      <c r="Z303" s="192"/>
    </row>
    <row r="304" spans="1:26" ht="15.75">
      <c r="A304" s="192"/>
      <c r="B304" s="240"/>
      <c r="C304" s="220"/>
      <c r="D304" s="220"/>
      <c r="E304" s="220"/>
      <c r="F304" s="220"/>
      <c r="G304" s="220"/>
      <c r="H304" s="220"/>
      <c r="I304" s="220"/>
      <c r="J304" s="220"/>
      <c r="K304" s="220"/>
      <c r="L304" s="220"/>
      <c r="M304" s="220"/>
      <c r="N304" s="220"/>
      <c r="O304" s="192"/>
      <c r="P304" s="192"/>
      <c r="Q304" s="192"/>
      <c r="R304" s="192"/>
      <c r="S304" s="192"/>
      <c r="T304" s="192"/>
      <c r="U304" s="192"/>
      <c r="V304" s="192"/>
      <c r="W304" s="192"/>
      <c r="X304" s="192"/>
      <c r="Y304" s="192"/>
      <c r="Z304" s="192"/>
    </row>
    <row r="305" spans="1:26" ht="15.75">
      <c r="A305" s="192"/>
      <c r="B305" s="192"/>
      <c r="C305" s="220"/>
      <c r="D305" s="220"/>
      <c r="E305" s="220"/>
      <c r="F305" s="220"/>
      <c r="G305" s="220"/>
      <c r="H305" s="220"/>
      <c r="I305" s="220"/>
      <c r="J305" s="220"/>
      <c r="K305" s="220"/>
      <c r="L305" s="220"/>
      <c r="M305" s="220"/>
      <c r="N305" s="220"/>
      <c r="O305" s="192"/>
      <c r="P305" s="192"/>
      <c r="Q305" s="192"/>
      <c r="R305" s="192"/>
      <c r="S305" s="192"/>
      <c r="T305" s="192"/>
      <c r="U305" s="192"/>
      <c r="V305" s="192"/>
      <c r="W305" s="192"/>
      <c r="X305" s="192"/>
      <c r="Y305" s="192"/>
      <c r="Z305" s="192"/>
    </row>
    <row r="306" spans="1:26" ht="15.75">
      <c r="A306" s="192"/>
      <c r="B306" s="192"/>
      <c r="C306" s="220"/>
      <c r="D306" s="220"/>
      <c r="E306" s="220"/>
      <c r="F306" s="220"/>
      <c r="G306" s="220"/>
      <c r="H306" s="220"/>
      <c r="I306" s="220"/>
      <c r="J306" s="220"/>
      <c r="K306" s="220"/>
      <c r="L306" s="220"/>
      <c r="M306" s="220"/>
      <c r="N306" s="220"/>
      <c r="O306" s="192"/>
      <c r="P306" s="192"/>
      <c r="Q306" s="192"/>
      <c r="R306" s="192"/>
      <c r="S306" s="192"/>
      <c r="T306" s="192"/>
      <c r="U306" s="192"/>
      <c r="V306" s="192"/>
      <c r="W306" s="192"/>
      <c r="X306" s="192"/>
      <c r="Y306" s="192"/>
      <c r="Z306" s="192"/>
    </row>
    <row r="307" spans="1:26" ht="15.75">
      <c r="A307" s="192"/>
      <c r="B307" s="192"/>
      <c r="C307" s="220"/>
      <c r="D307" s="220"/>
      <c r="E307" s="220"/>
      <c r="F307" s="220"/>
      <c r="G307" s="220"/>
      <c r="H307" s="220"/>
      <c r="I307" s="220"/>
      <c r="J307" s="220"/>
      <c r="K307" s="220"/>
      <c r="L307" s="220"/>
      <c r="M307" s="220"/>
      <c r="N307" s="220"/>
      <c r="O307" s="192"/>
      <c r="P307" s="192"/>
      <c r="Q307" s="192"/>
      <c r="R307" s="192"/>
      <c r="S307" s="192"/>
      <c r="T307" s="192"/>
      <c r="U307" s="192"/>
      <c r="V307" s="192"/>
      <c r="W307" s="192"/>
      <c r="X307" s="192"/>
      <c r="Y307" s="192"/>
      <c r="Z307" s="192"/>
    </row>
    <row r="308" spans="1:26" ht="15.75">
      <c r="A308" s="192"/>
      <c r="B308" s="192"/>
      <c r="C308" s="220"/>
      <c r="D308" s="220"/>
      <c r="E308" s="220"/>
      <c r="F308" s="220"/>
      <c r="G308" s="220"/>
      <c r="H308" s="220"/>
      <c r="I308" s="220"/>
      <c r="J308" s="220"/>
      <c r="K308" s="220"/>
      <c r="L308" s="220"/>
      <c r="M308" s="220"/>
      <c r="N308" s="220"/>
      <c r="O308" s="192"/>
      <c r="P308" s="192"/>
      <c r="Q308" s="192"/>
      <c r="R308" s="192"/>
      <c r="S308" s="192"/>
      <c r="T308" s="192"/>
      <c r="U308" s="192"/>
      <c r="V308" s="192"/>
      <c r="W308" s="192"/>
      <c r="X308" s="192"/>
      <c r="Y308" s="192"/>
      <c r="Z308" s="192"/>
    </row>
    <row r="309" spans="1:26" ht="15.75">
      <c r="A309" s="192"/>
      <c r="B309" s="192"/>
      <c r="C309" s="220"/>
      <c r="D309" s="220"/>
      <c r="E309" s="220"/>
      <c r="F309" s="220"/>
      <c r="G309" s="220"/>
      <c r="H309" s="220"/>
      <c r="I309" s="220"/>
      <c r="J309" s="220"/>
      <c r="K309" s="220"/>
      <c r="L309" s="220"/>
      <c r="M309" s="220"/>
      <c r="N309" s="220"/>
      <c r="O309" s="192"/>
      <c r="P309" s="192"/>
      <c r="Q309" s="192"/>
      <c r="R309" s="192"/>
      <c r="S309" s="192"/>
      <c r="T309" s="192"/>
      <c r="U309" s="192"/>
      <c r="V309" s="192"/>
      <c r="W309" s="192"/>
      <c r="X309" s="192"/>
      <c r="Y309" s="192"/>
      <c r="Z309" s="192"/>
    </row>
    <row r="310" spans="1:26" ht="15.75">
      <c r="A310" s="192"/>
      <c r="B310" s="192"/>
      <c r="C310" s="220"/>
      <c r="D310" s="220"/>
      <c r="E310" s="220"/>
      <c r="F310" s="220"/>
      <c r="G310" s="220"/>
      <c r="H310" s="220"/>
      <c r="I310" s="220"/>
      <c r="J310" s="220"/>
      <c r="K310" s="220"/>
      <c r="L310" s="220"/>
      <c r="M310" s="220"/>
      <c r="N310" s="220"/>
      <c r="O310" s="192"/>
      <c r="P310" s="192"/>
      <c r="Q310" s="192"/>
      <c r="R310" s="192"/>
      <c r="S310" s="192"/>
      <c r="T310" s="192"/>
      <c r="U310" s="192"/>
      <c r="V310" s="192"/>
      <c r="W310" s="192"/>
      <c r="X310" s="192"/>
      <c r="Y310" s="192"/>
      <c r="Z310" s="192"/>
    </row>
    <row r="311" spans="1:26" ht="15.75">
      <c r="A311" s="192"/>
      <c r="B311" s="192"/>
      <c r="C311" s="220"/>
      <c r="D311" s="220"/>
      <c r="E311" s="220"/>
      <c r="F311" s="220"/>
      <c r="G311" s="220"/>
      <c r="H311" s="220"/>
      <c r="I311" s="220"/>
      <c r="J311" s="220"/>
      <c r="K311" s="220"/>
      <c r="L311" s="220"/>
      <c r="M311" s="220"/>
      <c r="N311" s="220"/>
      <c r="O311" s="192"/>
      <c r="P311" s="192"/>
      <c r="Q311" s="192"/>
      <c r="R311" s="192"/>
      <c r="S311" s="192"/>
      <c r="T311" s="192"/>
      <c r="U311" s="192"/>
      <c r="V311" s="192"/>
      <c r="W311" s="192"/>
      <c r="X311" s="192"/>
      <c r="Y311" s="192"/>
      <c r="Z311" s="192"/>
    </row>
    <row r="312" spans="1:26" ht="15.75">
      <c r="A312" s="192"/>
      <c r="B312" s="192"/>
      <c r="C312" s="220"/>
      <c r="D312" s="220"/>
      <c r="E312" s="220"/>
      <c r="F312" s="220"/>
      <c r="G312" s="220"/>
      <c r="H312" s="220"/>
      <c r="I312" s="220"/>
      <c r="J312" s="220"/>
      <c r="K312" s="220"/>
      <c r="L312" s="220"/>
      <c r="M312" s="220"/>
      <c r="N312" s="220"/>
      <c r="O312" s="192"/>
      <c r="P312" s="192"/>
      <c r="Q312" s="192"/>
      <c r="R312" s="192"/>
      <c r="S312" s="192"/>
      <c r="T312" s="192"/>
      <c r="U312" s="192"/>
      <c r="V312" s="192"/>
      <c r="W312" s="192"/>
      <c r="X312" s="192"/>
      <c r="Y312" s="192"/>
      <c r="Z312" s="192"/>
    </row>
    <row r="313" spans="1:26" ht="15.75">
      <c r="A313" s="192"/>
      <c r="B313" s="192"/>
      <c r="C313" s="220"/>
      <c r="D313" s="220"/>
      <c r="E313" s="220"/>
      <c r="F313" s="220"/>
      <c r="G313" s="220"/>
      <c r="H313" s="220"/>
      <c r="I313" s="220"/>
      <c r="J313" s="220"/>
      <c r="K313" s="220"/>
      <c r="L313" s="220"/>
      <c r="M313" s="220"/>
      <c r="N313" s="220"/>
      <c r="O313" s="192"/>
      <c r="P313" s="192"/>
      <c r="Q313" s="192"/>
      <c r="R313" s="192"/>
      <c r="S313" s="192"/>
      <c r="T313" s="192"/>
      <c r="U313" s="192"/>
      <c r="V313" s="192"/>
      <c r="W313" s="192"/>
      <c r="X313" s="192"/>
      <c r="Y313" s="192"/>
      <c r="Z313" s="192"/>
    </row>
    <row r="314" spans="1:26" ht="15.75">
      <c r="A314" s="192"/>
      <c r="B314" s="192"/>
      <c r="C314" s="220"/>
      <c r="D314" s="220"/>
      <c r="E314" s="220"/>
      <c r="F314" s="220"/>
      <c r="G314" s="220"/>
      <c r="H314" s="220"/>
      <c r="I314" s="220"/>
      <c r="J314" s="220"/>
      <c r="K314" s="220"/>
      <c r="L314" s="220"/>
      <c r="M314" s="220"/>
      <c r="N314" s="220"/>
      <c r="O314" s="192"/>
      <c r="P314" s="192"/>
      <c r="Q314" s="192"/>
      <c r="R314" s="192"/>
      <c r="S314" s="192"/>
      <c r="T314" s="192"/>
      <c r="U314" s="192"/>
      <c r="V314" s="192"/>
      <c r="W314" s="192"/>
      <c r="X314" s="192"/>
      <c r="Y314" s="192"/>
      <c r="Z314" s="192"/>
    </row>
    <row r="315" spans="1:26" ht="15.75">
      <c r="A315" s="192"/>
      <c r="B315" s="192"/>
      <c r="C315" s="220"/>
      <c r="D315" s="220"/>
      <c r="E315" s="220"/>
      <c r="F315" s="220"/>
      <c r="G315" s="220"/>
      <c r="H315" s="220"/>
      <c r="I315" s="220"/>
      <c r="J315" s="220"/>
      <c r="K315" s="220"/>
      <c r="L315" s="220"/>
      <c r="M315" s="220"/>
      <c r="N315" s="220"/>
      <c r="O315" s="192"/>
      <c r="P315" s="192"/>
      <c r="Q315" s="192"/>
      <c r="R315" s="192"/>
      <c r="S315" s="192"/>
      <c r="T315" s="192"/>
      <c r="U315" s="192"/>
      <c r="V315" s="192"/>
      <c r="W315" s="192"/>
      <c r="X315" s="192"/>
      <c r="Y315" s="192"/>
      <c r="Z315" s="192"/>
    </row>
    <row r="316" spans="1:26" ht="15.75">
      <c r="A316" s="192"/>
      <c r="B316" s="192"/>
      <c r="C316" s="220"/>
      <c r="D316" s="220"/>
      <c r="E316" s="220"/>
      <c r="F316" s="220"/>
      <c r="G316" s="220"/>
      <c r="H316" s="220"/>
      <c r="I316" s="220"/>
      <c r="J316" s="220"/>
      <c r="K316" s="220"/>
      <c r="L316" s="220"/>
      <c r="M316" s="220"/>
      <c r="N316" s="220"/>
      <c r="O316" s="192"/>
      <c r="P316" s="192"/>
      <c r="Q316" s="192"/>
      <c r="R316" s="192"/>
      <c r="S316" s="192"/>
      <c r="T316" s="192"/>
      <c r="U316" s="192"/>
      <c r="V316" s="192"/>
      <c r="W316" s="192"/>
      <c r="X316" s="192"/>
      <c r="Y316" s="192"/>
      <c r="Z316" s="192"/>
    </row>
    <row r="317" spans="1:26" ht="15.75">
      <c r="A317" s="192"/>
      <c r="B317" s="240"/>
      <c r="C317" s="220"/>
      <c r="D317" s="220"/>
      <c r="E317" s="220"/>
      <c r="F317" s="220"/>
      <c r="G317" s="220"/>
      <c r="H317" s="220"/>
      <c r="I317" s="220"/>
      <c r="J317" s="220"/>
      <c r="K317" s="220"/>
      <c r="L317" s="220"/>
      <c r="M317" s="220"/>
      <c r="N317" s="220"/>
      <c r="O317" s="192"/>
      <c r="P317" s="192"/>
      <c r="Q317" s="192"/>
      <c r="R317" s="192"/>
      <c r="S317" s="192"/>
      <c r="T317" s="192"/>
      <c r="U317" s="192"/>
      <c r="V317" s="192"/>
      <c r="W317" s="192"/>
      <c r="X317" s="192"/>
      <c r="Y317" s="192"/>
      <c r="Z317" s="192"/>
    </row>
    <row r="318" spans="1:26" ht="15.75">
      <c r="A318" s="192"/>
      <c r="B318" s="192"/>
      <c r="C318" s="220"/>
      <c r="D318" s="220"/>
      <c r="E318" s="220"/>
      <c r="F318" s="220"/>
      <c r="G318" s="220"/>
      <c r="H318" s="220"/>
      <c r="I318" s="220"/>
      <c r="J318" s="220"/>
      <c r="K318" s="220"/>
      <c r="L318" s="220"/>
      <c r="M318" s="220"/>
      <c r="N318" s="220"/>
      <c r="O318" s="192"/>
      <c r="P318" s="192"/>
      <c r="Q318" s="192"/>
      <c r="R318" s="192"/>
      <c r="S318" s="192"/>
      <c r="T318" s="192"/>
      <c r="U318" s="192"/>
      <c r="V318" s="192"/>
      <c r="W318" s="192"/>
      <c r="X318" s="192"/>
      <c r="Y318" s="192"/>
      <c r="Z318" s="192"/>
    </row>
    <row r="319" spans="1:26" ht="15.75">
      <c r="A319" s="192"/>
      <c r="B319" s="192"/>
      <c r="C319" s="220"/>
      <c r="D319" s="220"/>
      <c r="E319" s="220"/>
      <c r="F319" s="220"/>
      <c r="G319" s="220"/>
      <c r="H319" s="220"/>
      <c r="I319" s="220"/>
      <c r="J319" s="220"/>
      <c r="K319" s="220"/>
      <c r="L319" s="220"/>
      <c r="M319" s="220"/>
      <c r="N319" s="220"/>
      <c r="O319" s="192"/>
      <c r="P319" s="192"/>
      <c r="Q319" s="192"/>
      <c r="R319" s="192"/>
      <c r="S319" s="192"/>
      <c r="T319" s="192"/>
      <c r="U319" s="192"/>
      <c r="V319" s="192"/>
      <c r="W319" s="192"/>
      <c r="X319" s="192"/>
      <c r="Y319" s="192"/>
      <c r="Z319" s="192"/>
    </row>
    <row r="320" spans="1:26" ht="15.75">
      <c r="A320" s="192"/>
      <c r="B320" s="192"/>
      <c r="C320" s="220"/>
      <c r="D320" s="220"/>
      <c r="E320" s="220"/>
      <c r="F320" s="220"/>
      <c r="G320" s="220"/>
      <c r="H320" s="220"/>
      <c r="I320" s="220"/>
      <c r="J320" s="220"/>
      <c r="K320" s="220"/>
      <c r="L320" s="220"/>
      <c r="M320" s="220"/>
      <c r="N320" s="220"/>
      <c r="O320" s="192"/>
      <c r="P320" s="192"/>
      <c r="Q320" s="192"/>
      <c r="R320" s="192"/>
      <c r="S320" s="192"/>
      <c r="T320" s="192"/>
      <c r="U320" s="192"/>
      <c r="V320" s="192"/>
      <c r="W320" s="192"/>
      <c r="X320" s="192"/>
      <c r="Y320" s="192"/>
      <c r="Z320" s="192"/>
    </row>
    <row r="321" spans="1:26" ht="15.75">
      <c r="A321" s="192"/>
      <c r="B321" s="192"/>
      <c r="C321" s="220"/>
      <c r="D321" s="220"/>
      <c r="E321" s="220"/>
      <c r="F321" s="220"/>
      <c r="G321" s="220"/>
      <c r="H321" s="220"/>
      <c r="I321" s="220"/>
      <c r="J321" s="220"/>
      <c r="K321" s="220"/>
      <c r="L321" s="220"/>
      <c r="M321" s="220"/>
      <c r="N321" s="220"/>
      <c r="O321" s="192"/>
      <c r="P321" s="192"/>
      <c r="Q321" s="192"/>
      <c r="R321" s="192"/>
      <c r="S321" s="192"/>
      <c r="T321" s="192"/>
      <c r="U321" s="192"/>
      <c r="V321" s="192"/>
      <c r="W321" s="192"/>
      <c r="X321" s="192"/>
      <c r="Y321" s="192"/>
      <c r="Z321" s="192"/>
    </row>
    <row r="322" spans="1:26" ht="15.75">
      <c r="A322" s="192"/>
      <c r="B322" s="192"/>
      <c r="C322" s="220"/>
      <c r="D322" s="220"/>
      <c r="E322" s="220"/>
      <c r="F322" s="220"/>
      <c r="G322" s="220"/>
      <c r="H322" s="220"/>
      <c r="I322" s="220"/>
      <c r="J322" s="220"/>
      <c r="K322" s="220"/>
      <c r="L322" s="220"/>
      <c r="M322" s="220"/>
      <c r="N322" s="220"/>
      <c r="O322" s="192"/>
      <c r="P322" s="192"/>
      <c r="Q322" s="192"/>
      <c r="R322" s="192"/>
      <c r="S322" s="192"/>
      <c r="T322" s="192"/>
      <c r="U322" s="192"/>
      <c r="V322" s="192"/>
      <c r="W322" s="192"/>
      <c r="X322" s="192"/>
      <c r="Y322" s="192"/>
      <c r="Z322" s="192"/>
    </row>
    <row r="323" spans="1:26" ht="15.75">
      <c r="A323" s="192"/>
      <c r="B323" s="192"/>
      <c r="C323" s="220"/>
      <c r="D323" s="220"/>
      <c r="E323" s="220"/>
      <c r="F323" s="220"/>
      <c r="G323" s="220"/>
      <c r="H323" s="220"/>
      <c r="I323" s="220"/>
      <c r="J323" s="220"/>
      <c r="K323" s="220"/>
      <c r="L323" s="220"/>
      <c r="M323" s="220"/>
      <c r="N323" s="220"/>
      <c r="O323" s="192"/>
      <c r="P323" s="192"/>
      <c r="Q323" s="192"/>
      <c r="R323" s="192"/>
      <c r="S323" s="192"/>
      <c r="T323" s="192"/>
      <c r="U323" s="192"/>
      <c r="V323" s="192"/>
      <c r="W323" s="192"/>
      <c r="X323" s="192"/>
      <c r="Y323" s="192"/>
      <c r="Z323" s="192"/>
    </row>
    <row r="324" spans="1:26" ht="15.75">
      <c r="A324" s="192"/>
      <c r="B324" s="192"/>
      <c r="C324" s="220"/>
      <c r="D324" s="220"/>
      <c r="E324" s="220"/>
      <c r="F324" s="220"/>
      <c r="G324" s="220"/>
      <c r="H324" s="220"/>
      <c r="I324" s="220"/>
      <c r="J324" s="220"/>
      <c r="K324" s="220"/>
      <c r="L324" s="220"/>
      <c r="M324" s="220"/>
      <c r="N324" s="220"/>
      <c r="O324" s="192"/>
      <c r="P324" s="192"/>
      <c r="Q324" s="192"/>
      <c r="R324" s="192"/>
      <c r="S324" s="192"/>
      <c r="T324" s="192"/>
      <c r="U324" s="192"/>
      <c r="V324" s="192"/>
      <c r="W324" s="192"/>
      <c r="X324" s="192"/>
      <c r="Y324" s="192"/>
      <c r="Z324" s="192"/>
    </row>
    <row r="325" spans="1:26" ht="15.75">
      <c r="A325" s="192"/>
      <c r="B325" s="192"/>
      <c r="C325" s="220"/>
      <c r="D325" s="220"/>
      <c r="E325" s="220"/>
      <c r="F325" s="220"/>
      <c r="G325" s="220"/>
      <c r="H325" s="220"/>
      <c r="I325" s="220"/>
      <c r="J325" s="220"/>
      <c r="K325" s="220"/>
      <c r="L325" s="220"/>
      <c r="M325" s="220"/>
      <c r="N325" s="220"/>
      <c r="O325" s="192"/>
      <c r="P325" s="192"/>
      <c r="Q325" s="192"/>
      <c r="R325" s="192"/>
      <c r="S325" s="192"/>
      <c r="T325" s="192"/>
      <c r="U325" s="192"/>
      <c r="V325" s="192"/>
      <c r="W325" s="192"/>
      <c r="X325" s="192"/>
      <c r="Y325" s="192"/>
      <c r="Z325" s="192"/>
    </row>
    <row r="326" spans="1:26" ht="15.75">
      <c r="A326" s="192"/>
      <c r="B326" s="192"/>
      <c r="C326" s="220"/>
      <c r="D326" s="220"/>
      <c r="E326" s="220"/>
      <c r="F326" s="220"/>
      <c r="G326" s="220"/>
      <c r="H326" s="220"/>
      <c r="I326" s="220"/>
      <c r="J326" s="220"/>
      <c r="K326" s="220"/>
      <c r="L326" s="220"/>
      <c r="M326" s="220"/>
      <c r="N326" s="220"/>
      <c r="O326" s="192"/>
      <c r="P326" s="192"/>
      <c r="Q326" s="192"/>
      <c r="R326" s="192"/>
      <c r="S326" s="192"/>
      <c r="T326" s="192"/>
      <c r="U326" s="192"/>
      <c r="V326" s="192"/>
      <c r="W326" s="192"/>
      <c r="X326" s="192"/>
      <c r="Y326" s="192"/>
      <c r="Z326" s="192"/>
    </row>
    <row r="327" spans="1:26" ht="15.75">
      <c r="A327" s="192"/>
      <c r="B327" s="192"/>
      <c r="C327" s="220"/>
      <c r="D327" s="220"/>
      <c r="E327" s="220"/>
      <c r="F327" s="220"/>
      <c r="G327" s="220"/>
      <c r="H327" s="220"/>
      <c r="I327" s="220"/>
      <c r="J327" s="220"/>
      <c r="K327" s="220"/>
      <c r="L327" s="220"/>
      <c r="M327" s="220"/>
      <c r="N327" s="220"/>
      <c r="O327" s="192"/>
      <c r="P327" s="192"/>
      <c r="Q327" s="192"/>
      <c r="R327" s="192"/>
      <c r="S327" s="192"/>
      <c r="T327" s="192"/>
      <c r="U327" s="192"/>
      <c r="V327" s="192"/>
      <c r="W327" s="192"/>
      <c r="X327" s="192"/>
      <c r="Y327" s="192"/>
      <c r="Z327" s="192"/>
    </row>
    <row r="328" spans="1:26" ht="15.75">
      <c r="A328" s="192"/>
      <c r="B328" s="192"/>
      <c r="C328" s="220"/>
      <c r="D328" s="220"/>
      <c r="E328" s="220"/>
      <c r="F328" s="220"/>
      <c r="G328" s="220"/>
      <c r="H328" s="220"/>
      <c r="I328" s="220"/>
      <c r="J328" s="220"/>
      <c r="K328" s="220"/>
      <c r="L328" s="220"/>
      <c r="M328" s="220"/>
      <c r="N328" s="220"/>
      <c r="O328" s="192"/>
      <c r="P328" s="192"/>
      <c r="Q328" s="192"/>
      <c r="R328" s="192"/>
      <c r="S328" s="192"/>
      <c r="T328" s="192"/>
      <c r="U328" s="192"/>
      <c r="V328" s="192"/>
      <c r="W328" s="192"/>
      <c r="X328" s="192"/>
      <c r="Y328" s="192"/>
      <c r="Z328" s="192"/>
    </row>
  </sheetData>
  <mergeCells count="8">
    <mergeCell ref="C7:D7"/>
    <mergeCell ref="E7:H7"/>
    <mergeCell ref="I7:N7"/>
    <mergeCell ref="B1:T1"/>
    <mergeCell ref="B2:T2"/>
    <mergeCell ref="B3:T3"/>
    <mergeCell ref="B4:Q4"/>
    <mergeCell ref="B6:Q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42049-30AC-4678-BFE1-38ED2089B379}">
  <dimension ref="A1:I83"/>
  <sheetViews>
    <sheetView workbookViewId="0">
      <selection activeCell="B4" sqref="B4"/>
    </sheetView>
  </sheetViews>
  <sheetFormatPr defaultRowHeight="15"/>
  <cols>
    <col min="1" max="1" width="14.7109375" customWidth="1"/>
    <col min="2" max="2" width="20.85546875" style="86" customWidth="1"/>
  </cols>
  <sheetData>
    <row r="1" spans="1:9">
      <c r="A1" t="s">
        <v>45</v>
      </c>
      <c r="I1" t="s">
        <v>46</v>
      </c>
    </row>
    <row r="2" spans="1:9">
      <c r="I2" t="s">
        <v>47</v>
      </c>
    </row>
    <row r="3" spans="1:9">
      <c r="A3" t="s">
        <v>48</v>
      </c>
      <c r="B3" s="86" t="s">
        <v>49</v>
      </c>
      <c r="C3" t="s">
        <v>1</v>
      </c>
      <c r="D3" t="s">
        <v>50</v>
      </c>
      <c r="I3" t="s">
        <v>51</v>
      </c>
    </row>
    <row r="4" spans="1:9">
      <c r="A4" s="82">
        <v>40483</v>
      </c>
      <c r="B4" s="86">
        <v>0.84470000000000001</v>
      </c>
      <c r="C4" s="82">
        <v>42370</v>
      </c>
      <c r="D4" s="88">
        <f t="shared" ref="D4:D22" si="0">INDEX(B$4:B$70,MATCH(C4,A$4:A$70))</f>
        <v>0.47499999999999998</v>
      </c>
    </row>
    <row r="5" spans="1:9">
      <c r="A5" s="82">
        <v>40484</v>
      </c>
      <c r="B5" s="86">
        <v>0.8468</v>
      </c>
      <c r="C5" s="82">
        <f>EDATE(C4,6)</f>
        <v>42552</v>
      </c>
      <c r="D5" s="88">
        <f t="shared" si="0"/>
        <v>0.28999999999999998</v>
      </c>
    </row>
    <row r="6" spans="1:9">
      <c r="A6" s="82">
        <v>40544</v>
      </c>
      <c r="B6" s="86">
        <v>0.8468</v>
      </c>
      <c r="C6" s="82">
        <f>EDATE(C5,6)</f>
        <v>42736</v>
      </c>
      <c r="D6" s="88">
        <f t="shared" si="0"/>
        <v>0.43540000000000001</v>
      </c>
    </row>
    <row r="7" spans="1:9">
      <c r="A7" s="82">
        <v>40664</v>
      </c>
      <c r="B7" s="86">
        <v>0.64300000000000002</v>
      </c>
      <c r="C7" s="82">
        <f t="shared" ref="C7:C22" si="1">EDATE(C6,6)</f>
        <v>42917</v>
      </c>
      <c r="D7" s="88">
        <f t="shared" si="0"/>
        <v>0.42099999999999999</v>
      </c>
    </row>
    <row r="8" spans="1:9">
      <c r="A8" s="82">
        <v>40848</v>
      </c>
      <c r="B8" s="86">
        <v>0.76259999999999994</v>
      </c>
      <c r="C8" s="82">
        <f t="shared" si="1"/>
        <v>43101</v>
      </c>
      <c r="D8" s="88">
        <f t="shared" si="0"/>
        <v>0.626</v>
      </c>
    </row>
    <row r="9" spans="1:9">
      <c r="A9" s="82">
        <v>40909</v>
      </c>
      <c r="B9" s="86">
        <v>0.76259999999999994</v>
      </c>
      <c r="C9" s="82">
        <f t="shared" si="1"/>
        <v>43282</v>
      </c>
      <c r="D9" s="88">
        <f t="shared" si="0"/>
        <v>0.35470000000000002</v>
      </c>
    </row>
    <row r="10" spans="1:9">
      <c r="A10" s="82">
        <v>40940</v>
      </c>
      <c r="B10" s="86">
        <v>0.68210000000000004</v>
      </c>
      <c r="C10" s="82">
        <f t="shared" si="1"/>
        <v>43466</v>
      </c>
      <c r="D10" s="88">
        <f t="shared" si="0"/>
        <v>0.60250000000000004</v>
      </c>
    </row>
    <row r="11" spans="1:9">
      <c r="A11" s="82">
        <v>41030</v>
      </c>
      <c r="B11" s="86">
        <v>0.38929999999999998</v>
      </c>
      <c r="C11" s="82">
        <f t="shared" si="1"/>
        <v>43647</v>
      </c>
      <c r="D11" s="88">
        <f t="shared" si="0"/>
        <v>0.35220000000000001</v>
      </c>
    </row>
    <row r="12" spans="1:9">
      <c r="A12" s="82">
        <v>41153</v>
      </c>
      <c r="B12" s="86">
        <v>0.57789999999999997</v>
      </c>
      <c r="C12" s="82">
        <f t="shared" si="1"/>
        <v>43831</v>
      </c>
      <c r="D12" s="88">
        <f t="shared" si="0"/>
        <v>0.60460000000000003</v>
      </c>
    </row>
    <row r="13" spans="1:9">
      <c r="A13" s="82">
        <v>41183</v>
      </c>
      <c r="B13" s="86">
        <v>0.57789999999999997</v>
      </c>
      <c r="C13" s="82">
        <f t="shared" si="1"/>
        <v>44013</v>
      </c>
      <c r="D13" s="88">
        <f t="shared" si="0"/>
        <v>0.28420000000000001</v>
      </c>
    </row>
    <row r="14" spans="1:9">
      <c r="A14" s="82">
        <v>41214</v>
      </c>
      <c r="B14" s="86">
        <v>0.63200000000000001</v>
      </c>
      <c r="C14" s="82">
        <f t="shared" si="1"/>
        <v>44197</v>
      </c>
      <c r="D14" s="88">
        <f t="shared" si="0"/>
        <v>0.5867</v>
      </c>
    </row>
    <row r="15" spans="1:9">
      <c r="A15" s="82">
        <v>41275</v>
      </c>
      <c r="B15" s="86">
        <v>0.63200000000000001</v>
      </c>
      <c r="C15" s="82">
        <f t="shared" si="1"/>
        <v>44378</v>
      </c>
      <c r="D15" s="88">
        <f t="shared" si="0"/>
        <v>0.38950000000000001</v>
      </c>
    </row>
    <row r="16" spans="1:9">
      <c r="A16" s="82">
        <v>41395</v>
      </c>
      <c r="B16" s="86">
        <v>0.46439999999999998</v>
      </c>
      <c r="C16" s="82">
        <f t="shared" si="1"/>
        <v>44562</v>
      </c>
      <c r="D16" s="88">
        <f t="shared" si="0"/>
        <v>0.73450000000000004</v>
      </c>
    </row>
    <row r="17" spans="1:5">
      <c r="A17" s="82">
        <v>41579</v>
      </c>
      <c r="B17" s="86">
        <v>0.67269999999999996</v>
      </c>
      <c r="C17" s="82">
        <f t="shared" si="1"/>
        <v>44743</v>
      </c>
      <c r="D17" s="88">
        <f t="shared" si="0"/>
        <v>1.0487</v>
      </c>
    </row>
    <row r="18" spans="1:5">
      <c r="A18" s="82">
        <v>41699</v>
      </c>
      <c r="B18" s="86">
        <v>0.83350000000000002</v>
      </c>
      <c r="C18" s="82">
        <f t="shared" si="1"/>
        <v>44927</v>
      </c>
      <c r="D18" s="88">
        <f t="shared" si="0"/>
        <v>0.98699999999999999</v>
      </c>
      <c r="E18" t="s">
        <v>52</v>
      </c>
    </row>
    <row r="19" spans="1:5">
      <c r="A19" s="82">
        <v>41760</v>
      </c>
      <c r="B19" s="86">
        <v>0.57430000000000003</v>
      </c>
      <c r="C19" s="82">
        <f t="shared" si="1"/>
        <v>45108</v>
      </c>
      <c r="D19" s="88">
        <f t="shared" si="0"/>
        <v>0.2273</v>
      </c>
    </row>
    <row r="20" spans="1:5">
      <c r="A20" s="82">
        <v>41883</v>
      </c>
      <c r="B20" s="86">
        <v>0.47689999999999999</v>
      </c>
      <c r="C20" s="82">
        <f t="shared" si="1"/>
        <v>45292</v>
      </c>
      <c r="D20" s="88">
        <f t="shared" si="0"/>
        <v>0.81220000000000003</v>
      </c>
    </row>
    <row r="21" spans="1:5">
      <c r="A21" s="82">
        <v>41944</v>
      </c>
      <c r="B21" s="86">
        <v>0.77029999999999998</v>
      </c>
      <c r="C21" s="82">
        <f t="shared" si="1"/>
        <v>45474</v>
      </c>
      <c r="D21" s="87">
        <f t="shared" si="0"/>
        <v>0.38159999999999999</v>
      </c>
    </row>
    <row r="22" spans="1:5">
      <c r="A22" s="82">
        <v>42005</v>
      </c>
      <c r="B22" s="86">
        <v>0.69699999999999995</v>
      </c>
      <c r="C22" s="82">
        <f t="shared" si="1"/>
        <v>45658</v>
      </c>
      <c r="D22" s="87">
        <f t="shared" si="0"/>
        <v>0.84670000000000001</v>
      </c>
    </row>
    <row r="23" spans="1:5">
      <c r="A23" s="82">
        <v>42036</v>
      </c>
      <c r="B23" s="86">
        <v>0.61319999999999997</v>
      </c>
      <c r="C23" s="82"/>
    </row>
    <row r="24" spans="1:5">
      <c r="A24" s="82">
        <v>42125</v>
      </c>
      <c r="B24" s="86">
        <v>0.26700000000000002</v>
      </c>
      <c r="C24" s="82"/>
    </row>
    <row r="25" spans="1:5">
      <c r="A25" s="82">
        <v>42217</v>
      </c>
      <c r="B25" s="86">
        <v>0.19400000000000001</v>
      </c>
      <c r="C25" s="82"/>
    </row>
    <row r="26" spans="1:5">
      <c r="A26" s="82">
        <v>42309</v>
      </c>
      <c r="B26" s="86">
        <v>0.53339999999999999</v>
      </c>
      <c r="C26" s="82"/>
    </row>
    <row r="27" spans="1:5">
      <c r="A27" s="82">
        <v>42339</v>
      </c>
      <c r="B27" s="86">
        <v>0.47499999999999998</v>
      </c>
      <c r="C27" s="82"/>
    </row>
    <row r="28" spans="1:5">
      <c r="A28" s="82">
        <v>42491</v>
      </c>
      <c r="B28" s="86">
        <v>0.28999999999999998</v>
      </c>
      <c r="C28" s="82"/>
    </row>
    <row r="29" spans="1:5">
      <c r="A29" s="82">
        <v>42614</v>
      </c>
      <c r="B29" s="86">
        <v>0.53490000000000004</v>
      </c>
      <c r="C29" s="82"/>
    </row>
    <row r="30" spans="1:5">
      <c r="A30" s="82">
        <v>42675</v>
      </c>
      <c r="B30" s="86">
        <v>0.48970000000000002</v>
      </c>
      <c r="C30" s="82"/>
    </row>
    <row r="31" spans="1:5">
      <c r="A31" s="82">
        <v>42705</v>
      </c>
      <c r="B31" s="86">
        <v>0.43540000000000001</v>
      </c>
      <c r="C31" s="82"/>
    </row>
    <row r="32" spans="1:5">
      <c r="A32" s="82">
        <v>42767</v>
      </c>
      <c r="B32" s="86">
        <v>0.50560000000000005</v>
      </c>
      <c r="C32" s="82"/>
    </row>
    <row r="33" spans="1:3">
      <c r="A33" s="82">
        <v>42856</v>
      </c>
      <c r="B33" s="86">
        <v>0.38009999999999999</v>
      </c>
      <c r="C33" s="82"/>
    </row>
    <row r="34" spans="1:3">
      <c r="A34" s="82">
        <v>42887</v>
      </c>
      <c r="B34" s="86">
        <v>0.42099999999999999</v>
      </c>
      <c r="C34" s="82"/>
    </row>
    <row r="35" spans="1:3">
      <c r="A35" s="82">
        <v>42948</v>
      </c>
      <c r="B35" s="86">
        <v>0.36749999999999999</v>
      </c>
      <c r="C35" s="82"/>
    </row>
    <row r="36" spans="1:3">
      <c r="A36" s="82">
        <v>43009</v>
      </c>
      <c r="B36" s="86">
        <v>0.2994</v>
      </c>
      <c r="C36" s="82"/>
    </row>
    <row r="37" spans="1:3">
      <c r="A37" s="82">
        <v>43040</v>
      </c>
      <c r="B37" s="86">
        <v>0.626</v>
      </c>
      <c r="C37" s="82"/>
    </row>
    <row r="38" spans="1:3">
      <c r="A38" s="82">
        <v>43132</v>
      </c>
      <c r="B38" s="86">
        <v>0.80189999999999995</v>
      </c>
      <c r="C38" s="82"/>
    </row>
    <row r="39" spans="1:3">
      <c r="A39" s="82">
        <v>43160</v>
      </c>
      <c r="B39" s="86">
        <v>0.93640000000000001</v>
      </c>
      <c r="C39" s="82"/>
    </row>
    <row r="40" spans="1:3">
      <c r="A40" s="82">
        <v>43221</v>
      </c>
      <c r="B40" s="86">
        <v>0.35470000000000002</v>
      </c>
      <c r="C40" s="82"/>
    </row>
    <row r="41" spans="1:3">
      <c r="A41" s="82">
        <v>43405</v>
      </c>
      <c r="B41" s="86">
        <v>0.60250000000000004</v>
      </c>
      <c r="C41" s="82"/>
    </row>
    <row r="42" spans="1:3">
      <c r="A42" s="82">
        <v>43586</v>
      </c>
      <c r="B42" s="86">
        <v>0.4471</v>
      </c>
      <c r="C42" s="82"/>
    </row>
    <row r="43" spans="1:3">
      <c r="A43" s="82">
        <v>43617</v>
      </c>
      <c r="B43" s="86">
        <v>0.3977</v>
      </c>
      <c r="C43" s="82"/>
    </row>
    <row r="44" spans="1:3">
      <c r="A44" s="82">
        <v>43647</v>
      </c>
      <c r="B44" s="86">
        <v>0.35220000000000001</v>
      </c>
      <c r="C44" s="82"/>
    </row>
    <row r="45" spans="1:3">
      <c r="A45" s="82">
        <v>43770</v>
      </c>
      <c r="B45" s="86">
        <v>0.60460000000000003</v>
      </c>
      <c r="C45" s="82"/>
    </row>
    <row r="46" spans="1:3">
      <c r="A46" s="82">
        <v>43952</v>
      </c>
      <c r="B46" s="86">
        <v>0.35099999999999998</v>
      </c>
      <c r="C46" s="82"/>
    </row>
    <row r="47" spans="1:3">
      <c r="A47" s="82">
        <v>44013</v>
      </c>
      <c r="B47" s="86">
        <v>0.28420000000000001</v>
      </c>
      <c r="C47" s="82"/>
    </row>
    <row r="48" spans="1:3">
      <c r="A48" s="82">
        <v>44136</v>
      </c>
      <c r="B48" s="86">
        <v>0.5867</v>
      </c>
      <c r="C48" s="82"/>
    </row>
    <row r="49" spans="1:3">
      <c r="A49" s="82">
        <v>44317</v>
      </c>
      <c r="B49" s="86">
        <v>0.38950000000000001</v>
      </c>
      <c r="C49" s="82"/>
    </row>
    <row r="50" spans="1:3">
      <c r="A50" s="82">
        <v>44440</v>
      </c>
      <c r="B50" s="86">
        <v>0.4758</v>
      </c>
      <c r="C50" s="82"/>
    </row>
    <row r="51" spans="1:3">
      <c r="A51" s="82">
        <v>44501</v>
      </c>
      <c r="B51" s="86">
        <v>0.72819999999999996</v>
      </c>
    </row>
    <row r="52" spans="1:3">
      <c r="A52" s="82">
        <v>44531</v>
      </c>
      <c r="B52" s="86">
        <v>0.81140000000000001</v>
      </c>
    </row>
    <row r="53" spans="1:3">
      <c r="A53" s="82">
        <v>44562</v>
      </c>
      <c r="B53" s="86">
        <v>0.73450000000000004</v>
      </c>
    </row>
    <row r="54" spans="1:3">
      <c r="A54" s="82">
        <v>44621</v>
      </c>
      <c r="B54" s="86">
        <v>0.94369999999999998</v>
      </c>
    </row>
    <row r="55" spans="1:3">
      <c r="A55" s="82">
        <v>44682</v>
      </c>
      <c r="B55" s="86">
        <v>0.78749999999999998</v>
      </c>
    </row>
    <row r="56" spans="1:3">
      <c r="A56" s="82">
        <v>44713</v>
      </c>
      <c r="B56" s="86">
        <v>1.0487</v>
      </c>
    </row>
    <row r="57" spans="1:3">
      <c r="A57" s="82">
        <v>44774</v>
      </c>
      <c r="B57" s="86">
        <v>0.67879999999999996</v>
      </c>
    </row>
    <row r="58" spans="1:3">
      <c r="A58" s="82">
        <v>44805</v>
      </c>
      <c r="B58" s="86">
        <v>1.0375000000000001</v>
      </c>
    </row>
    <row r="59" spans="1:3">
      <c r="A59" s="82">
        <v>44866</v>
      </c>
      <c r="B59" s="86">
        <v>1.0498000000000001</v>
      </c>
    </row>
    <row r="60" spans="1:3">
      <c r="A60" s="82">
        <v>44896</v>
      </c>
      <c r="B60" s="86">
        <v>0.98699999999999999</v>
      </c>
    </row>
    <row r="61" spans="1:3">
      <c r="A61" s="82">
        <v>44958</v>
      </c>
      <c r="B61" s="86">
        <v>0.89039999999999997</v>
      </c>
    </row>
    <row r="62" spans="1:3">
      <c r="A62" s="82">
        <v>44986</v>
      </c>
      <c r="B62" s="86">
        <v>0.68969999999999998</v>
      </c>
    </row>
    <row r="63" spans="1:3">
      <c r="A63" s="82">
        <v>45047</v>
      </c>
      <c r="B63" s="86">
        <v>0.42170000000000002</v>
      </c>
    </row>
    <row r="64" spans="1:3">
      <c r="A64" s="82">
        <v>45078</v>
      </c>
      <c r="B64" s="86">
        <v>0.28389999999999999</v>
      </c>
    </row>
    <row r="65" spans="1:4">
      <c r="A65" s="82">
        <v>45108</v>
      </c>
      <c r="B65" s="86">
        <v>0.2273</v>
      </c>
    </row>
    <row r="66" spans="1:4">
      <c r="A66" s="82">
        <v>45170</v>
      </c>
      <c r="B66" s="86">
        <v>0.17460000000000001</v>
      </c>
    </row>
    <row r="67" spans="1:4">
      <c r="A67" s="82">
        <v>45231</v>
      </c>
      <c r="B67" s="86">
        <v>0.81220000000000003</v>
      </c>
    </row>
    <row r="68" spans="1:4">
      <c r="A68" s="82">
        <v>45413</v>
      </c>
      <c r="B68" s="86">
        <v>0.38159999999999999</v>
      </c>
    </row>
    <row r="69" spans="1:4">
      <c r="A69" s="82">
        <v>45505</v>
      </c>
      <c r="B69" s="86">
        <v>0.35659999999999997</v>
      </c>
    </row>
    <row r="70" spans="1:4">
      <c r="A70" s="82">
        <v>45597</v>
      </c>
      <c r="B70" s="86">
        <v>0.84670000000000001</v>
      </c>
    </row>
    <row r="71" spans="1:4">
      <c r="A71" t="s">
        <v>53</v>
      </c>
      <c r="B71" s="86" t="s">
        <v>54</v>
      </c>
    </row>
    <row r="72" spans="1:4">
      <c r="A72" t="s">
        <v>53</v>
      </c>
      <c r="B72" s="86" t="s">
        <v>55</v>
      </c>
    </row>
    <row r="73" spans="1:4">
      <c r="A73" t="s">
        <v>56</v>
      </c>
      <c r="B73" s="86" t="s">
        <v>57</v>
      </c>
    </row>
    <row r="74" spans="1:4">
      <c r="A74" t="s">
        <v>58</v>
      </c>
      <c r="B74" s="86" t="s">
        <v>57</v>
      </c>
    </row>
    <row r="75" spans="1:4">
      <c r="A75" t="s">
        <v>59</v>
      </c>
      <c r="B75" s="86" t="s">
        <v>53</v>
      </c>
    </row>
    <row r="76" spans="1:4">
      <c r="A76" t="s">
        <v>60</v>
      </c>
      <c r="B76" s="86" t="s">
        <v>53</v>
      </c>
    </row>
    <row r="77" spans="1:4">
      <c r="A77" t="s">
        <v>55</v>
      </c>
      <c r="B77" s="86">
        <v>44440</v>
      </c>
    </row>
    <row r="78" spans="1:4">
      <c r="A78" t="s">
        <v>54</v>
      </c>
      <c r="B78" s="86" t="s">
        <v>54</v>
      </c>
    </row>
    <row r="79" spans="1:4">
      <c r="A79" t="s">
        <v>54</v>
      </c>
      <c r="B79" s="86" t="s">
        <v>61</v>
      </c>
    </row>
    <row r="80" spans="1:4">
      <c r="A80" t="s">
        <v>61</v>
      </c>
      <c r="B80" s="86" t="s">
        <v>61</v>
      </c>
      <c r="C80" s="82">
        <v>44501</v>
      </c>
      <c r="D80" t="s">
        <v>62</v>
      </c>
    </row>
    <row r="81" spans="1:5">
      <c r="A81" t="s">
        <v>61</v>
      </c>
      <c r="B81" s="86" t="s">
        <v>60</v>
      </c>
      <c r="C81" s="82">
        <v>40483</v>
      </c>
      <c r="D81" t="s">
        <v>62</v>
      </c>
      <c r="E81" s="82"/>
    </row>
    <row r="82" spans="1:5">
      <c r="A82" t="s">
        <v>63</v>
      </c>
      <c r="B82" s="86" t="s">
        <v>64</v>
      </c>
    </row>
    <row r="83" spans="1:5">
      <c r="A83" t="s">
        <v>63</v>
      </c>
      <c r="B83" s="86" t="s">
        <v>64</v>
      </c>
    </row>
  </sheetData>
  <sortState xmlns:xlrd2="http://schemas.microsoft.com/office/spreadsheetml/2017/richdata2" ref="A4:B83">
    <sortCondition ref="A4:A83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68E61-19A6-4741-A940-101508B47ADB}">
  <dimension ref="A1:AL23"/>
  <sheetViews>
    <sheetView workbookViewId="0">
      <selection activeCell="A22" sqref="A22"/>
    </sheetView>
  </sheetViews>
  <sheetFormatPr defaultRowHeight="15"/>
  <cols>
    <col min="1" max="1" width="12.85546875" customWidth="1"/>
    <col min="2" max="2" width="10.28515625" customWidth="1"/>
    <col min="3" max="3" width="9.140625" customWidth="1"/>
    <col min="4" max="4" width="14.140625" customWidth="1"/>
    <col min="5" max="12" width="9.140625" customWidth="1"/>
    <col min="13" max="13" width="13.7109375" customWidth="1"/>
    <col min="14" max="18" width="11.28515625" customWidth="1"/>
    <col min="19" max="19" width="11.85546875" customWidth="1"/>
    <col min="20" max="25" width="11.28515625" customWidth="1"/>
    <col min="26" max="26" width="13.5703125" customWidth="1"/>
    <col min="27" max="27" width="14.140625" customWidth="1"/>
    <col min="28" max="33" width="12.85546875" customWidth="1"/>
    <col min="34" max="35" width="11.28515625" customWidth="1"/>
  </cols>
  <sheetData>
    <row r="1" spans="1:38">
      <c r="A1" t="s">
        <v>65</v>
      </c>
    </row>
    <row r="2" spans="1:38">
      <c r="A2" t="s">
        <v>66</v>
      </c>
    </row>
    <row r="3" spans="1:38">
      <c r="E3" t="s">
        <v>67</v>
      </c>
      <c r="I3" t="s">
        <v>68</v>
      </c>
      <c r="K3" t="s">
        <v>69</v>
      </c>
    </row>
    <row r="4" spans="1:38" s="15" customFormat="1" ht="75">
      <c r="A4" s="15" t="s">
        <v>70</v>
      </c>
      <c r="B4" s="15" t="s">
        <v>71</v>
      </c>
      <c r="C4" s="15" t="s">
        <v>72</v>
      </c>
      <c r="D4" s="15" t="s">
        <v>73</v>
      </c>
      <c r="E4" s="15" t="s">
        <v>74</v>
      </c>
      <c r="F4" s="15" t="s">
        <v>75</v>
      </c>
      <c r="G4" s="15" t="s">
        <v>76</v>
      </c>
      <c r="H4" s="15" t="s">
        <v>77</v>
      </c>
      <c r="I4" s="15" t="s">
        <v>68</v>
      </c>
      <c r="J4" s="15" t="s">
        <v>78</v>
      </c>
      <c r="K4" s="15" t="s">
        <v>74</v>
      </c>
      <c r="L4" s="15" t="s">
        <v>10</v>
      </c>
      <c r="M4" s="15" t="s">
        <v>79</v>
      </c>
      <c r="N4" s="15" t="s">
        <v>80</v>
      </c>
      <c r="O4" s="15" t="s">
        <v>81</v>
      </c>
      <c r="P4" s="15" t="s">
        <v>82</v>
      </c>
      <c r="Q4" s="15" t="s">
        <v>83</v>
      </c>
      <c r="R4" s="15" t="s">
        <v>84</v>
      </c>
      <c r="S4" s="15" t="s">
        <v>85</v>
      </c>
      <c r="T4" s="15" t="s">
        <v>86</v>
      </c>
      <c r="U4" s="15" t="s">
        <v>87</v>
      </c>
      <c r="V4" s="15" t="s">
        <v>88</v>
      </c>
      <c r="W4" s="15" t="s">
        <v>89</v>
      </c>
      <c r="X4" s="15" t="s">
        <v>90</v>
      </c>
      <c r="Y4" s="15" t="s">
        <v>91</v>
      </c>
      <c r="Z4" s="15" t="s">
        <v>92</v>
      </c>
      <c r="AA4" s="15" t="s">
        <v>93</v>
      </c>
      <c r="AB4" s="15" t="s">
        <v>94</v>
      </c>
      <c r="AC4" s="15" t="s">
        <v>95</v>
      </c>
      <c r="AD4" s="15" t="s">
        <v>96</v>
      </c>
      <c r="AE4" s="15" t="s">
        <v>97</v>
      </c>
      <c r="AF4" s="15" t="s">
        <v>98</v>
      </c>
      <c r="AG4" s="15" t="s">
        <v>99</v>
      </c>
      <c r="AH4" s="15" t="s">
        <v>100</v>
      </c>
      <c r="AI4" s="15" t="s">
        <v>101</v>
      </c>
      <c r="AJ4" s="15" t="s">
        <v>102</v>
      </c>
      <c r="AK4" s="15" t="s">
        <v>103</v>
      </c>
      <c r="AL4" s="15" t="s">
        <v>104</v>
      </c>
    </row>
    <row r="5" spans="1:38">
      <c r="A5" s="89">
        <v>42309</v>
      </c>
      <c r="B5" s="82">
        <v>42370</v>
      </c>
      <c r="C5" s="83">
        <v>10</v>
      </c>
      <c r="D5">
        <v>40</v>
      </c>
      <c r="E5" s="48">
        <v>0.36870000000000003</v>
      </c>
      <c r="F5" s="48">
        <v>0.45340000000000003</v>
      </c>
      <c r="G5" s="48">
        <v>0.53339999999999999</v>
      </c>
      <c r="H5" s="48">
        <v>0.28689999999999999</v>
      </c>
      <c r="I5" s="48">
        <v>1.1890000000000001</v>
      </c>
      <c r="J5" s="48">
        <v>1.2737000000000001</v>
      </c>
      <c r="K5" s="48">
        <f t="shared" ref="K5:L10" si="0">E5+$G5+$H5-I5</f>
        <v>0</v>
      </c>
      <c r="L5" s="48">
        <f t="shared" si="0"/>
        <v>0</v>
      </c>
      <c r="M5" s="91">
        <f>IF(F5&gt;0,F5,Q5)</f>
        <v>0.45340000000000003</v>
      </c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</row>
    <row r="6" spans="1:38">
      <c r="A6" s="6" t="s">
        <v>105</v>
      </c>
      <c r="B6" s="82">
        <f>EDATE(B5,6)</f>
        <v>42552</v>
      </c>
      <c r="C6" s="83">
        <v>10</v>
      </c>
      <c r="D6">
        <v>10</v>
      </c>
      <c r="E6">
        <v>0.22</v>
      </c>
      <c r="F6">
        <v>0.25750000000000001</v>
      </c>
      <c r="G6">
        <v>0.28999999999999998</v>
      </c>
      <c r="H6">
        <v>0.28920000000000001</v>
      </c>
      <c r="I6">
        <v>0.79920000000000002</v>
      </c>
      <c r="J6">
        <v>0.8367</v>
      </c>
      <c r="K6" s="48">
        <f t="shared" si="0"/>
        <v>0</v>
      </c>
      <c r="L6" s="48">
        <f t="shared" si="0"/>
        <v>0</v>
      </c>
      <c r="M6" s="91">
        <f t="shared" ref="M6:M23" si="1">IF(F6&gt;0,F6,Q6)</f>
        <v>0.25750000000000001</v>
      </c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</row>
    <row r="7" spans="1:38">
      <c r="A7" s="89">
        <v>42675</v>
      </c>
      <c r="B7" s="82">
        <f>EDATE(B6,6)</f>
        <v>42736</v>
      </c>
      <c r="C7" s="83">
        <v>10</v>
      </c>
      <c r="D7">
        <v>40</v>
      </c>
      <c r="E7">
        <v>0.4395</v>
      </c>
      <c r="F7">
        <v>0.5242</v>
      </c>
      <c r="G7">
        <v>0.48970000000000002</v>
      </c>
      <c r="H7">
        <v>0.33040000000000003</v>
      </c>
      <c r="I7">
        <v>1.2596000000000001</v>
      </c>
      <c r="J7">
        <v>1.3443000000000001</v>
      </c>
      <c r="K7" s="48">
        <f t="shared" si="0"/>
        <v>0</v>
      </c>
      <c r="L7" s="48">
        <f t="shared" si="0"/>
        <v>0</v>
      </c>
      <c r="M7" s="91">
        <f t="shared" si="1"/>
        <v>0.5242</v>
      </c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</row>
    <row r="8" spans="1:38">
      <c r="A8" s="89">
        <v>42864</v>
      </c>
      <c r="B8" s="82">
        <f t="shared" ref="B8:B23" si="2">EDATE(B7,6)</f>
        <v>42917</v>
      </c>
      <c r="C8" s="83">
        <v>10</v>
      </c>
      <c r="D8">
        <v>10</v>
      </c>
      <c r="E8">
        <v>0.22850000000000001</v>
      </c>
      <c r="F8">
        <v>0.26600000000000001</v>
      </c>
      <c r="G8">
        <v>0.38009999999999999</v>
      </c>
      <c r="H8">
        <v>0.34939999999999999</v>
      </c>
      <c r="I8">
        <v>0.95799999999999996</v>
      </c>
      <c r="J8">
        <v>0.99550000000000005</v>
      </c>
      <c r="K8" s="48">
        <f t="shared" si="0"/>
        <v>0</v>
      </c>
      <c r="L8" s="48">
        <f t="shared" si="0"/>
        <v>0</v>
      </c>
      <c r="M8" s="91">
        <f t="shared" si="1"/>
        <v>0.26600000000000001</v>
      </c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</row>
    <row r="9" spans="1:38">
      <c r="A9" s="89">
        <v>43040</v>
      </c>
      <c r="B9" s="82">
        <f t="shared" si="2"/>
        <v>43101</v>
      </c>
      <c r="C9" s="83">
        <v>10</v>
      </c>
      <c r="D9">
        <v>40</v>
      </c>
      <c r="E9">
        <v>0.43130000000000002</v>
      </c>
      <c r="F9">
        <v>0.51600000000000001</v>
      </c>
      <c r="G9">
        <v>0.626</v>
      </c>
      <c r="H9">
        <v>0.34179999999999999</v>
      </c>
      <c r="I9" s="4">
        <v>1.3991</v>
      </c>
      <c r="J9">
        <v>1.4838</v>
      </c>
      <c r="K9" s="48">
        <f t="shared" si="0"/>
        <v>0</v>
      </c>
      <c r="L9" s="48">
        <f t="shared" si="0"/>
        <v>0</v>
      </c>
      <c r="M9" s="91">
        <f t="shared" si="1"/>
        <v>0.51600000000000001</v>
      </c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</row>
    <row r="10" spans="1:38">
      <c r="A10" s="89">
        <v>43221</v>
      </c>
      <c r="B10" s="82">
        <f t="shared" si="2"/>
        <v>43282</v>
      </c>
      <c r="C10" s="83">
        <v>10</v>
      </c>
      <c r="D10">
        <v>10</v>
      </c>
      <c r="E10">
        <v>0.23649999999999999</v>
      </c>
      <c r="F10">
        <v>0.27400000000000002</v>
      </c>
      <c r="G10">
        <v>0.35470000000000002</v>
      </c>
      <c r="H10">
        <v>0.36149999999999999</v>
      </c>
      <c r="I10">
        <v>0.95269999999999999</v>
      </c>
      <c r="J10">
        <v>0.99019999999999997</v>
      </c>
      <c r="K10" s="48">
        <f t="shared" si="0"/>
        <v>0</v>
      </c>
      <c r="L10" s="48">
        <f t="shared" si="0"/>
        <v>0</v>
      </c>
      <c r="M10" s="91">
        <f t="shared" si="1"/>
        <v>0.27400000000000002</v>
      </c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</row>
    <row r="11" spans="1:38">
      <c r="A11" s="89">
        <v>43405</v>
      </c>
      <c r="B11" s="82">
        <f t="shared" si="2"/>
        <v>43466</v>
      </c>
      <c r="C11" s="83">
        <v>12</v>
      </c>
      <c r="F11">
        <v>0.59199999999999997</v>
      </c>
      <c r="G11">
        <v>0.60250000000000004</v>
      </c>
      <c r="H11">
        <v>0.31380000000000002</v>
      </c>
      <c r="J11">
        <v>1.5083</v>
      </c>
      <c r="L11" s="48">
        <f>F11+$G11+$H11-J11</f>
        <v>0</v>
      </c>
      <c r="M11" s="91">
        <f t="shared" si="1"/>
        <v>0.59199999999999997</v>
      </c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</row>
    <row r="12" spans="1:38">
      <c r="A12" s="89">
        <v>43586</v>
      </c>
      <c r="B12" s="82">
        <f t="shared" si="2"/>
        <v>43647</v>
      </c>
      <c r="C12" s="83">
        <v>12</v>
      </c>
      <c r="D12" s="90"/>
      <c r="E12" s="90"/>
      <c r="F12" s="90"/>
      <c r="G12" s="90"/>
      <c r="H12" s="90"/>
      <c r="I12" s="90"/>
      <c r="J12" s="90"/>
      <c r="K12" s="90"/>
      <c r="L12" s="90"/>
      <c r="M12" s="91">
        <f t="shared" si="1"/>
        <v>0.75949999999999995</v>
      </c>
      <c r="N12" s="48">
        <v>0.73240000000000005</v>
      </c>
      <c r="O12" s="48">
        <v>2.87E-2</v>
      </c>
      <c r="P12" s="48">
        <v>-1.6000000000000001E-3</v>
      </c>
      <c r="Q12" s="48">
        <v>0.75949999999999995</v>
      </c>
      <c r="R12" s="48">
        <f>SUM(S12,U12:X12,Z12,AC12:AG12)</f>
        <v>6.9599999999999995E-2</v>
      </c>
      <c r="S12" s="48">
        <v>3.8999999999999998E-3</v>
      </c>
      <c r="T12" s="48">
        <v>0.1323</v>
      </c>
      <c r="U12" s="48">
        <v>-1.5E-3</v>
      </c>
      <c r="V12" s="48">
        <v>0</v>
      </c>
      <c r="W12" s="48">
        <v>2.0000000000000001E-4</v>
      </c>
      <c r="X12" s="48">
        <v>2.06E-2</v>
      </c>
      <c r="Y12" s="48">
        <v>2.76E-2</v>
      </c>
      <c r="Z12" s="48">
        <v>4.6399999999999997E-2</v>
      </c>
      <c r="AA12" s="48">
        <v>4.07E-2</v>
      </c>
      <c r="AB12" s="48">
        <v>0</v>
      </c>
      <c r="AC12" s="48"/>
      <c r="AD12" s="48"/>
      <c r="AE12" s="48"/>
      <c r="AF12" s="48"/>
      <c r="AG12" s="48"/>
      <c r="AH12" s="48">
        <v>0.2702</v>
      </c>
      <c r="AI12" s="48">
        <v>1.0297000000000001</v>
      </c>
      <c r="AJ12" s="86">
        <f t="shared" ref="AJ12:AJ23" si="3">SUM(N12:P12)-Q12</f>
        <v>0</v>
      </c>
      <c r="AK12" s="86">
        <f t="shared" ref="AK12:AK22" si="4">SUM(S12:AG12)-AH12</f>
        <v>0</v>
      </c>
      <c r="AL12" s="86">
        <f t="shared" ref="AL12:AL23" si="5">+Q12+AH12-AI12</f>
        <v>0</v>
      </c>
    </row>
    <row r="13" spans="1:38">
      <c r="A13" s="89">
        <v>43770</v>
      </c>
      <c r="B13" s="82">
        <f t="shared" si="2"/>
        <v>43831</v>
      </c>
      <c r="C13" s="83">
        <v>12</v>
      </c>
      <c r="D13" s="90"/>
      <c r="E13" s="90"/>
      <c r="F13" s="90"/>
      <c r="G13" s="90"/>
      <c r="H13" s="90"/>
      <c r="I13" s="90"/>
      <c r="J13" s="90"/>
      <c r="K13" s="90"/>
      <c r="L13" s="90"/>
      <c r="M13" s="91">
        <f t="shared" si="1"/>
        <v>0.57289999999999996</v>
      </c>
      <c r="N13" s="48">
        <v>0.61550000000000005</v>
      </c>
      <c r="O13" s="48">
        <v>-4.2599999999999999E-2</v>
      </c>
      <c r="P13" s="48"/>
      <c r="Q13" s="48">
        <v>0.57289999999999996</v>
      </c>
      <c r="R13" s="48">
        <f t="shared" ref="R13:R23" si="6">SUM(S13,U13:X13,Z13,AC13:AG13)</f>
        <v>9.7999999999999979E-3</v>
      </c>
      <c r="S13" s="48">
        <v>3.8E-3</v>
      </c>
      <c r="T13" s="48">
        <v>0.14860000000000001</v>
      </c>
      <c r="U13" s="48">
        <v>-1.1999999999999999E-3</v>
      </c>
      <c r="V13" s="48">
        <v>0</v>
      </c>
      <c r="W13" s="48">
        <v>1E-4</v>
      </c>
      <c r="X13" s="48">
        <v>4.7999999999999996E-3</v>
      </c>
      <c r="Y13" s="48">
        <v>1.8200000000000001E-2</v>
      </c>
      <c r="Z13" s="48">
        <v>-2.7000000000000001E-3</v>
      </c>
      <c r="AA13" s="48">
        <v>4.07E-2</v>
      </c>
      <c r="AB13" s="48">
        <v>1E-3</v>
      </c>
      <c r="AC13" s="48">
        <v>5.1999999999999998E-3</v>
      </c>
      <c r="AD13" s="48">
        <v>-2.0000000000000001E-4</v>
      </c>
      <c r="AE13" s="48"/>
      <c r="AF13" s="48"/>
      <c r="AG13" s="48"/>
      <c r="AH13" s="48">
        <v>0.21829999999999999</v>
      </c>
      <c r="AI13" s="48">
        <v>0.79120000000000001</v>
      </c>
      <c r="AJ13" s="86">
        <f t="shared" si="3"/>
        <v>0</v>
      </c>
      <c r="AK13" s="86">
        <f t="shared" si="4"/>
        <v>0</v>
      </c>
      <c r="AL13" s="86">
        <f t="shared" si="5"/>
        <v>0</v>
      </c>
    </row>
    <row r="14" spans="1:38">
      <c r="A14" s="89">
        <v>43952</v>
      </c>
      <c r="B14" s="82">
        <f t="shared" si="2"/>
        <v>44013</v>
      </c>
      <c r="C14" s="83">
        <v>12</v>
      </c>
      <c r="D14" s="90"/>
      <c r="E14" s="90"/>
      <c r="F14" s="90"/>
      <c r="G14" s="90"/>
      <c r="H14" s="90"/>
      <c r="I14" s="90"/>
      <c r="J14" s="90"/>
      <c r="K14" s="90"/>
      <c r="L14" s="90"/>
      <c r="M14" s="91">
        <f t="shared" si="1"/>
        <v>0.27939999999999998</v>
      </c>
      <c r="N14" s="48">
        <v>0.30420000000000003</v>
      </c>
      <c r="O14" s="48">
        <v>-2.4799999999999999E-2</v>
      </c>
      <c r="P14" s="48"/>
      <c r="Q14" s="48">
        <v>0.27939999999999998</v>
      </c>
      <c r="R14" s="48">
        <f t="shared" si="6"/>
        <v>9.7999999999999979E-3</v>
      </c>
      <c r="S14" s="48">
        <v>3.8E-3</v>
      </c>
      <c r="T14" s="48">
        <v>0.14860000000000001</v>
      </c>
      <c r="U14" s="48">
        <v>-1.1999999999999999E-3</v>
      </c>
      <c r="V14" s="48">
        <v>0</v>
      </c>
      <c r="W14" s="48">
        <v>1E-4</v>
      </c>
      <c r="X14" s="48">
        <v>4.7999999999999996E-3</v>
      </c>
      <c r="Y14" s="48">
        <v>1.8200000000000001E-2</v>
      </c>
      <c r="Z14" s="48">
        <v>-2.7000000000000001E-3</v>
      </c>
      <c r="AA14" s="48">
        <v>7.2800000000000004E-2</v>
      </c>
      <c r="AB14" s="48">
        <v>1E-3</v>
      </c>
      <c r="AC14" s="48">
        <v>5.1999999999999998E-3</v>
      </c>
      <c r="AD14" s="48">
        <v>-2.0000000000000001E-4</v>
      </c>
      <c r="AE14" s="48"/>
      <c r="AF14" s="48"/>
      <c r="AG14" s="48"/>
      <c r="AH14" s="48">
        <v>0.25040000000000001</v>
      </c>
      <c r="AI14" s="48">
        <v>0.52980000000000005</v>
      </c>
      <c r="AJ14" s="86">
        <f t="shared" si="3"/>
        <v>0</v>
      </c>
      <c r="AK14" s="86">
        <f t="shared" si="4"/>
        <v>0</v>
      </c>
      <c r="AL14" s="86">
        <f t="shared" si="5"/>
        <v>0</v>
      </c>
    </row>
    <row r="15" spans="1:38">
      <c r="A15" s="89">
        <v>44136</v>
      </c>
      <c r="B15" s="82">
        <f t="shared" si="2"/>
        <v>44197</v>
      </c>
      <c r="C15" s="83">
        <v>12</v>
      </c>
      <c r="D15" s="90"/>
      <c r="E15" s="90"/>
      <c r="F15" s="90"/>
      <c r="G15" s="90"/>
      <c r="H15" s="90"/>
      <c r="I15" s="90"/>
      <c r="J15" s="90"/>
      <c r="K15" s="90"/>
      <c r="L15" s="90"/>
      <c r="M15" s="91">
        <f t="shared" si="1"/>
        <v>0.61409999999999998</v>
      </c>
      <c r="N15" s="48">
        <v>0.61550000000000005</v>
      </c>
      <c r="O15" s="48">
        <v>-1.4E-3</v>
      </c>
      <c r="P15" s="48"/>
      <c r="Q15" s="48">
        <v>0.61409999999999998</v>
      </c>
      <c r="R15" s="48">
        <f t="shared" si="6"/>
        <v>2.0200000000000003E-2</v>
      </c>
      <c r="S15" s="48">
        <v>3.8999999999999998E-3</v>
      </c>
      <c r="T15" s="48">
        <v>0.17929999999999999</v>
      </c>
      <c r="U15" s="48">
        <v>-5.9999999999999995E-4</v>
      </c>
      <c r="V15" s="48">
        <v>0</v>
      </c>
      <c r="W15" s="48">
        <v>0</v>
      </c>
      <c r="X15" s="48">
        <v>9.1999999999999998E-3</v>
      </c>
      <c r="Y15" s="48">
        <v>2.2800000000000001E-2</v>
      </c>
      <c r="Z15" s="48">
        <v>0</v>
      </c>
      <c r="AA15" s="48">
        <v>7.2800000000000004E-2</v>
      </c>
      <c r="AB15" s="48">
        <v>4.0000000000000001E-3</v>
      </c>
      <c r="AC15" s="48">
        <v>7.7000000000000002E-3</v>
      </c>
      <c r="AD15" s="48">
        <v>0</v>
      </c>
      <c r="AE15" s="48"/>
      <c r="AF15" s="48"/>
      <c r="AG15" s="48"/>
      <c r="AH15" s="48">
        <v>0.29909999999999998</v>
      </c>
      <c r="AI15" s="48">
        <v>0.91320000000000001</v>
      </c>
      <c r="AJ15" s="86">
        <f t="shared" si="3"/>
        <v>0</v>
      </c>
      <c r="AK15" s="86">
        <f t="shared" si="4"/>
        <v>0</v>
      </c>
      <c r="AL15" s="86">
        <f t="shared" si="5"/>
        <v>0</v>
      </c>
    </row>
    <row r="16" spans="1:38">
      <c r="A16" s="89">
        <v>44317</v>
      </c>
      <c r="B16" s="82">
        <f t="shared" si="2"/>
        <v>44378</v>
      </c>
      <c r="C16" s="83">
        <v>12</v>
      </c>
      <c r="D16" s="90"/>
      <c r="E16" s="90"/>
      <c r="F16" s="90"/>
      <c r="G16" s="90"/>
      <c r="H16" s="90"/>
      <c r="I16" s="90"/>
      <c r="J16" s="90"/>
      <c r="K16" s="90"/>
      <c r="L16" s="90"/>
      <c r="M16" s="91">
        <f t="shared" si="1"/>
        <v>0.30059999999999998</v>
      </c>
      <c r="N16" s="48">
        <v>0.30420000000000003</v>
      </c>
      <c r="O16" s="48">
        <v>-3.5999999999999999E-3</v>
      </c>
      <c r="P16" s="48"/>
      <c r="Q16" s="48">
        <v>0.30059999999999998</v>
      </c>
      <c r="R16" s="48">
        <f t="shared" si="6"/>
        <v>2.0200000000000003E-2</v>
      </c>
      <c r="S16" s="48">
        <v>3.8999999999999998E-3</v>
      </c>
      <c r="T16" s="48">
        <v>0.17929999999999999</v>
      </c>
      <c r="U16" s="48">
        <v>-5.9999999999999995E-4</v>
      </c>
      <c r="V16" s="48">
        <v>0</v>
      </c>
      <c r="W16" s="48">
        <v>0</v>
      </c>
      <c r="X16" s="48">
        <v>9.1999999999999998E-3</v>
      </c>
      <c r="Y16" s="48">
        <v>2.2800000000000001E-2</v>
      </c>
      <c r="Z16" s="48">
        <v>0</v>
      </c>
      <c r="AA16" s="48">
        <v>9.5200000000000007E-2</v>
      </c>
      <c r="AB16" s="48">
        <v>4.0000000000000001E-3</v>
      </c>
      <c r="AC16" s="48">
        <v>7.7000000000000002E-3</v>
      </c>
      <c r="AD16" s="48">
        <v>0</v>
      </c>
      <c r="AE16" s="48"/>
      <c r="AF16" s="48"/>
      <c r="AG16" s="48"/>
      <c r="AH16" s="48">
        <v>0.32150000000000001</v>
      </c>
      <c r="AI16" s="48">
        <v>0.62209999999999999</v>
      </c>
      <c r="AJ16" s="86">
        <f t="shared" si="3"/>
        <v>0</v>
      </c>
      <c r="AK16" s="86">
        <f t="shared" si="4"/>
        <v>0</v>
      </c>
      <c r="AL16" s="86">
        <f t="shared" si="5"/>
        <v>0</v>
      </c>
    </row>
    <row r="17" spans="1:38">
      <c r="A17" s="89">
        <v>44531</v>
      </c>
      <c r="B17" s="82">
        <f t="shared" si="2"/>
        <v>44562</v>
      </c>
      <c r="C17" s="83">
        <v>12</v>
      </c>
      <c r="D17" s="90"/>
      <c r="E17" s="90"/>
      <c r="F17" s="90"/>
      <c r="G17" s="90"/>
      <c r="H17" s="90"/>
      <c r="I17" s="90"/>
      <c r="J17" s="90"/>
      <c r="K17" s="90"/>
      <c r="L17" s="90"/>
      <c r="M17" s="91">
        <f t="shared" si="1"/>
        <v>0.69869999999999999</v>
      </c>
      <c r="N17" s="48">
        <v>0.6885</v>
      </c>
      <c r="O17" s="48"/>
      <c r="P17" s="48">
        <v>1.0200000000000001E-2</v>
      </c>
      <c r="Q17" s="48">
        <v>0.69869999999999999</v>
      </c>
      <c r="R17" s="48">
        <f t="shared" si="6"/>
        <v>2.2200000000000001E-2</v>
      </c>
      <c r="S17" s="48">
        <v>3.3E-3</v>
      </c>
      <c r="T17" s="48">
        <v>0.23300000000000001</v>
      </c>
      <c r="U17" s="48">
        <v>-8.0000000000000004E-4</v>
      </c>
      <c r="V17" s="48">
        <v>0</v>
      </c>
      <c r="W17" s="48">
        <v>2.9999999999999997E-4</v>
      </c>
      <c r="X17" s="48">
        <v>1.17E-2</v>
      </c>
      <c r="Y17" s="48">
        <v>3.3799999999999997E-2</v>
      </c>
      <c r="Z17" s="48"/>
      <c r="AA17" s="48">
        <v>7.3499999999999996E-2</v>
      </c>
      <c r="AB17" s="48">
        <v>0</v>
      </c>
      <c r="AC17" s="48">
        <v>7.7000000000000002E-3</v>
      </c>
      <c r="AD17" s="48"/>
      <c r="AE17" s="48"/>
      <c r="AF17" s="48"/>
      <c r="AG17" s="48"/>
      <c r="AH17" s="48">
        <v>0.36249999999999999</v>
      </c>
      <c r="AI17" s="48">
        <v>1.0611999999999999</v>
      </c>
      <c r="AJ17" s="86">
        <f t="shared" si="3"/>
        <v>0</v>
      </c>
      <c r="AK17" s="86">
        <f t="shared" si="4"/>
        <v>0</v>
      </c>
      <c r="AL17" s="86">
        <f t="shared" si="5"/>
        <v>0</v>
      </c>
    </row>
    <row r="18" spans="1:38">
      <c r="A18" s="89">
        <v>44682</v>
      </c>
      <c r="B18" s="82">
        <f t="shared" si="2"/>
        <v>44743</v>
      </c>
      <c r="C18" s="83">
        <v>12</v>
      </c>
      <c r="D18" s="90"/>
      <c r="E18" s="90"/>
      <c r="F18" s="90"/>
      <c r="G18" s="90"/>
      <c r="H18" s="90"/>
      <c r="I18" s="90"/>
      <c r="J18" s="90"/>
      <c r="K18" s="90"/>
      <c r="L18" s="90"/>
      <c r="M18" s="91">
        <f t="shared" si="1"/>
        <v>0.37669999999999998</v>
      </c>
      <c r="N18" s="48">
        <v>0.34010000000000001</v>
      </c>
      <c r="O18" s="48">
        <v>3.6600000000000001E-2</v>
      </c>
      <c r="P18" s="48"/>
      <c r="Q18" s="48">
        <v>0.37669999999999998</v>
      </c>
      <c r="R18" s="48">
        <f t="shared" si="6"/>
        <v>2.2200000000000001E-2</v>
      </c>
      <c r="S18" s="48">
        <v>3.3E-3</v>
      </c>
      <c r="T18" s="48">
        <v>0.23300000000000001</v>
      </c>
      <c r="U18" s="48">
        <v>-8.0000000000000004E-4</v>
      </c>
      <c r="V18" s="48">
        <v>0</v>
      </c>
      <c r="W18" s="48">
        <v>2.9999999999999997E-4</v>
      </c>
      <c r="X18" s="48">
        <v>1.17E-2</v>
      </c>
      <c r="Y18" s="48">
        <v>3.3799999999999997E-2</v>
      </c>
      <c r="Z18" s="48"/>
      <c r="AA18" s="48">
        <v>7.5399999999999995E-2</v>
      </c>
      <c r="AB18" s="48">
        <v>0</v>
      </c>
      <c r="AC18" s="48">
        <v>7.7000000000000002E-3</v>
      </c>
      <c r="AD18" s="48"/>
      <c r="AE18" s="48"/>
      <c r="AF18" s="48"/>
      <c r="AG18" s="48"/>
      <c r="AH18" s="48">
        <v>0.3644</v>
      </c>
      <c r="AI18" s="48">
        <v>0.74109999999999998</v>
      </c>
      <c r="AJ18" s="86">
        <f t="shared" si="3"/>
        <v>0</v>
      </c>
      <c r="AK18" s="86">
        <f t="shared" si="4"/>
        <v>0</v>
      </c>
      <c r="AL18" s="86">
        <f t="shared" si="5"/>
        <v>0</v>
      </c>
    </row>
    <row r="19" spans="1:38">
      <c r="A19" s="89">
        <v>44866</v>
      </c>
      <c r="B19" s="82">
        <f t="shared" si="2"/>
        <v>44927</v>
      </c>
      <c r="C19" s="83">
        <v>12</v>
      </c>
      <c r="D19" s="90"/>
      <c r="E19" s="90"/>
      <c r="F19" s="90"/>
      <c r="G19" s="90"/>
      <c r="H19" s="90"/>
      <c r="I19" s="90"/>
      <c r="J19" s="90"/>
      <c r="K19" s="90"/>
      <c r="L19" s="90"/>
      <c r="M19" s="91">
        <f t="shared" si="1"/>
        <v>0.82679999999999998</v>
      </c>
      <c r="N19" s="48">
        <v>0.77429999999999999</v>
      </c>
      <c r="O19" s="48">
        <v>5.2499999999999998E-2</v>
      </c>
      <c r="P19" s="48"/>
      <c r="Q19" s="48">
        <v>0.82679999999999998</v>
      </c>
      <c r="R19" s="48">
        <f t="shared" si="6"/>
        <v>8.9999999999999993E-3</v>
      </c>
      <c r="S19" s="48">
        <v>2.8999999999999998E-3</v>
      </c>
      <c r="T19" s="48">
        <v>0.2782</v>
      </c>
      <c r="U19" s="48">
        <v>-1.5E-3</v>
      </c>
      <c r="V19" s="48">
        <v>0</v>
      </c>
      <c r="W19" s="48">
        <v>4.0000000000000002E-4</v>
      </c>
      <c r="X19" s="48">
        <v>2.8999999999999998E-3</v>
      </c>
      <c r="Y19" s="48">
        <v>5.0200000000000002E-2</v>
      </c>
      <c r="Z19" s="48"/>
      <c r="AA19" s="48">
        <v>7.5399999999999995E-2</v>
      </c>
      <c r="AB19" s="48">
        <v>2.3199999999999998E-2</v>
      </c>
      <c r="AC19" s="48">
        <v>4.3E-3</v>
      </c>
      <c r="AD19" s="48"/>
      <c r="AE19" s="48"/>
      <c r="AF19" s="48"/>
      <c r="AG19" s="48"/>
      <c r="AH19" s="48">
        <v>0.436</v>
      </c>
      <c r="AI19" s="48">
        <v>1.2627999999999999</v>
      </c>
      <c r="AJ19" s="86">
        <f t="shared" si="3"/>
        <v>0</v>
      </c>
      <c r="AK19" s="86">
        <f t="shared" si="4"/>
        <v>0</v>
      </c>
      <c r="AL19" s="86">
        <f t="shared" si="5"/>
        <v>0</v>
      </c>
    </row>
    <row r="20" spans="1:38">
      <c r="A20" s="89">
        <v>45047</v>
      </c>
      <c r="B20" s="82">
        <f t="shared" si="2"/>
        <v>45108</v>
      </c>
      <c r="C20" s="83">
        <v>12</v>
      </c>
      <c r="D20" s="90"/>
      <c r="E20" s="90"/>
      <c r="F20" s="90"/>
      <c r="G20" s="90"/>
      <c r="H20" s="90"/>
      <c r="I20" s="90"/>
      <c r="J20" s="90"/>
      <c r="K20" s="90"/>
      <c r="L20" s="90"/>
      <c r="M20" s="91">
        <f t="shared" si="1"/>
        <v>0.47839999999999999</v>
      </c>
      <c r="N20" s="48">
        <v>0.44769999999999999</v>
      </c>
      <c r="O20" s="48">
        <v>3.0700000000000002E-2</v>
      </c>
      <c r="P20" s="48"/>
      <c r="Q20" s="48">
        <v>0.47839999999999999</v>
      </c>
      <c r="R20" s="48">
        <f t="shared" si="6"/>
        <v>8.9999999999999993E-3</v>
      </c>
      <c r="S20" s="48">
        <v>2.8999999999999998E-3</v>
      </c>
      <c r="T20" s="48">
        <v>0.2782</v>
      </c>
      <c r="U20" s="48">
        <v>-1.5E-3</v>
      </c>
      <c r="V20" s="48">
        <v>0</v>
      </c>
      <c r="W20" s="48">
        <v>4.0000000000000002E-4</v>
      </c>
      <c r="X20" s="48">
        <v>2.8999999999999998E-3</v>
      </c>
      <c r="Y20" s="48">
        <v>5.0200000000000002E-2</v>
      </c>
      <c r="Z20" s="48"/>
      <c r="AA20" s="48">
        <v>0.11899999999999999</v>
      </c>
      <c r="AB20" s="48">
        <v>2.3199999999999998E-2</v>
      </c>
      <c r="AC20" s="48">
        <v>4.3E-3</v>
      </c>
      <c r="AD20" s="48"/>
      <c r="AE20" s="48"/>
      <c r="AF20" s="48"/>
      <c r="AG20" s="48"/>
      <c r="AH20" s="48">
        <v>0.47960000000000003</v>
      </c>
      <c r="AI20" s="48">
        <v>0.95799999999999996</v>
      </c>
      <c r="AJ20" s="86">
        <f t="shared" si="3"/>
        <v>0</v>
      </c>
      <c r="AK20" s="86">
        <f t="shared" si="4"/>
        <v>0</v>
      </c>
      <c r="AL20" s="86">
        <f t="shared" si="5"/>
        <v>0</v>
      </c>
    </row>
    <row r="21" spans="1:38">
      <c r="A21" s="89">
        <v>45231</v>
      </c>
      <c r="B21" s="82">
        <f t="shared" si="2"/>
        <v>45292</v>
      </c>
      <c r="C21" s="83">
        <v>12</v>
      </c>
      <c r="D21" s="90"/>
      <c r="E21" s="90"/>
      <c r="F21" s="90"/>
      <c r="G21" s="90"/>
      <c r="H21" s="90"/>
      <c r="I21" s="90"/>
      <c r="J21" s="90"/>
      <c r="K21" s="90"/>
      <c r="L21" s="90"/>
      <c r="M21" s="91">
        <f t="shared" si="1"/>
        <v>0.95369999999999999</v>
      </c>
      <c r="N21" s="48">
        <v>0.82630000000000003</v>
      </c>
      <c r="O21" s="48">
        <v>0.12740000000000001</v>
      </c>
      <c r="P21" s="48"/>
      <c r="Q21" s="48">
        <v>0.95369999999999999</v>
      </c>
      <c r="R21" s="48">
        <f t="shared" si="6"/>
        <v>8.2999999999999984E-3</v>
      </c>
      <c r="S21" s="48">
        <v>2.7000000000000001E-3</v>
      </c>
      <c r="T21" s="48">
        <v>0.30080000000000001</v>
      </c>
      <c r="U21" s="48">
        <v>-1.6000000000000001E-3</v>
      </c>
      <c r="V21" s="48">
        <v>0</v>
      </c>
      <c r="W21" s="48">
        <v>2.0000000000000001E-4</v>
      </c>
      <c r="X21" s="48">
        <v>-5.4000000000000003E-3</v>
      </c>
      <c r="Y21" s="48">
        <v>4.6800000000000001E-2</v>
      </c>
      <c r="Z21" s="48"/>
      <c r="AA21" s="48">
        <v>0.11899999999999999</v>
      </c>
      <c r="AB21" s="48">
        <v>-2.9999999999999997E-4</v>
      </c>
      <c r="AC21" s="48">
        <v>5.7999999999999996E-3</v>
      </c>
      <c r="AD21" s="48"/>
      <c r="AE21" s="48">
        <v>6.6E-3</v>
      </c>
      <c r="AF21" s="48"/>
      <c r="AG21" s="48"/>
      <c r="AH21" s="48">
        <v>0.47460000000000002</v>
      </c>
      <c r="AI21" s="48">
        <v>1.4282999999999999</v>
      </c>
      <c r="AJ21" s="86">
        <f t="shared" si="3"/>
        <v>0</v>
      </c>
      <c r="AK21" s="86">
        <f t="shared" si="4"/>
        <v>0</v>
      </c>
      <c r="AL21" s="86">
        <f t="shared" si="5"/>
        <v>0</v>
      </c>
    </row>
    <row r="22" spans="1:38">
      <c r="A22" s="89">
        <v>45413</v>
      </c>
      <c r="B22" s="82">
        <f t="shared" si="2"/>
        <v>45474</v>
      </c>
      <c r="C22" s="83">
        <v>12</v>
      </c>
      <c r="D22" s="90"/>
      <c r="E22" s="90"/>
      <c r="F22" s="90"/>
      <c r="G22" s="90"/>
      <c r="H22" s="90"/>
      <c r="I22" s="90"/>
      <c r="J22" s="90"/>
      <c r="K22" s="90"/>
      <c r="L22" s="90"/>
      <c r="M22" s="91">
        <f t="shared" si="1"/>
        <v>0.49909999999999999</v>
      </c>
      <c r="N22" s="48">
        <v>0.4778</v>
      </c>
      <c r="O22" s="48">
        <v>2.1299999999999999E-2</v>
      </c>
      <c r="P22" s="48"/>
      <c r="Q22" s="48">
        <v>0.49909999999999999</v>
      </c>
      <c r="R22" s="48">
        <f t="shared" si="6"/>
        <v>-2.4300000000000002E-2</v>
      </c>
      <c r="S22" s="48">
        <v>2.7000000000000001E-3</v>
      </c>
      <c r="T22" s="48">
        <v>0.30080000000000001</v>
      </c>
      <c r="U22" s="48">
        <v>-1.6000000000000001E-3</v>
      </c>
      <c r="V22" s="48">
        <v>0</v>
      </c>
      <c r="W22" s="48">
        <v>2.0000000000000001E-4</v>
      </c>
      <c r="X22" s="48">
        <v>-5.4000000000000003E-3</v>
      </c>
      <c r="Y22" s="48">
        <v>4.6800000000000001E-2</v>
      </c>
      <c r="Z22" s="48"/>
      <c r="AA22" s="48">
        <v>0.16309999999999999</v>
      </c>
      <c r="AB22" s="48">
        <v>-2.9999999999999997E-4</v>
      </c>
      <c r="AC22" s="48">
        <v>-2.6800000000000001E-2</v>
      </c>
      <c r="AD22" s="48"/>
      <c r="AE22" s="48">
        <v>6.6E-3</v>
      </c>
      <c r="AF22" s="48"/>
      <c r="AG22" s="48"/>
      <c r="AH22" s="48">
        <v>0.48609999999999998</v>
      </c>
      <c r="AI22" s="48">
        <v>0.98519999999999996</v>
      </c>
      <c r="AJ22" s="86">
        <f t="shared" si="3"/>
        <v>0</v>
      </c>
      <c r="AK22" s="86">
        <f t="shared" si="4"/>
        <v>0</v>
      </c>
      <c r="AL22" s="86">
        <f t="shared" si="5"/>
        <v>0</v>
      </c>
    </row>
    <row r="23" spans="1:38">
      <c r="A23" s="89">
        <v>45597</v>
      </c>
      <c r="B23" s="82">
        <f t="shared" si="2"/>
        <v>45658</v>
      </c>
      <c r="C23" s="83">
        <v>12</v>
      </c>
      <c r="D23" s="90"/>
      <c r="E23" s="90"/>
      <c r="F23" s="90"/>
      <c r="G23" s="90"/>
      <c r="H23" s="90"/>
      <c r="I23" s="90"/>
      <c r="J23" s="90"/>
      <c r="K23" s="90"/>
      <c r="L23" s="90"/>
      <c r="M23" s="91">
        <f t="shared" si="1"/>
        <v>0.98</v>
      </c>
      <c r="N23" s="48">
        <v>0.86060000000000003</v>
      </c>
      <c r="O23" s="48">
        <v>0.11940000000000001</v>
      </c>
      <c r="P23" s="48"/>
      <c r="Q23" s="48">
        <v>0.98</v>
      </c>
      <c r="R23" s="48">
        <f t="shared" si="6"/>
        <v>-3.39E-2</v>
      </c>
      <c r="S23" s="48">
        <v>2.3E-3</v>
      </c>
      <c r="T23" s="48">
        <v>0.46760000000000002</v>
      </c>
      <c r="U23" s="48">
        <v>-1E-3</v>
      </c>
      <c r="V23" s="48">
        <v>0</v>
      </c>
      <c r="W23" s="48">
        <v>2.0000000000000001E-4</v>
      </c>
      <c r="X23" s="48">
        <v>-1.9800000000000002E-2</v>
      </c>
      <c r="Y23" s="48">
        <v>6.9900000000000004E-2</v>
      </c>
      <c r="Z23" s="48"/>
      <c r="AA23" s="48">
        <v>0.16309999999999999</v>
      </c>
      <c r="AB23" s="48">
        <v>1.2999999999999999E-3</v>
      </c>
      <c r="AC23" s="48">
        <v>-2.6800000000000001E-2</v>
      </c>
      <c r="AD23" s="48"/>
      <c r="AE23" s="48">
        <v>7.7999999999999996E-3</v>
      </c>
      <c r="AF23" s="48">
        <v>1E-3</v>
      </c>
      <c r="AG23" s="48">
        <v>2.3999999999999998E-3</v>
      </c>
      <c r="AH23" s="48">
        <v>0.66800000000000004</v>
      </c>
      <c r="AI23" s="48">
        <v>1.6479999999999999</v>
      </c>
      <c r="AJ23" s="86">
        <f t="shared" si="3"/>
        <v>0</v>
      </c>
      <c r="AK23" s="86">
        <f>SUM(S23:AG23)-AH23</f>
        <v>0</v>
      </c>
      <c r="AL23" s="86">
        <f t="shared" si="5"/>
        <v>0</v>
      </c>
    </row>
  </sheetData>
  <conditionalFormatting sqref="AJ12:AL23">
    <cfRule type="cellIs" priority="1" operator="notEqual">
      <formula>0</formula>
    </cfRule>
    <cfRule type="cellIs" dxfId="0" priority="2" operator="greaterThan">
      <formula>0</formula>
    </cfRule>
  </conditionalFormatting>
  <hyperlinks>
    <hyperlink ref="A5" r:id="rId1" tooltip="November 1, 2015" display="https://www.nationalgridus.com/media/pdfs/billing-payments/gas-rates/mag/2015/november-1-2015_boston.pdf" xr:uid="{61B759ED-96FB-4B0B-9F7A-659669B70D26}"/>
    <hyperlink ref="A6" r:id="rId2" tooltip="May 1, 2016" display="https://www.nationalgridus.com/media/pdfs/billing-payments/gas-rates/mag/2016/may-1-2016_boston.pdf" xr:uid="{25253769-7C8F-49A9-AE55-21F2ECFEEBA7}"/>
    <hyperlink ref="A7" r:id="rId3" tooltip="November 1, 2016" display="https://www.nationalgridus.com/media/pdfs/billing-payments/gas-rates/mag/2016/november-1-2016_boston.pdf" xr:uid="{8B7D327B-8F77-4E82-98D2-B6C49015C422}"/>
    <hyperlink ref="A8" r:id="rId4" tooltip="May 9, 2017" display="https://www.nationalgridus.com/media/pdfs/billing-payments/gas-rates/mag/2017/may-9-2017_boston.pdf" xr:uid="{EE4158FF-BD87-4AE7-89E2-661E7129C1FC}"/>
    <hyperlink ref="A9" r:id="rId5" tooltip="November 1, 2017" display="https://www.nationalgridus.com/media/pdfs/billing-payments/gas-rates/mag/2017/november-1-2017_boston.pdf" xr:uid="{2B26430F-2C42-4B36-8A85-D72DFB76976C}"/>
    <hyperlink ref="A10" r:id="rId6" tooltip="May 1, 2018" display="https://www.nationalgridus.com/media/pdfs/billing-payments/gas-rates/mag/2018/may-1-2018_boston.pdf" xr:uid="{E0B55F6A-5353-4E34-8AC9-EDF33CA8D542}"/>
    <hyperlink ref="A11" r:id="rId7" tooltip="November 1, 2018" display="https://www.nationalgridus.com/media/pdfs/billing-payments/gas-rates/mag/2018/november-1-2018_boston.pdf" xr:uid="{ADA12286-8AB4-4BEB-A4A9-141CA8A96746}"/>
    <hyperlink ref="A12" r:id="rId8" tooltip="May 1, 2019" display="https://www.nationalgridus.com/media/pdfs/billing-payments/gas-rates/mag/2019/may-1-2019_boston.pdf" xr:uid="{19E5A6BB-C507-4B82-92A9-57F09674B9E2}"/>
    <hyperlink ref="A13" r:id="rId9" tooltip="November 1, 2019" display="https://www.nationalgridus.com/media/pdfs/billing-payments/gas-rates/mag/2019/november-1-2019_boston.pdf" xr:uid="{F952F067-D679-479C-B063-713FCB2CA120}"/>
    <hyperlink ref="A14" r:id="rId10" tooltip="May 1, 2020" display="https://www.nationalgridus.com/media/pdfs/billing-payments/gas-rates/mag/2020/may-1-2020_boston.pdf" xr:uid="{D20B9FB8-E9D5-4A01-A215-F7631FBB87E1}"/>
    <hyperlink ref="A15" r:id="rId11" tooltip="November 1, 2020" display="https://www.nationalgridus.com/media/pdfs/billing-payments/gas-rates/mag/2020/november-1-2020_boston.pdf" xr:uid="{37063E5C-099A-4CBC-AAA4-AE226D04188A}"/>
    <hyperlink ref="A16" r:id="rId12" tooltip="May 1, 2021" display="https://www.nationalgridus.com/media/pdfs/billing-payments/gas-rates/mag/2021/may-1-2021_boston.pdf" xr:uid="{D4B39C7F-CDDC-4876-BDD1-FAA15D374749}"/>
    <hyperlink ref="A17" r:id="rId13" tooltip="December 1, 2021" display="https://www.nationalgridus.com/media/pdfs/billing-payments/gas-rates/mag/2021/december-1-2021.pdf" xr:uid="{FF2B600E-8AC8-4719-A8CB-4F8F0238E31A}"/>
    <hyperlink ref="A18" r:id="rId14" tooltip="May 1, 2022" display="https://www.nationalgridus.com/media/pdfs/billing-payments/gas-rates/mag/2022/may-1-2022.pdf" xr:uid="{08453A3F-F010-44CC-848E-42AC655FEE0C}"/>
    <hyperlink ref="A19" r:id="rId15" tooltip="November 1, 2022" display="https://www.nationalgridus.com/media/pdfs/billing-payments/gas-rates/mag/2022/november_1_2022_service_rates.pdf" xr:uid="{707CAD08-DFD0-4741-BF67-35A90A4C59FC}"/>
    <hyperlink ref="A20" r:id="rId16" tooltip="May 1, 2023" display="https://www.nationalgridus.com/media/pdfs/billing-payments/gas-rates/mag/2023/may-1-2023-service-rates.pdf" xr:uid="{4570C538-0138-4B14-9424-DEDFEA1FF052}"/>
    <hyperlink ref="A21" r:id="rId17" tooltip="November 1, 2023" display="https://www.nationalgridus.com/media/pdfs/billing-payments/gas-rates/mag/2023/ma_gas_rate_summary_11-23_-_service_rates.pdf" xr:uid="{ABA85054-E0CF-4450-8BC7-B3B11B505FAA}"/>
    <hyperlink ref="A22" r:id="rId18" tooltip="May 1, 2024" display="https://www.nationalgridus.com/media/pdfs/billing-payments/gas-rates/mag/2024/ma-gas-rate-summary-05-24-service-rates.pdf" xr:uid="{9961BFF1-347E-4B40-BD97-2439EED73EFB}"/>
    <hyperlink ref="A23" r:id="rId19" tooltip="November 1, 2024" display="https://www.nationalgridus.com/media/pdfs/billing-payments/gas-rates/mag/2024/ma-gas-rate-summary-11-24-service-rates.pdf" xr:uid="{ADCF4C1B-853A-43B5-9664-FBDB139B05C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128EA-2E8F-43DF-A10B-DF0BF5F25E04}">
  <dimension ref="A1:O42"/>
  <sheetViews>
    <sheetView workbookViewId="0">
      <selection activeCell="G24" sqref="G24"/>
    </sheetView>
  </sheetViews>
  <sheetFormatPr defaultRowHeight="15"/>
  <cols>
    <col min="6" max="6" width="41.28515625" customWidth="1"/>
    <col min="7" max="7" width="15.42578125" customWidth="1"/>
  </cols>
  <sheetData>
    <row r="1" spans="1:15">
      <c r="A1" t="s">
        <v>106</v>
      </c>
    </row>
    <row r="2" spans="1:15">
      <c r="A2" t="s">
        <v>107</v>
      </c>
    </row>
    <row r="4" spans="1:15" ht="15.75">
      <c r="A4" s="248" t="s">
        <v>108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</row>
    <row r="5" spans="1:15" ht="15.75">
      <c r="A5" s="248" t="s">
        <v>109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</row>
    <row r="6" spans="1:15" ht="15.75">
      <c r="A6" s="248" t="s">
        <v>110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</row>
    <row r="7" spans="1:15" ht="15.75">
      <c r="A7" s="248" t="s">
        <v>111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</row>
    <row r="8" spans="1:15" ht="15.75">
      <c r="A8" s="248" t="s">
        <v>112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</row>
    <row r="10" spans="1:15" ht="15.75">
      <c r="A10" s="237" t="s">
        <v>113</v>
      </c>
      <c r="B10" s="237"/>
      <c r="C10" s="237"/>
      <c r="D10" s="237"/>
      <c r="E10" s="40"/>
      <c r="F10" s="40"/>
      <c r="G10" s="27" t="s">
        <v>114</v>
      </c>
      <c r="H10" s="27"/>
      <c r="I10" s="27" t="s">
        <v>115</v>
      </c>
      <c r="J10" s="27"/>
      <c r="K10" s="27" t="s">
        <v>116</v>
      </c>
      <c r="L10" s="27"/>
      <c r="M10" s="27" t="s">
        <v>117</v>
      </c>
      <c r="N10" s="27"/>
      <c r="O10" s="40"/>
    </row>
    <row r="11" spans="1:15" ht="15.75">
      <c r="A11" s="237" t="s">
        <v>118</v>
      </c>
      <c r="B11" s="41"/>
      <c r="C11" s="249" t="s">
        <v>119</v>
      </c>
      <c r="D11" s="249"/>
      <c r="E11" s="249"/>
      <c r="F11" s="237"/>
      <c r="G11" s="237" t="s">
        <v>120</v>
      </c>
      <c r="H11" s="237"/>
      <c r="I11" s="237" t="s">
        <v>121</v>
      </c>
      <c r="J11" s="237"/>
      <c r="K11" s="237" t="s">
        <v>122</v>
      </c>
      <c r="L11" s="237"/>
      <c r="M11" s="237" t="s">
        <v>123</v>
      </c>
      <c r="N11" s="237"/>
      <c r="O11" s="28" t="s">
        <v>124</v>
      </c>
    </row>
    <row r="12" spans="1:15" ht="15.75">
      <c r="A12" s="237"/>
      <c r="B12" s="41"/>
      <c r="C12" s="41"/>
      <c r="D12" s="41"/>
      <c r="E12" s="41"/>
      <c r="F12" s="41"/>
      <c r="G12" s="237"/>
      <c r="H12" s="237"/>
      <c r="I12" s="237"/>
      <c r="J12" s="237"/>
      <c r="K12" s="237"/>
      <c r="L12" s="237"/>
      <c r="M12" s="237"/>
      <c r="N12" s="237"/>
      <c r="O12" s="28"/>
    </row>
    <row r="13" spans="1:15" ht="15.75">
      <c r="A13" s="57">
        <v>1</v>
      </c>
      <c r="B13" s="57"/>
      <c r="C13" s="67" t="s">
        <v>125</v>
      </c>
      <c r="D13" s="67"/>
      <c r="E13" s="42" t="s">
        <v>126</v>
      </c>
      <c r="F13" s="40"/>
      <c r="G13" s="29">
        <v>0.29570000000000002</v>
      </c>
      <c r="H13" s="29"/>
      <c r="I13" s="29">
        <v>9.9900000000000003E-2</v>
      </c>
      <c r="J13" s="29"/>
      <c r="K13" s="29">
        <v>9.9900000000000003E-2</v>
      </c>
      <c r="L13" s="29"/>
      <c r="M13" s="29">
        <v>9.9900000000000003E-2</v>
      </c>
      <c r="N13" s="29"/>
      <c r="O13" s="42" t="s">
        <v>127</v>
      </c>
    </row>
    <row r="14" spans="1:15" ht="15.75">
      <c r="A14" s="57">
        <v>2</v>
      </c>
      <c r="B14" s="57"/>
      <c r="C14" s="67" t="s">
        <v>128</v>
      </c>
      <c r="D14" s="67"/>
      <c r="E14" s="42" t="s">
        <v>129</v>
      </c>
      <c r="F14" s="40"/>
      <c r="G14" s="29">
        <v>4.7999999999999996E-3</v>
      </c>
      <c r="H14" s="29"/>
      <c r="I14" s="29">
        <v>3.0999999999999999E-3</v>
      </c>
      <c r="J14" s="29"/>
      <c r="K14" s="29">
        <v>2.0999999999999999E-3</v>
      </c>
      <c r="L14" s="29"/>
      <c r="M14" s="29">
        <v>1.4E-3</v>
      </c>
      <c r="N14" s="29"/>
      <c r="O14" s="42" t="s">
        <v>130</v>
      </c>
    </row>
    <row r="15" spans="1:15" ht="15.75">
      <c r="A15" s="57">
        <v>3</v>
      </c>
      <c r="B15" s="57"/>
      <c r="C15" s="57" t="s">
        <v>131</v>
      </c>
      <c r="D15" s="57"/>
      <c r="E15" s="42" t="s">
        <v>132</v>
      </c>
      <c r="F15" s="40"/>
      <c r="G15" s="30">
        <v>-4.1999999999999997E-3</v>
      </c>
      <c r="H15" s="30"/>
      <c r="I15" s="30">
        <v>-1.9E-3</v>
      </c>
      <c r="J15" s="30"/>
      <c r="K15" s="30">
        <v>-1E-3</v>
      </c>
      <c r="L15" s="30"/>
      <c r="M15" s="30">
        <v>-8.0000000000000004E-4</v>
      </c>
      <c r="N15" s="30"/>
      <c r="O15" s="38" t="s">
        <v>133</v>
      </c>
    </row>
    <row r="16" spans="1:15" ht="15.75">
      <c r="A16" s="57">
        <v>4</v>
      </c>
      <c r="B16" s="57"/>
      <c r="C16" s="57" t="s">
        <v>134</v>
      </c>
      <c r="D16" s="57"/>
      <c r="E16" s="42" t="s">
        <v>135</v>
      </c>
      <c r="F16" s="40"/>
      <c r="G16" s="29">
        <v>5.3199999999999997E-2</v>
      </c>
      <c r="H16" s="29"/>
      <c r="I16" s="29">
        <v>3.44E-2</v>
      </c>
      <c r="J16" s="29"/>
      <c r="K16" s="29">
        <v>2.3900000000000001E-2</v>
      </c>
      <c r="L16" s="29"/>
      <c r="M16" s="29">
        <v>1.5800000000000002E-2</v>
      </c>
      <c r="N16" s="29"/>
      <c r="O16" s="42" t="s">
        <v>136</v>
      </c>
    </row>
    <row r="17" spans="1:15" ht="15.75">
      <c r="A17" s="64">
        <v>5</v>
      </c>
      <c r="B17" s="64"/>
      <c r="C17" s="64" t="s">
        <v>137</v>
      </c>
      <c r="D17" s="64"/>
      <c r="E17" s="31" t="s">
        <v>138</v>
      </c>
      <c r="F17" s="31"/>
      <c r="G17" s="32">
        <v>0.15570000000000001</v>
      </c>
      <c r="H17" s="32"/>
      <c r="I17" s="32">
        <v>0.13250000000000001</v>
      </c>
      <c r="J17" s="32"/>
      <c r="K17" s="32">
        <v>0.12230000000000001</v>
      </c>
      <c r="L17" s="32"/>
      <c r="M17" s="32">
        <v>6.4500000000000002E-2</v>
      </c>
      <c r="N17" s="29"/>
      <c r="O17" s="42" t="s">
        <v>139</v>
      </c>
    </row>
    <row r="18" spans="1:15" ht="15.75">
      <c r="A18" s="64">
        <v>6</v>
      </c>
      <c r="B18" s="64"/>
      <c r="C18" s="64" t="s">
        <v>140</v>
      </c>
      <c r="D18" s="64"/>
      <c r="E18" s="31" t="s">
        <v>141</v>
      </c>
      <c r="F18" s="31"/>
      <c r="G18" s="39">
        <v>0</v>
      </c>
      <c r="H18" s="39"/>
      <c r="I18" s="39">
        <v>0</v>
      </c>
      <c r="J18" s="39"/>
      <c r="K18" s="39">
        <v>0</v>
      </c>
      <c r="L18" s="39"/>
      <c r="M18" s="39">
        <v>0</v>
      </c>
      <c r="N18" s="32"/>
      <c r="O18" s="43" t="s">
        <v>142</v>
      </c>
    </row>
    <row r="19" spans="1:15" ht="15.75">
      <c r="A19" s="64">
        <v>7</v>
      </c>
      <c r="B19" s="57"/>
      <c r="C19" s="57" t="s">
        <v>143</v>
      </c>
      <c r="D19" s="57"/>
      <c r="E19" s="42" t="s">
        <v>144</v>
      </c>
      <c r="F19" s="40"/>
      <c r="G19" s="29">
        <v>4.0000000000000002E-4</v>
      </c>
      <c r="H19" s="29"/>
      <c r="I19" s="29">
        <v>2.9999999999999997E-4</v>
      </c>
      <c r="J19" s="29"/>
      <c r="K19" s="29">
        <v>2.0000000000000001E-4</v>
      </c>
      <c r="L19" s="29"/>
      <c r="M19" s="29">
        <v>1E-4</v>
      </c>
      <c r="N19" s="29"/>
      <c r="O19" s="42" t="s">
        <v>145</v>
      </c>
    </row>
    <row r="20" spans="1:15" ht="15.75">
      <c r="A20" s="64">
        <v>8</v>
      </c>
      <c r="B20" s="57"/>
      <c r="C20" s="57" t="s">
        <v>146</v>
      </c>
      <c r="D20" s="57"/>
      <c r="E20" s="42" t="s">
        <v>147</v>
      </c>
      <c r="F20" s="40"/>
      <c r="G20" s="29">
        <v>0</v>
      </c>
      <c r="H20" s="29"/>
      <c r="I20" s="29">
        <v>0</v>
      </c>
      <c r="J20" s="29"/>
      <c r="K20" s="29">
        <v>0</v>
      </c>
      <c r="L20" s="29"/>
      <c r="M20" s="29">
        <v>0</v>
      </c>
      <c r="N20" s="29"/>
      <c r="O20" s="42" t="s">
        <v>148</v>
      </c>
    </row>
    <row r="21" spans="1:15" ht="15.75">
      <c r="A21" s="57">
        <v>9</v>
      </c>
      <c r="B21" s="57"/>
      <c r="C21" s="57" t="s">
        <v>149</v>
      </c>
      <c r="D21" s="57"/>
      <c r="E21" s="42" t="s">
        <v>150</v>
      </c>
      <c r="F21" s="40"/>
      <c r="G21" s="29">
        <v>-4.5999999999999999E-3</v>
      </c>
      <c r="H21" s="29"/>
      <c r="I21" s="29">
        <v>-3.0000000000000001E-3</v>
      </c>
      <c r="J21" s="29"/>
      <c r="K21" s="29">
        <v>-2E-3</v>
      </c>
      <c r="L21" s="29"/>
      <c r="M21" s="29">
        <v>-1.2999999999999999E-3</v>
      </c>
      <c r="N21" s="29"/>
      <c r="O21" s="42" t="s">
        <v>145</v>
      </c>
    </row>
    <row r="22" spans="1:15" ht="15.75">
      <c r="A22" s="57">
        <v>10</v>
      </c>
      <c r="B22" s="57"/>
      <c r="C22" s="57" t="s">
        <v>151</v>
      </c>
      <c r="D22" s="57"/>
      <c r="E22" s="42" t="s">
        <v>152</v>
      </c>
      <c r="F22" s="40"/>
      <c r="G22" s="29">
        <v>-2.0000000000000001E-4</v>
      </c>
      <c r="H22" s="29"/>
      <c r="I22" s="29">
        <v>-1E-4</v>
      </c>
      <c r="J22" s="29"/>
      <c r="K22" s="29">
        <v>0</v>
      </c>
      <c r="L22" s="29"/>
      <c r="M22" s="29">
        <v>0</v>
      </c>
      <c r="N22" s="29"/>
      <c r="O22" s="42" t="s">
        <v>136</v>
      </c>
    </row>
    <row r="23" spans="1:15" ht="15.75">
      <c r="A23" s="57">
        <v>11</v>
      </c>
      <c r="B23" s="57"/>
      <c r="C23" s="57" t="s">
        <v>153</v>
      </c>
      <c r="D23" s="57"/>
      <c r="E23" s="42" t="s">
        <v>154</v>
      </c>
      <c r="F23" s="40"/>
      <c r="G23" s="29">
        <v>6.9999999999999999E-4</v>
      </c>
      <c r="H23" s="29"/>
      <c r="I23" s="29">
        <v>5.0000000000000001E-4</v>
      </c>
      <c r="J23" s="29"/>
      <c r="K23" s="29">
        <v>2.9999999999999997E-4</v>
      </c>
      <c r="L23" s="29"/>
      <c r="M23" s="29">
        <v>2.0000000000000001E-4</v>
      </c>
      <c r="N23" s="33"/>
      <c r="O23" s="42" t="s">
        <v>155</v>
      </c>
    </row>
    <row r="24" spans="1:15" ht="15.75">
      <c r="A24" s="57">
        <v>12</v>
      </c>
      <c r="B24" s="57"/>
      <c r="C24" s="57" t="s">
        <v>156</v>
      </c>
      <c r="D24" s="57"/>
      <c r="E24" s="42" t="s">
        <v>157</v>
      </c>
      <c r="F24" s="40"/>
      <c r="G24" s="29">
        <v>1.8E-3</v>
      </c>
      <c r="H24" s="29"/>
      <c r="I24" s="29">
        <v>1.1000000000000001E-3</v>
      </c>
      <c r="J24" s="29"/>
      <c r="K24" s="29">
        <v>8.0000000000000004E-4</v>
      </c>
      <c r="L24" s="29"/>
      <c r="M24" s="29">
        <v>5.0000000000000001E-4</v>
      </c>
      <c r="N24" s="33"/>
      <c r="O24" s="42" t="s">
        <v>158</v>
      </c>
    </row>
    <row r="25" spans="1:15" ht="16.5" thickBot="1">
      <c r="A25" s="57">
        <v>13</v>
      </c>
      <c r="B25" s="57"/>
      <c r="C25" s="57" t="s">
        <v>159</v>
      </c>
      <c r="D25" s="57"/>
      <c r="E25" s="44" t="s">
        <v>160</v>
      </c>
      <c r="F25" s="44"/>
      <c r="G25" s="34">
        <v>0.50330000000000008</v>
      </c>
      <c r="H25" s="35"/>
      <c r="I25" s="34">
        <v>0.26680000000000004</v>
      </c>
      <c r="J25" s="35"/>
      <c r="K25" s="34">
        <v>0.24650000000000002</v>
      </c>
      <c r="L25" s="35"/>
      <c r="M25" s="34">
        <v>0.18030000000000002</v>
      </c>
      <c r="N25" s="35"/>
      <c r="O25" s="42" t="s">
        <v>161</v>
      </c>
    </row>
    <row r="26" spans="1:15" ht="16.5" thickTop="1">
      <c r="A26" s="57" t="s">
        <v>162</v>
      </c>
      <c r="B26" s="57"/>
      <c r="C26" s="57"/>
      <c r="D26" s="57"/>
      <c r="E26" s="40"/>
      <c r="F26" s="40"/>
      <c r="G26" s="36"/>
      <c r="H26" s="36"/>
      <c r="I26" s="36"/>
      <c r="J26" s="36"/>
      <c r="K26" s="36"/>
      <c r="L26" s="36"/>
      <c r="M26" s="36"/>
      <c r="N26" s="36"/>
      <c r="O26" s="40"/>
    </row>
    <row r="27" spans="1:15" ht="15.75">
      <c r="A27" s="57">
        <v>14</v>
      </c>
      <c r="B27" s="57"/>
      <c r="C27" s="57" t="s">
        <v>163</v>
      </c>
      <c r="D27" s="57"/>
      <c r="E27" s="42" t="s">
        <v>164</v>
      </c>
      <c r="F27" s="40"/>
      <c r="G27" s="36">
        <v>8.8900000000000007E-2</v>
      </c>
      <c r="H27" s="36"/>
      <c r="I27" s="36">
        <v>8.8900000000000007E-2</v>
      </c>
      <c r="J27" s="36"/>
      <c r="K27" s="36">
        <v>8.8900000000000007E-2</v>
      </c>
      <c r="L27" s="36"/>
      <c r="M27" s="36">
        <v>8.8900000000000007E-2</v>
      </c>
      <c r="N27" s="36"/>
      <c r="O27" s="42" t="s">
        <v>165</v>
      </c>
    </row>
    <row r="28" spans="1:15" ht="15.75">
      <c r="A28" s="57"/>
      <c r="B28" s="57"/>
      <c r="C28" s="57"/>
      <c r="D28" s="57"/>
      <c r="E28" s="40"/>
      <c r="F28" s="40"/>
      <c r="G28" s="36"/>
      <c r="H28" s="36"/>
      <c r="I28" s="36"/>
      <c r="J28" s="36"/>
      <c r="K28" s="36"/>
      <c r="L28" s="36"/>
      <c r="M28" s="36"/>
      <c r="N28" s="36"/>
      <c r="O28" s="40"/>
    </row>
    <row r="29" spans="1:15" ht="15.75">
      <c r="A29" s="57">
        <v>15</v>
      </c>
      <c r="B29" s="57"/>
      <c r="C29" s="57" t="s">
        <v>166</v>
      </c>
      <c r="D29" s="57"/>
      <c r="E29" s="42" t="s">
        <v>167</v>
      </c>
      <c r="F29" s="40"/>
      <c r="G29" s="36">
        <v>6.0299999999999999E-2</v>
      </c>
      <c r="H29" s="36"/>
      <c r="I29" s="36">
        <v>4.0099999999999997E-2</v>
      </c>
      <c r="J29" s="36"/>
      <c r="K29" s="36">
        <v>3.0800000000000001E-2</v>
      </c>
      <c r="L29" s="36"/>
      <c r="M29" s="36">
        <v>2.41E-2</v>
      </c>
      <c r="N29" s="36"/>
      <c r="O29" s="42" t="s">
        <v>168</v>
      </c>
    </row>
    <row r="30" spans="1:15" ht="15.75">
      <c r="A30" s="57"/>
      <c r="B30" s="57"/>
      <c r="C30" s="57"/>
      <c r="D30" s="57"/>
      <c r="E30" s="40"/>
      <c r="F30" s="40"/>
      <c r="G30" s="36"/>
      <c r="H30" s="36"/>
      <c r="I30" s="36"/>
      <c r="J30" s="36"/>
      <c r="K30" s="36"/>
      <c r="L30" s="36"/>
      <c r="M30" s="36"/>
      <c r="N30" s="36"/>
      <c r="O30" s="40"/>
    </row>
    <row r="31" spans="1:15" ht="15.75">
      <c r="A31" s="57">
        <v>16</v>
      </c>
      <c r="B31" s="57"/>
      <c r="C31" s="57"/>
      <c r="D31" s="57"/>
      <c r="E31" s="42" t="s">
        <v>169</v>
      </c>
      <c r="F31" s="40"/>
      <c r="G31" s="36">
        <v>0.65250000000000008</v>
      </c>
      <c r="H31" s="36"/>
      <c r="I31" s="36">
        <v>0.39580000000000004</v>
      </c>
      <c r="J31" s="36"/>
      <c r="K31" s="36">
        <v>0.36620000000000003</v>
      </c>
      <c r="L31" s="36"/>
      <c r="M31" s="36">
        <v>0.29330000000000001</v>
      </c>
      <c r="N31" s="36"/>
      <c r="O31" s="40"/>
    </row>
    <row r="32" spans="1:15" ht="15.75">
      <c r="A32" s="57"/>
      <c r="B32" s="57"/>
      <c r="C32" s="57"/>
      <c r="D32" s="57"/>
      <c r="E32" s="40"/>
      <c r="F32" s="40"/>
      <c r="G32" s="36"/>
      <c r="H32" s="36"/>
      <c r="I32" s="36"/>
      <c r="J32" s="36"/>
      <c r="K32" s="36"/>
      <c r="L32" s="36"/>
      <c r="M32" s="36"/>
      <c r="N32" s="36"/>
      <c r="O32" s="40"/>
    </row>
    <row r="33" spans="1:15" ht="15.75">
      <c r="A33" s="41" t="s">
        <v>170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</row>
    <row r="34" spans="1:15" ht="15.75">
      <c r="A34" s="37">
        <v>2</v>
      </c>
      <c r="B34" s="40"/>
      <c r="C34" s="42" t="s">
        <v>171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</row>
    <row r="35" spans="1:15" ht="15.75">
      <c r="A35" s="37">
        <v>3</v>
      </c>
      <c r="B35" s="37"/>
      <c r="C35" s="38" t="s">
        <v>172</v>
      </c>
      <c r="D35" s="37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</row>
    <row r="36" spans="1:15" ht="15.75">
      <c r="A36" s="27">
        <v>4</v>
      </c>
      <c r="B36" s="40"/>
      <c r="C36" s="38" t="s">
        <v>173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</row>
    <row r="37" spans="1:15" ht="15.75">
      <c r="A37" s="37">
        <v>5</v>
      </c>
      <c r="B37" s="40"/>
      <c r="C37" s="42" t="s">
        <v>174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</row>
    <row r="38" spans="1:15" ht="15.75">
      <c r="A38" s="37">
        <v>6</v>
      </c>
      <c r="B38" s="40"/>
      <c r="C38" s="247" t="s">
        <v>175</v>
      </c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</row>
    <row r="39" spans="1:15" ht="15.75">
      <c r="A39" s="37"/>
      <c r="B39" s="40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</row>
    <row r="40" spans="1:15" ht="15.75">
      <c r="A40" s="27">
        <v>12</v>
      </c>
      <c r="B40" s="40"/>
      <c r="C40" s="42" t="s">
        <v>157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</row>
    <row r="42" spans="1:15" ht="15.75">
      <c r="A42" s="40"/>
      <c r="B42" s="40"/>
      <c r="C42" s="40"/>
      <c r="D42" s="40"/>
      <c r="E42" s="40"/>
      <c r="F42" s="40"/>
      <c r="G42" s="45"/>
      <c r="H42" s="40"/>
      <c r="I42" s="40"/>
      <c r="J42" s="40"/>
      <c r="K42" s="40"/>
      <c r="L42" s="40"/>
      <c r="M42" s="40"/>
      <c r="N42" s="40"/>
      <c r="O42" s="40"/>
    </row>
  </sheetData>
  <mergeCells count="7">
    <mergeCell ref="C38:O39"/>
    <mergeCell ref="A4:O4"/>
    <mergeCell ref="A5:O5"/>
    <mergeCell ref="A6:O6"/>
    <mergeCell ref="A7:O7"/>
    <mergeCell ref="A8:O8"/>
    <mergeCell ref="C11:E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27732-C14B-4807-AB22-1843594F0FC0}">
  <dimension ref="A5:R53"/>
  <sheetViews>
    <sheetView workbookViewId="0">
      <selection activeCell="J13" sqref="J13:J28"/>
    </sheetView>
  </sheetViews>
  <sheetFormatPr defaultColWidth="14.7109375" defaultRowHeight="15"/>
  <sheetData>
    <row r="5" spans="1:18" ht="15.75">
      <c r="A5" s="248" t="s">
        <v>108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0"/>
    </row>
    <row r="6" spans="1:18" ht="15.75">
      <c r="A6" s="248" t="s">
        <v>109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0"/>
    </row>
    <row r="7" spans="1:18" ht="15.75">
      <c r="A7" s="248" t="s">
        <v>110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0"/>
    </row>
    <row r="8" spans="1:18" ht="15.75">
      <c r="A8" s="248" t="s">
        <v>111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0"/>
    </row>
    <row r="9" spans="1:18" ht="15.75">
      <c r="A9" s="248" t="s">
        <v>176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0"/>
    </row>
    <row r="11" spans="1:18" ht="15.75">
      <c r="A11" s="238" t="s">
        <v>113</v>
      </c>
      <c r="B11" s="238"/>
      <c r="C11" s="238"/>
      <c r="D11" s="238"/>
      <c r="E11" s="20"/>
      <c r="F11" s="20"/>
      <c r="G11" s="53" t="s">
        <v>114</v>
      </c>
      <c r="H11" s="20"/>
      <c r="I11" s="53" t="s">
        <v>114</v>
      </c>
      <c r="J11" s="53"/>
      <c r="K11" s="53" t="s">
        <v>115</v>
      </c>
      <c r="L11" s="53"/>
      <c r="M11" s="53" t="s">
        <v>116</v>
      </c>
      <c r="N11" s="53"/>
      <c r="O11" s="53" t="s">
        <v>117</v>
      </c>
      <c r="P11" s="53"/>
      <c r="Q11" s="20"/>
      <c r="R11" s="20"/>
    </row>
    <row r="12" spans="1:18" ht="15.75">
      <c r="A12" s="238" t="s">
        <v>118</v>
      </c>
      <c r="B12" s="21"/>
      <c r="C12" s="250" t="s">
        <v>119</v>
      </c>
      <c r="D12" s="250"/>
      <c r="E12" s="250"/>
      <c r="F12" s="238"/>
      <c r="G12" s="238" t="s">
        <v>177</v>
      </c>
      <c r="H12" s="238"/>
      <c r="I12" s="238" t="s">
        <v>178</v>
      </c>
      <c r="J12" s="238"/>
      <c r="K12" s="238" t="s">
        <v>121</v>
      </c>
      <c r="L12" s="238"/>
      <c r="M12" s="238" t="s">
        <v>122</v>
      </c>
      <c r="N12" s="238"/>
      <c r="O12" s="238" t="s">
        <v>123</v>
      </c>
      <c r="P12" s="238"/>
      <c r="Q12" s="68" t="s">
        <v>124</v>
      </c>
      <c r="R12" s="51"/>
    </row>
    <row r="13" spans="1:18" ht="15.75">
      <c r="A13" s="238"/>
      <c r="B13" s="21"/>
      <c r="C13" s="21"/>
      <c r="D13" s="21"/>
      <c r="E13" s="21"/>
      <c r="F13" s="21"/>
      <c r="G13" s="21"/>
      <c r="H13" s="21"/>
      <c r="I13" s="238"/>
      <c r="J13" s="238"/>
      <c r="K13" s="238"/>
      <c r="L13" s="238"/>
      <c r="M13" s="238"/>
      <c r="N13" s="238"/>
      <c r="O13" s="238"/>
      <c r="P13" s="238"/>
      <c r="Q13" s="68"/>
      <c r="R13" s="51"/>
    </row>
    <row r="14" spans="1:18" ht="15.75">
      <c r="A14" s="57">
        <v>1</v>
      </c>
      <c r="B14" s="57"/>
      <c r="C14" s="67" t="s">
        <v>125</v>
      </c>
      <c r="D14" s="67"/>
      <c r="E14" s="24" t="s">
        <v>179</v>
      </c>
      <c r="F14" s="20"/>
      <c r="G14" s="71">
        <v>0.17830000000000001</v>
      </c>
      <c r="H14" s="24"/>
      <c r="I14" s="71">
        <v>0.30020000000000002</v>
      </c>
      <c r="J14" s="63"/>
      <c r="K14" s="63">
        <v>8.14E-2</v>
      </c>
      <c r="L14" s="63"/>
      <c r="M14" s="63">
        <v>8.14E-2</v>
      </c>
      <c r="N14" s="63"/>
      <c r="O14" s="63">
        <v>8.14E-2</v>
      </c>
      <c r="P14" s="63"/>
      <c r="Q14" s="69" t="s">
        <v>180</v>
      </c>
      <c r="R14" s="20"/>
    </row>
    <row r="15" spans="1:18" ht="15.75">
      <c r="A15" s="57">
        <v>2</v>
      </c>
      <c r="B15" s="57"/>
      <c r="C15" s="67" t="s">
        <v>128</v>
      </c>
      <c r="D15" s="67"/>
      <c r="E15" s="22" t="s">
        <v>129</v>
      </c>
      <c r="F15" s="20"/>
      <c r="G15" s="63">
        <v>5.3E-3</v>
      </c>
      <c r="H15" s="20"/>
      <c r="I15" s="63">
        <v>5.3E-3</v>
      </c>
      <c r="J15" s="63"/>
      <c r="K15" s="63">
        <v>3.3999999999999998E-3</v>
      </c>
      <c r="L15" s="63"/>
      <c r="M15" s="63">
        <v>2.3E-3</v>
      </c>
      <c r="N15" s="63"/>
      <c r="O15" s="63">
        <v>1.6000000000000001E-3</v>
      </c>
      <c r="P15" s="63"/>
      <c r="Q15" s="22" t="s">
        <v>130</v>
      </c>
      <c r="R15" s="20"/>
    </row>
    <row r="16" spans="1:18" ht="15.75">
      <c r="A16" s="57">
        <v>3</v>
      </c>
      <c r="B16" s="57"/>
      <c r="C16" s="57" t="s">
        <v>131</v>
      </c>
      <c r="D16" s="57"/>
      <c r="E16" s="22" t="s">
        <v>132</v>
      </c>
      <c r="F16" s="20"/>
      <c r="G16" s="70">
        <v>1.7399999999999999E-2</v>
      </c>
      <c r="H16" s="20"/>
      <c r="I16" s="70">
        <v>1.7399999999999999E-2</v>
      </c>
      <c r="J16" s="70"/>
      <c r="K16" s="70">
        <v>7.7000000000000002E-3</v>
      </c>
      <c r="L16" s="70"/>
      <c r="M16" s="70">
        <v>4.1999999999999997E-3</v>
      </c>
      <c r="N16" s="70"/>
      <c r="O16" s="70">
        <v>3.5999999999999999E-3</v>
      </c>
      <c r="P16" s="70"/>
      <c r="Q16" s="66" t="s">
        <v>181</v>
      </c>
      <c r="R16" s="52"/>
    </row>
    <row r="17" spans="1:18" ht="15.75">
      <c r="A17" s="57">
        <v>4</v>
      </c>
      <c r="B17" s="57"/>
      <c r="C17" s="57" t="s">
        <v>134</v>
      </c>
      <c r="D17" s="57"/>
      <c r="E17" s="22" t="s">
        <v>135</v>
      </c>
      <c r="F17" s="20"/>
      <c r="G17" s="63">
        <v>5.6099999999999997E-2</v>
      </c>
      <c r="H17" s="20"/>
      <c r="I17" s="63">
        <v>5.6099999999999997E-2</v>
      </c>
      <c r="J17" s="63"/>
      <c r="K17" s="63">
        <v>3.6299999999999999E-2</v>
      </c>
      <c r="L17" s="63"/>
      <c r="M17" s="63">
        <v>2.4400000000000002E-2</v>
      </c>
      <c r="N17" s="63"/>
      <c r="O17" s="63">
        <v>1.7100000000000001E-2</v>
      </c>
      <c r="P17" s="63"/>
      <c r="Q17" s="22" t="s">
        <v>136</v>
      </c>
      <c r="R17" s="20"/>
    </row>
    <row r="18" spans="1:18" ht="15.75">
      <c r="A18" s="64">
        <v>5</v>
      </c>
      <c r="B18" s="64"/>
      <c r="C18" s="64" t="s">
        <v>137</v>
      </c>
      <c r="D18" s="64"/>
      <c r="E18" s="66" t="s">
        <v>138</v>
      </c>
      <c r="F18" s="66"/>
      <c r="G18" s="65">
        <v>0.2049</v>
      </c>
      <c r="H18" s="66"/>
      <c r="I18" s="65">
        <v>0.2049</v>
      </c>
      <c r="J18" s="65"/>
      <c r="K18" s="65">
        <v>0.16969999999999999</v>
      </c>
      <c r="L18" s="65"/>
      <c r="M18" s="65">
        <v>0.15920000000000001</v>
      </c>
      <c r="N18" s="65"/>
      <c r="O18" s="65">
        <v>8.9200000000000002E-2</v>
      </c>
      <c r="P18" s="63"/>
      <c r="Q18" s="66" t="s">
        <v>182</v>
      </c>
      <c r="R18" s="52"/>
    </row>
    <row r="19" spans="1:18" ht="15.75">
      <c r="A19" s="64">
        <v>6</v>
      </c>
      <c r="B19" s="64"/>
      <c r="C19" s="64" t="s">
        <v>140</v>
      </c>
      <c r="D19" s="64"/>
      <c r="E19" s="66" t="s">
        <v>141</v>
      </c>
      <c r="F19" s="66"/>
      <c r="G19" s="65">
        <v>1.6999999999999999E-3</v>
      </c>
      <c r="H19" s="66"/>
      <c r="I19" s="65">
        <v>1.6999999999999999E-3</v>
      </c>
      <c r="J19" s="65"/>
      <c r="K19" s="65">
        <v>1.4E-3</v>
      </c>
      <c r="L19" s="65"/>
      <c r="M19" s="65">
        <v>1.1999999999999999E-3</v>
      </c>
      <c r="N19" s="65"/>
      <c r="O19" s="65">
        <v>6.9999999999999999E-4</v>
      </c>
      <c r="P19" s="65"/>
      <c r="Q19" s="66" t="s">
        <v>183</v>
      </c>
      <c r="R19" s="52"/>
    </row>
    <row r="20" spans="1:18" ht="15.75">
      <c r="A20" s="64">
        <v>7</v>
      </c>
      <c r="B20" s="57"/>
      <c r="C20" s="57" t="s">
        <v>143</v>
      </c>
      <c r="D20" s="57"/>
      <c r="E20" s="22" t="s">
        <v>144</v>
      </c>
      <c r="F20" s="20"/>
      <c r="G20" s="63">
        <v>2.0000000000000001E-4</v>
      </c>
      <c r="H20" s="20"/>
      <c r="I20" s="63">
        <v>2.0000000000000001E-4</v>
      </c>
      <c r="J20" s="63"/>
      <c r="K20" s="63">
        <v>1E-4</v>
      </c>
      <c r="L20" s="63"/>
      <c r="M20" s="63">
        <v>0</v>
      </c>
      <c r="N20" s="63"/>
      <c r="O20" s="63">
        <v>0</v>
      </c>
      <c r="P20" s="63"/>
      <c r="Q20" s="22" t="s">
        <v>145</v>
      </c>
      <c r="R20" s="20"/>
    </row>
    <row r="21" spans="1:18" ht="15.75">
      <c r="A21" s="64">
        <v>8</v>
      </c>
      <c r="B21" s="57"/>
      <c r="C21" s="57" t="s">
        <v>146</v>
      </c>
      <c r="D21" s="57"/>
      <c r="E21" s="22" t="s">
        <v>147</v>
      </c>
      <c r="F21" s="20"/>
      <c r="G21" s="63">
        <v>0</v>
      </c>
      <c r="H21" s="20"/>
      <c r="I21" s="63">
        <v>0</v>
      </c>
      <c r="J21" s="63"/>
      <c r="K21" s="63">
        <v>0</v>
      </c>
      <c r="L21" s="63"/>
      <c r="M21" s="63">
        <v>0</v>
      </c>
      <c r="N21" s="63"/>
      <c r="O21" s="63">
        <v>0</v>
      </c>
      <c r="P21" s="63"/>
      <c r="Q21" s="22" t="s">
        <v>148</v>
      </c>
      <c r="R21" s="20"/>
    </row>
    <row r="22" spans="1:18" ht="15.75">
      <c r="A22" s="57">
        <v>9</v>
      </c>
      <c r="B22" s="57"/>
      <c r="C22" s="57" t="s">
        <v>149</v>
      </c>
      <c r="D22" s="57"/>
      <c r="E22" s="22" t="s">
        <v>150</v>
      </c>
      <c r="F22" s="20"/>
      <c r="G22" s="63">
        <v>-2.7000000000000001E-3</v>
      </c>
      <c r="H22" s="20"/>
      <c r="I22" s="63">
        <v>-2.7000000000000001E-3</v>
      </c>
      <c r="J22" s="63"/>
      <c r="K22" s="63">
        <v>-1.6999999999999999E-3</v>
      </c>
      <c r="L22" s="63"/>
      <c r="M22" s="63">
        <v>-1.1000000000000001E-3</v>
      </c>
      <c r="N22" s="63"/>
      <c r="O22" s="63">
        <v>-8.0000000000000004E-4</v>
      </c>
      <c r="P22" s="63"/>
      <c r="Q22" s="22" t="s">
        <v>145</v>
      </c>
      <c r="R22" s="20"/>
    </row>
    <row r="23" spans="1:18" ht="15.75">
      <c r="A23" s="57">
        <v>10</v>
      </c>
      <c r="B23" s="57"/>
      <c r="C23" s="57" t="s">
        <v>151</v>
      </c>
      <c r="D23" s="57"/>
      <c r="E23" s="22" t="s">
        <v>152</v>
      </c>
      <c r="F23" s="20"/>
      <c r="G23" s="63">
        <v>-1.4E-3</v>
      </c>
      <c r="H23" s="20"/>
      <c r="I23" s="63">
        <v>-1.4E-3</v>
      </c>
      <c r="J23" s="63"/>
      <c r="K23" s="63">
        <v>-8.9999999999999998E-4</v>
      </c>
      <c r="L23" s="63"/>
      <c r="M23" s="63">
        <v>-5.9999999999999995E-4</v>
      </c>
      <c r="N23" s="63"/>
      <c r="O23" s="63">
        <v>-4.0000000000000002E-4</v>
      </c>
      <c r="P23" s="63"/>
      <c r="Q23" s="22" t="s">
        <v>136</v>
      </c>
      <c r="R23" s="20"/>
    </row>
    <row r="24" spans="1:18" ht="15.75">
      <c r="A24" s="57">
        <v>11</v>
      </c>
      <c r="B24" s="57"/>
      <c r="C24" s="57" t="s">
        <v>153</v>
      </c>
      <c r="D24" s="57"/>
      <c r="E24" s="22" t="s">
        <v>154</v>
      </c>
      <c r="F24" s="20"/>
      <c r="G24" s="63">
        <v>2.0000000000000001E-4</v>
      </c>
      <c r="H24" s="20"/>
      <c r="I24" s="63">
        <v>2.0000000000000001E-4</v>
      </c>
      <c r="J24" s="63"/>
      <c r="K24" s="63">
        <v>1E-4</v>
      </c>
      <c r="L24" s="63"/>
      <c r="M24" s="63">
        <v>0</v>
      </c>
      <c r="N24" s="63"/>
      <c r="O24" s="63">
        <v>0</v>
      </c>
      <c r="P24" s="62"/>
      <c r="Q24" s="22" t="s">
        <v>155</v>
      </c>
      <c r="R24" s="20"/>
    </row>
    <row r="25" spans="1:18" ht="15.75">
      <c r="A25" s="57">
        <v>12</v>
      </c>
      <c r="B25" s="57"/>
      <c r="C25" s="57" t="s">
        <v>156</v>
      </c>
      <c r="D25" s="57"/>
      <c r="E25" s="22" t="s">
        <v>157</v>
      </c>
      <c r="F25" s="20"/>
      <c r="G25" s="63">
        <v>1.5299999999999999E-2</v>
      </c>
      <c r="H25" s="20"/>
      <c r="I25" s="63">
        <v>1.5299999999999999E-2</v>
      </c>
      <c r="J25" s="63"/>
      <c r="K25" s="63">
        <v>9.7999999999999997E-3</v>
      </c>
      <c r="L25" s="63"/>
      <c r="M25" s="63">
        <v>6.6E-3</v>
      </c>
      <c r="N25" s="63"/>
      <c r="O25" s="63">
        <v>4.5999999999999999E-3</v>
      </c>
      <c r="P25" s="62"/>
      <c r="Q25" s="22" t="s">
        <v>158</v>
      </c>
      <c r="R25" s="20"/>
    </row>
    <row r="26" spans="1:18" ht="15.75">
      <c r="A26" s="57">
        <v>13</v>
      </c>
      <c r="B26" s="57"/>
      <c r="C26" s="57" t="s">
        <v>184</v>
      </c>
      <c r="D26" s="57"/>
      <c r="E26" s="22" t="s">
        <v>185</v>
      </c>
      <c r="F26" s="20"/>
      <c r="G26" s="63">
        <v>8.8999999999999999E-3</v>
      </c>
      <c r="H26" s="20"/>
      <c r="I26" s="63">
        <v>8.8999999999999999E-3</v>
      </c>
      <c r="J26" s="63"/>
      <c r="K26" s="63">
        <v>9.4999999999999998E-3</v>
      </c>
      <c r="L26" s="63"/>
      <c r="M26" s="63">
        <v>9.7999999999999997E-3</v>
      </c>
      <c r="N26" s="63"/>
      <c r="O26" s="63">
        <v>0.01</v>
      </c>
      <c r="P26" s="62"/>
      <c r="Q26" s="22" t="s">
        <v>158</v>
      </c>
      <c r="R26" s="20"/>
    </row>
    <row r="27" spans="1:18" ht="15.75">
      <c r="A27" s="57">
        <v>14</v>
      </c>
      <c r="B27" s="57"/>
      <c r="C27" s="57" t="s">
        <v>186</v>
      </c>
      <c r="D27" s="57"/>
      <c r="E27" s="22" t="s">
        <v>187</v>
      </c>
      <c r="F27" s="20"/>
      <c r="G27" s="63">
        <v>6.9999999999999999E-4</v>
      </c>
      <c r="H27" s="20"/>
      <c r="I27" s="63">
        <v>6.9999999999999999E-4</v>
      </c>
      <c r="J27" s="63"/>
      <c r="K27" s="63">
        <v>0</v>
      </c>
      <c r="L27" s="63"/>
      <c r="M27" s="63">
        <v>0</v>
      </c>
      <c r="N27" s="63"/>
      <c r="O27" s="63">
        <v>0</v>
      </c>
      <c r="P27" s="62"/>
      <c r="Q27" s="22" t="s">
        <v>188</v>
      </c>
      <c r="R27" s="20"/>
    </row>
    <row r="28" spans="1:18" ht="16.5" thickBot="1">
      <c r="A28" s="57">
        <v>15</v>
      </c>
      <c r="B28" s="57"/>
      <c r="C28" s="57" t="s">
        <v>159</v>
      </c>
      <c r="D28" s="57"/>
      <c r="E28" s="23" t="s">
        <v>160</v>
      </c>
      <c r="F28" s="23"/>
      <c r="G28" s="60">
        <v>0.48489999999999989</v>
      </c>
      <c r="H28" s="23"/>
      <c r="I28" s="60">
        <v>0.60680000000000012</v>
      </c>
      <c r="J28" s="61"/>
      <c r="K28" s="60">
        <v>0.31679999999999997</v>
      </c>
      <c r="L28" s="61"/>
      <c r="M28" s="60">
        <v>0.28739999999999999</v>
      </c>
      <c r="N28" s="61"/>
      <c r="O28" s="60">
        <v>0.20700000000000002</v>
      </c>
      <c r="P28" s="59"/>
      <c r="Q28" s="22" t="s">
        <v>189</v>
      </c>
      <c r="R28" s="20"/>
    </row>
    <row r="29" spans="1:18" ht="16.5" thickTop="1">
      <c r="A29" s="57" t="s">
        <v>162</v>
      </c>
      <c r="B29" s="57"/>
      <c r="C29" s="57"/>
      <c r="D29" s="57"/>
      <c r="E29" s="20"/>
      <c r="F29" s="20"/>
      <c r="G29" s="56"/>
      <c r="H29" s="20"/>
      <c r="I29" s="56"/>
      <c r="J29" s="56"/>
      <c r="K29" s="56"/>
      <c r="L29" s="56"/>
      <c r="M29" s="56"/>
      <c r="N29" s="56"/>
      <c r="O29" s="56"/>
      <c r="P29" s="56"/>
      <c r="Q29" s="20"/>
      <c r="R29" s="20"/>
    </row>
    <row r="30" spans="1:18" ht="15.75">
      <c r="A30" s="57">
        <v>16</v>
      </c>
      <c r="B30" s="57"/>
      <c r="C30" s="57" t="s">
        <v>163</v>
      </c>
      <c r="D30" s="57"/>
      <c r="E30" s="22" t="s">
        <v>190</v>
      </c>
      <c r="F30" s="20"/>
      <c r="G30" s="56">
        <v>0.92600000000000005</v>
      </c>
      <c r="H30" s="20"/>
      <c r="I30" s="56">
        <v>0.92600000000000005</v>
      </c>
      <c r="J30" s="56"/>
      <c r="K30" s="56">
        <v>0.92600000000000005</v>
      </c>
      <c r="L30" s="56"/>
      <c r="M30" s="56">
        <v>0.92600000000000005</v>
      </c>
      <c r="N30" s="56"/>
      <c r="O30" s="56">
        <v>0.92600000000000005</v>
      </c>
      <c r="P30" s="56"/>
      <c r="Q30" s="22" t="s">
        <v>191</v>
      </c>
      <c r="R30" s="52"/>
    </row>
    <row r="31" spans="1:18" ht="15.75">
      <c r="A31" s="57"/>
      <c r="B31" s="57"/>
      <c r="C31" s="57"/>
      <c r="D31" s="57"/>
      <c r="E31" s="20"/>
      <c r="F31" s="20"/>
      <c r="G31" s="56"/>
      <c r="H31" s="20"/>
      <c r="I31" s="56"/>
      <c r="J31" s="56"/>
      <c r="K31" s="56"/>
      <c r="L31" s="56"/>
      <c r="M31" s="56"/>
      <c r="N31" s="56"/>
      <c r="O31" s="56"/>
      <c r="P31" s="56"/>
      <c r="Q31" s="20"/>
      <c r="R31" s="20"/>
    </row>
    <row r="32" spans="1:18" ht="15.75">
      <c r="A32" s="57">
        <v>17</v>
      </c>
      <c r="B32" s="57"/>
      <c r="C32" s="57" t="s">
        <v>166</v>
      </c>
      <c r="D32" s="57"/>
      <c r="E32" s="22" t="s">
        <v>167</v>
      </c>
      <c r="F32" s="20"/>
      <c r="G32" s="56">
        <v>5.79E-2</v>
      </c>
      <c r="H32" s="20"/>
      <c r="I32" s="56">
        <v>5.79E-2</v>
      </c>
      <c r="J32" s="56"/>
      <c r="K32" s="56">
        <v>3.9100000000000003E-2</v>
      </c>
      <c r="L32" s="56"/>
      <c r="M32" s="56">
        <v>2.9100000000000001E-2</v>
      </c>
      <c r="N32" s="56">
        <v>2.3099999999999999E-2</v>
      </c>
      <c r="O32" s="56">
        <v>2.3099999999999999E-2</v>
      </c>
      <c r="P32" s="56"/>
      <c r="Q32" s="54" t="s">
        <v>192</v>
      </c>
      <c r="R32" s="20"/>
    </row>
    <row r="33" spans="1:18" ht="15.75">
      <c r="A33" s="57"/>
      <c r="B33" s="57"/>
      <c r="C33" s="57"/>
      <c r="D33" s="57"/>
      <c r="E33" s="20"/>
      <c r="F33" s="20"/>
      <c r="G33" s="56"/>
      <c r="H33" s="20"/>
      <c r="I33" s="56"/>
      <c r="J33" s="56"/>
      <c r="K33" s="56"/>
      <c r="L33" s="56"/>
      <c r="M33" s="56"/>
      <c r="N33" s="56"/>
      <c r="O33" s="56"/>
      <c r="P33" s="56"/>
      <c r="Q33" s="20"/>
      <c r="R33" s="20"/>
    </row>
    <row r="34" spans="1:18" ht="15.75">
      <c r="A34" s="57">
        <v>18</v>
      </c>
      <c r="B34" s="57"/>
      <c r="C34" s="57"/>
      <c r="D34" s="57"/>
      <c r="E34" s="22" t="s">
        <v>169</v>
      </c>
      <c r="F34" s="20"/>
      <c r="G34" s="58">
        <v>1.4687999999999999</v>
      </c>
      <c r="H34" s="20"/>
      <c r="I34" s="58">
        <v>1.5907000000000002</v>
      </c>
      <c r="J34" s="58"/>
      <c r="K34" s="58">
        <v>1.2818999999999998</v>
      </c>
      <c r="L34" s="58"/>
      <c r="M34" s="58">
        <v>1.2424999999999999</v>
      </c>
      <c r="N34" s="58"/>
      <c r="O34" s="58">
        <v>1.1560999999999999</v>
      </c>
      <c r="P34" s="56"/>
      <c r="Q34" s="20"/>
      <c r="R34" s="20"/>
    </row>
    <row r="35" spans="1:18" ht="15.75">
      <c r="A35" s="57"/>
      <c r="B35" s="57"/>
      <c r="C35" s="57"/>
      <c r="D35" s="57"/>
      <c r="E35" s="20"/>
      <c r="F35" s="20"/>
      <c r="G35" s="20"/>
      <c r="H35" s="20"/>
      <c r="I35" s="56"/>
      <c r="J35" s="56"/>
      <c r="K35" s="56"/>
      <c r="L35" s="56"/>
      <c r="M35" s="56"/>
      <c r="N35" s="56"/>
      <c r="O35" s="56"/>
      <c r="P35" s="56"/>
      <c r="Q35" s="20"/>
      <c r="R35" s="20"/>
    </row>
    <row r="36" spans="1:18" ht="15.75">
      <c r="A36" s="21" t="s">
        <v>170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1:18" ht="15.75">
      <c r="A37" s="55">
        <v>1</v>
      </c>
      <c r="B37" s="20"/>
      <c r="C37" s="69" t="s">
        <v>193</v>
      </c>
      <c r="D37" s="24"/>
      <c r="E37" s="24"/>
      <c r="F37" s="24"/>
      <c r="G37" s="24"/>
      <c r="H37" s="24"/>
      <c r="I37" s="24"/>
      <c r="J37" s="24"/>
      <c r="K37" s="24"/>
      <c r="L37" s="24"/>
      <c r="M37" s="20"/>
      <c r="N37" s="20"/>
      <c r="O37" s="20"/>
      <c r="P37" s="20"/>
      <c r="Q37" s="20"/>
    </row>
    <row r="38" spans="1:18" ht="15.75">
      <c r="A38" s="55">
        <v>2</v>
      </c>
      <c r="B38" s="20"/>
      <c r="C38" s="22" t="s">
        <v>171</v>
      </c>
      <c r="D38" s="55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1:18" ht="15.75">
      <c r="A39" s="55">
        <v>3</v>
      </c>
      <c r="B39" s="55"/>
      <c r="C39" s="54" t="s">
        <v>194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1:18" ht="15.75">
      <c r="A40" s="53">
        <v>4</v>
      </c>
      <c r="B40" s="20"/>
      <c r="C40" s="54" t="s">
        <v>195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18" ht="15.75">
      <c r="A41" s="55">
        <v>5</v>
      </c>
      <c r="B41" s="20"/>
      <c r="C41" s="22" t="s">
        <v>196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</row>
    <row r="42" spans="1:18" ht="15.75">
      <c r="A42" s="55">
        <v>6</v>
      </c>
      <c r="B42" s="20"/>
      <c r="C42" s="54" t="s">
        <v>197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</row>
    <row r="43" spans="1:18" ht="15.75">
      <c r="A43" s="53">
        <v>12</v>
      </c>
      <c r="B43" s="20"/>
      <c r="C43" s="22" t="s">
        <v>157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4" spans="1:18" ht="15.75">
      <c r="A44" s="53">
        <v>13</v>
      </c>
      <c r="B44" s="20"/>
      <c r="C44" s="25" t="s">
        <v>198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8" ht="15.75">
      <c r="A45" s="20"/>
      <c r="B45" s="20"/>
      <c r="C45" s="20"/>
      <c r="D45" s="20"/>
      <c r="E45" s="20"/>
      <c r="F45" s="20"/>
      <c r="G45" s="20"/>
      <c r="H45" s="20"/>
      <c r="I45" s="26"/>
      <c r="J45" s="20"/>
      <c r="K45" s="20"/>
      <c r="L45" s="20"/>
      <c r="M45" s="20"/>
      <c r="N45" s="20"/>
      <c r="O45" s="20"/>
      <c r="P45" s="20"/>
      <c r="Q45" s="20"/>
    </row>
    <row r="48" spans="1:18" ht="15.75">
      <c r="A48" s="20"/>
      <c r="B48" s="20"/>
      <c r="C48" s="20"/>
      <c r="D48" s="20"/>
      <c r="E48" s="5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</row>
    <row r="53" spans="9:15" ht="15.75">
      <c r="I53" s="26"/>
      <c r="J53" s="20"/>
      <c r="K53" s="26"/>
      <c r="L53" s="20"/>
      <c r="M53" s="26"/>
      <c r="N53" s="20"/>
      <c r="O53" s="26"/>
    </row>
  </sheetData>
  <mergeCells count="6">
    <mergeCell ref="A6:Q6"/>
    <mergeCell ref="A5:Q5"/>
    <mergeCell ref="C12:E12"/>
    <mergeCell ref="A9:Q9"/>
    <mergeCell ref="A8:Q8"/>
    <mergeCell ref="A7:Q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20ADC-7257-491F-BB4F-ABBCFE4C81C3}">
  <dimension ref="A39:O83"/>
  <sheetViews>
    <sheetView topLeftCell="A41" workbookViewId="0">
      <selection activeCell="G51" sqref="G51:G66"/>
    </sheetView>
  </sheetViews>
  <sheetFormatPr defaultRowHeight="15"/>
  <sheetData>
    <row r="39" spans="1:15">
      <c r="A39" t="s">
        <v>199</v>
      </c>
    </row>
    <row r="40" spans="1:15">
      <c r="A40" t="s">
        <v>28</v>
      </c>
    </row>
    <row r="41" spans="1:15">
      <c r="A41" t="s">
        <v>200</v>
      </c>
    </row>
    <row r="42" spans="1:15">
      <c r="A42" t="s">
        <v>201</v>
      </c>
      <c r="D42" t="s">
        <v>202</v>
      </c>
      <c r="I42" t="s">
        <v>203</v>
      </c>
    </row>
    <row r="43" spans="1:15" ht="15.75">
      <c r="A43" s="248" t="s">
        <v>108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</row>
    <row r="44" spans="1:15" ht="15.75">
      <c r="A44" s="248" t="s">
        <v>109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</row>
    <row r="45" spans="1:15" ht="15.75">
      <c r="A45" s="248" t="s">
        <v>110</v>
      </c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</row>
    <row r="46" spans="1:15" ht="15.75">
      <c r="A46" s="248" t="s">
        <v>111</v>
      </c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</row>
    <row r="47" spans="1:15" ht="15.75">
      <c r="A47" s="248" t="s">
        <v>204</v>
      </c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</row>
    <row r="49" spans="1:15" ht="15.75">
      <c r="A49" s="238" t="s">
        <v>113</v>
      </c>
      <c r="B49" s="238"/>
      <c r="C49" s="238"/>
      <c r="D49" s="238"/>
      <c r="E49" s="20"/>
      <c r="F49" s="20"/>
      <c r="G49" s="53" t="s">
        <v>114</v>
      </c>
      <c r="H49" s="53"/>
      <c r="I49" s="53" t="s">
        <v>115</v>
      </c>
      <c r="J49" s="53"/>
      <c r="K49" s="53" t="s">
        <v>116</v>
      </c>
      <c r="L49" s="53"/>
      <c r="M49" s="53" t="s">
        <v>117</v>
      </c>
      <c r="N49" s="53"/>
      <c r="O49" s="20"/>
    </row>
    <row r="50" spans="1:15" ht="15.75">
      <c r="A50" s="238" t="s">
        <v>118</v>
      </c>
      <c r="B50" s="21"/>
      <c r="C50" s="250" t="s">
        <v>119</v>
      </c>
      <c r="D50" s="250"/>
      <c r="E50" s="250"/>
      <c r="F50" s="238"/>
      <c r="G50" s="238" t="s">
        <v>120</v>
      </c>
      <c r="H50" s="238"/>
      <c r="I50" s="238" t="s">
        <v>121</v>
      </c>
      <c r="J50" s="238"/>
      <c r="K50" s="238" t="s">
        <v>122</v>
      </c>
      <c r="L50" s="238"/>
      <c r="M50" s="238" t="s">
        <v>123</v>
      </c>
      <c r="N50" s="238"/>
      <c r="O50" s="68" t="s">
        <v>124</v>
      </c>
    </row>
    <row r="51" spans="1:15" ht="15.75">
      <c r="A51" s="238"/>
      <c r="B51" s="21"/>
      <c r="C51" s="21"/>
      <c r="D51" s="21"/>
      <c r="E51" s="21"/>
      <c r="F51" s="21"/>
      <c r="G51" s="238"/>
      <c r="H51" s="238"/>
      <c r="I51" s="238"/>
      <c r="J51" s="238"/>
      <c r="K51" s="238"/>
      <c r="L51" s="238"/>
      <c r="M51" s="238"/>
      <c r="N51" s="238"/>
      <c r="O51" s="68"/>
    </row>
    <row r="52" spans="1:15" ht="15.75">
      <c r="A52" s="57">
        <v>1</v>
      </c>
      <c r="B52" s="57"/>
      <c r="C52" s="67" t="s">
        <v>125</v>
      </c>
      <c r="D52" s="67"/>
      <c r="E52" s="22" t="s">
        <v>205</v>
      </c>
      <c r="F52" s="20"/>
      <c r="G52" s="63">
        <v>0.57020000000000004</v>
      </c>
      <c r="H52" s="63"/>
      <c r="I52" s="63">
        <v>8.14E-2</v>
      </c>
      <c r="J52" s="63"/>
      <c r="K52" s="63">
        <v>8.14E-2</v>
      </c>
      <c r="L52" s="63"/>
      <c r="M52" s="63">
        <v>8.14E-2</v>
      </c>
      <c r="N52" s="63"/>
      <c r="O52" s="22" t="s">
        <v>206</v>
      </c>
    </row>
    <row r="53" spans="1:15" ht="15.75">
      <c r="A53" s="57">
        <v>2</v>
      </c>
      <c r="B53" s="57"/>
      <c r="C53" s="67" t="s">
        <v>128</v>
      </c>
      <c r="D53" s="67"/>
      <c r="E53" s="22" t="s">
        <v>129</v>
      </c>
      <c r="F53" s="20"/>
      <c r="G53" s="63">
        <v>5.3E-3</v>
      </c>
      <c r="H53" s="63"/>
      <c r="I53" s="63">
        <v>3.3999999999999998E-3</v>
      </c>
      <c r="J53" s="63"/>
      <c r="K53" s="63">
        <v>2.3E-3</v>
      </c>
      <c r="L53" s="63"/>
      <c r="M53" s="63">
        <v>1.6000000000000001E-3</v>
      </c>
      <c r="N53" s="63"/>
      <c r="O53" s="22" t="s">
        <v>130</v>
      </c>
    </row>
    <row r="54" spans="1:15" ht="15.75">
      <c r="A54" s="57">
        <v>3</v>
      </c>
      <c r="B54" s="57"/>
      <c r="C54" s="57" t="s">
        <v>131</v>
      </c>
      <c r="D54" s="57"/>
      <c r="E54" s="22" t="s">
        <v>132</v>
      </c>
      <c r="F54" s="20"/>
      <c r="G54" s="18">
        <v>1.7399999999999999E-2</v>
      </c>
      <c r="H54" s="18"/>
      <c r="I54" s="18">
        <v>7.7000000000000002E-3</v>
      </c>
      <c r="J54" s="18"/>
      <c r="K54" s="18">
        <v>4.1999999999999997E-3</v>
      </c>
      <c r="L54" s="18"/>
      <c r="M54" s="18">
        <v>3.5999999999999999E-3</v>
      </c>
      <c r="N54" s="18"/>
      <c r="O54" s="19" t="s">
        <v>181</v>
      </c>
    </row>
    <row r="55" spans="1:15" ht="15.75">
      <c r="A55" s="57">
        <v>4</v>
      </c>
      <c r="B55" s="57"/>
      <c r="C55" s="57" t="s">
        <v>134</v>
      </c>
      <c r="D55" s="57"/>
      <c r="E55" s="22" t="s">
        <v>135</v>
      </c>
      <c r="F55" s="20"/>
      <c r="G55" s="63">
        <v>5.6099999999999997E-2</v>
      </c>
      <c r="H55" s="63"/>
      <c r="I55" s="63">
        <v>3.6299999999999999E-2</v>
      </c>
      <c r="J55" s="63"/>
      <c r="K55" s="63">
        <v>2.4400000000000002E-2</v>
      </c>
      <c r="L55" s="63"/>
      <c r="M55" s="63">
        <v>1.7100000000000001E-2</v>
      </c>
      <c r="N55" s="63"/>
      <c r="O55" s="22" t="s">
        <v>136</v>
      </c>
    </row>
    <row r="56" spans="1:15" ht="15.75">
      <c r="A56" s="64">
        <v>5</v>
      </c>
      <c r="B56" s="64"/>
      <c r="C56" s="64" t="s">
        <v>137</v>
      </c>
      <c r="D56" s="64"/>
      <c r="E56" s="66" t="s">
        <v>138</v>
      </c>
      <c r="F56" s="66"/>
      <c r="G56" s="65">
        <v>0.2049</v>
      </c>
      <c r="H56" s="65"/>
      <c r="I56" s="65">
        <v>0.16969999999999999</v>
      </c>
      <c r="J56" s="65"/>
      <c r="K56" s="65">
        <v>0.15920000000000001</v>
      </c>
      <c r="L56" s="65"/>
      <c r="M56" s="65">
        <v>8.9200000000000002E-2</v>
      </c>
      <c r="N56" s="63"/>
      <c r="O56" s="66" t="s">
        <v>182</v>
      </c>
    </row>
    <row r="57" spans="1:15" ht="15.75">
      <c r="A57" s="64">
        <v>6</v>
      </c>
      <c r="B57" s="64"/>
      <c r="C57" s="64" t="s">
        <v>140</v>
      </c>
      <c r="D57" s="64"/>
      <c r="E57" s="66" t="s">
        <v>141</v>
      </c>
      <c r="F57" s="66"/>
      <c r="G57" s="65">
        <v>1.6999999999999999E-3</v>
      </c>
      <c r="H57" s="65"/>
      <c r="I57" s="65">
        <v>1.4E-3</v>
      </c>
      <c r="J57" s="65"/>
      <c r="K57" s="65">
        <v>1.1999999999999999E-3</v>
      </c>
      <c r="L57" s="65"/>
      <c r="M57" s="65">
        <v>6.9999999999999999E-4</v>
      </c>
      <c r="N57" s="65"/>
      <c r="O57" s="66" t="s">
        <v>183</v>
      </c>
    </row>
    <row r="58" spans="1:15" ht="15.75">
      <c r="A58" s="64">
        <v>7</v>
      </c>
      <c r="B58" s="57"/>
      <c r="C58" s="57" t="s">
        <v>143</v>
      </c>
      <c r="D58" s="57"/>
      <c r="E58" s="22" t="s">
        <v>144</v>
      </c>
      <c r="F58" s="20"/>
      <c r="G58" s="63">
        <v>2.0000000000000001E-4</v>
      </c>
      <c r="H58" s="63"/>
      <c r="I58" s="63">
        <v>1E-4</v>
      </c>
      <c r="J58" s="63"/>
      <c r="K58" s="63">
        <v>0</v>
      </c>
      <c r="L58" s="63"/>
      <c r="M58" s="63">
        <v>0</v>
      </c>
      <c r="N58" s="63"/>
      <c r="O58" s="22" t="s">
        <v>145</v>
      </c>
    </row>
    <row r="59" spans="1:15" ht="15.75">
      <c r="A59" s="64">
        <v>8</v>
      </c>
      <c r="B59" s="57"/>
      <c r="C59" s="57" t="s">
        <v>146</v>
      </c>
      <c r="D59" s="57"/>
      <c r="E59" s="22" t="s">
        <v>147</v>
      </c>
      <c r="F59" s="20"/>
      <c r="G59" s="63">
        <v>0</v>
      </c>
      <c r="H59" s="63"/>
      <c r="I59" s="63">
        <v>0</v>
      </c>
      <c r="J59" s="63"/>
      <c r="K59" s="63">
        <v>0</v>
      </c>
      <c r="L59" s="63"/>
      <c r="M59" s="63">
        <v>0</v>
      </c>
      <c r="N59" s="63"/>
      <c r="O59" s="22" t="s">
        <v>148</v>
      </c>
    </row>
    <row r="60" spans="1:15" ht="15.75">
      <c r="A60" s="57">
        <v>9</v>
      </c>
      <c r="B60" s="57"/>
      <c r="C60" s="57" t="s">
        <v>149</v>
      </c>
      <c r="D60" s="57"/>
      <c r="E60" s="22" t="s">
        <v>150</v>
      </c>
      <c r="F60" s="20"/>
      <c r="G60" s="63">
        <v>-2.7000000000000001E-3</v>
      </c>
      <c r="H60" s="63"/>
      <c r="I60" s="63">
        <v>-1.6999999999999999E-3</v>
      </c>
      <c r="J60" s="63"/>
      <c r="K60" s="63">
        <v>-1.1000000000000001E-3</v>
      </c>
      <c r="L60" s="63"/>
      <c r="M60" s="63">
        <v>-8.0000000000000004E-4</v>
      </c>
      <c r="N60" s="63"/>
      <c r="O60" s="22" t="s">
        <v>145</v>
      </c>
    </row>
    <row r="61" spans="1:15" ht="15.75">
      <c r="A61" s="57">
        <v>10</v>
      </c>
      <c r="B61" s="57"/>
      <c r="C61" s="57" t="s">
        <v>151</v>
      </c>
      <c r="D61" s="57"/>
      <c r="E61" s="22" t="s">
        <v>152</v>
      </c>
      <c r="F61" s="20"/>
      <c r="G61" s="63">
        <v>-1.4E-3</v>
      </c>
      <c r="H61" s="63"/>
      <c r="I61" s="63">
        <v>-8.9999999999999998E-4</v>
      </c>
      <c r="J61" s="63"/>
      <c r="K61" s="63">
        <v>-5.9999999999999995E-4</v>
      </c>
      <c r="L61" s="63"/>
      <c r="M61" s="63">
        <v>-4.0000000000000002E-4</v>
      </c>
      <c r="N61" s="63"/>
      <c r="O61" s="22" t="s">
        <v>136</v>
      </c>
    </row>
    <row r="62" spans="1:15" ht="15.75">
      <c r="A62" s="57">
        <v>11</v>
      </c>
      <c r="B62" s="57"/>
      <c r="C62" s="57" t="s">
        <v>153</v>
      </c>
      <c r="D62" s="57"/>
      <c r="E62" s="22" t="s">
        <v>154</v>
      </c>
      <c r="F62" s="20"/>
      <c r="G62" s="63">
        <v>2.0000000000000001E-4</v>
      </c>
      <c r="H62" s="63"/>
      <c r="I62" s="63">
        <v>1E-4</v>
      </c>
      <c r="J62" s="63"/>
      <c r="K62" s="63">
        <v>0</v>
      </c>
      <c r="L62" s="63"/>
      <c r="M62" s="63">
        <v>0</v>
      </c>
      <c r="N62" s="62"/>
      <c r="O62" s="22" t="s">
        <v>155</v>
      </c>
    </row>
    <row r="63" spans="1:15" ht="15.75">
      <c r="A63" s="57">
        <v>12</v>
      </c>
      <c r="B63" s="57"/>
      <c r="C63" s="57" t="s">
        <v>156</v>
      </c>
      <c r="D63" s="57"/>
      <c r="E63" s="22" t="s">
        <v>157</v>
      </c>
      <c r="F63" s="20"/>
      <c r="G63" s="63">
        <v>1.5299999999999999E-2</v>
      </c>
      <c r="H63" s="63"/>
      <c r="I63" s="63">
        <v>9.7999999999999997E-3</v>
      </c>
      <c r="J63" s="63"/>
      <c r="K63" s="63">
        <v>6.6E-3</v>
      </c>
      <c r="L63" s="63"/>
      <c r="M63" s="63">
        <v>4.5999999999999999E-3</v>
      </c>
      <c r="N63" s="62"/>
      <c r="O63" s="22" t="s">
        <v>158</v>
      </c>
    </row>
    <row r="64" spans="1:15" ht="15.75">
      <c r="A64" s="57">
        <v>13</v>
      </c>
      <c r="B64" s="57"/>
      <c r="C64" s="57" t="s">
        <v>184</v>
      </c>
      <c r="D64" s="57"/>
      <c r="E64" s="22" t="s">
        <v>185</v>
      </c>
      <c r="F64" s="20"/>
      <c r="G64" s="63">
        <v>8.8999999999999999E-3</v>
      </c>
      <c r="H64" s="63"/>
      <c r="I64" s="63">
        <v>9.4999999999999998E-3</v>
      </c>
      <c r="J64" s="63"/>
      <c r="K64" s="63">
        <v>9.7999999999999997E-3</v>
      </c>
      <c r="L64" s="63"/>
      <c r="M64" s="63">
        <v>0.01</v>
      </c>
      <c r="N64" s="62"/>
      <c r="O64" s="22" t="s">
        <v>158</v>
      </c>
    </row>
    <row r="65" spans="1:15" ht="15.75">
      <c r="A65" s="57">
        <v>14</v>
      </c>
      <c r="B65" s="57"/>
      <c r="C65" s="57" t="s">
        <v>186</v>
      </c>
      <c r="D65" s="57"/>
      <c r="E65" s="22" t="s">
        <v>187</v>
      </c>
      <c r="F65" s="20"/>
      <c r="G65" s="63">
        <v>6.9999999999999999E-4</v>
      </c>
      <c r="H65" s="63"/>
      <c r="I65" s="63">
        <v>0</v>
      </c>
      <c r="J65" s="63"/>
      <c r="K65" s="63">
        <v>0</v>
      </c>
      <c r="L65" s="63"/>
      <c r="M65" s="63">
        <v>0</v>
      </c>
      <c r="N65" s="62"/>
      <c r="O65" s="22" t="s">
        <v>188</v>
      </c>
    </row>
    <row r="66" spans="1:15" ht="16.5" thickBot="1">
      <c r="A66" s="57">
        <v>15</v>
      </c>
      <c r="B66" s="57"/>
      <c r="C66" s="57" t="s">
        <v>159</v>
      </c>
      <c r="D66" s="57"/>
      <c r="E66" s="23" t="s">
        <v>160</v>
      </c>
      <c r="F66" s="23"/>
      <c r="G66" s="60">
        <v>0.87680000000000002</v>
      </c>
      <c r="H66" s="61"/>
      <c r="I66" s="60">
        <v>0.31679999999999997</v>
      </c>
      <c r="J66" s="61"/>
      <c r="K66" s="60">
        <v>0.28739999999999999</v>
      </c>
      <c r="L66" s="61"/>
      <c r="M66" s="60">
        <v>0.20700000000000002</v>
      </c>
      <c r="N66" s="59"/>
      <c r="O66" s="22" t="s">
        <v>189</v>
      </c>
    </row>
    <row r="67" spans="1:15" ht="16.5" thickTop="1">
      <c r="A67" s="57" t="s">
        <v>162</v>
      </c>
      <c r="B67" s="57"/>
      <c r="C67" s="57"/>
      <c r="D67" s="57"/>
      <c r="E67" s="20"/>
      <c r="F67" s="20"/>
      <c r="G67" s="56"/>
      <c r="H67" s="56"/>
      <c r="I67" s="56"/>
      <c r="J67" s="56"/>
      <c r="K67" s="56"/>
      <c r="L67" s="56"/>
      <c r="M67" s="56"/>
      <c r="N67" s="56"/>
      <c r="O67" s="20"/>
    </row>
    <row r="68" spans="1:15" ht="15.75">
      <c r="A68" s="57">
        <v>16</v>
      </c>
      <c r="B68" s="57"/>
      <c r="C68" s="57" t="s">
        <v>163</v>
      </c>
      <c r="D68" s="57"/>
      <c r="E68" s="22" t="s">
        <v>190</v>
      </c>
      <c r="F68" s="20"/>
      <c r="G68" s="56">
        <v>0.76390000000000002</v>
      </c>
      <c r="H68" s="56"/>
      <c r="I68" s="56">
        <v>0.76390000000000002</v>
      </c>
      <c r="J68" s="56"/>
      <c r="K68" s="56">
        <v>0.76390000000000002</v>
      </c>
      <c r="L68" s="56"/>
      <c r="M68" s="56">
        <v>0.76390000000000002</v>
      </c>
      <c r="N68" s="56"/>
      <c r="O68" s="22" t="s">
        <v>207</v>
      </c>
    </row>
    <row r="69" spans="1:15" ht="15.75">
      <c r="A69" s="57"/>
      <c r="B69" s="57"/>
      <c r="C69" s="57"/>
      <c r="D69" s="57"/>
      <c r="E69" s="20"/>
      <c r="F69" s="20"/>
      <c r="G69" s="56"/>
      <c r="H69" s="56"/>
      <c r="I69" s="56"/>
      <c r="J69" s="56"/>
      <c r="K69" s="56"/>
      <c r="L69" s="56"/>
      <c r="M69" s="56"/>
      <c r="N69" s="56"/>
      <c r="O69" s="20"/>
    </row>
    <row r="70" spans="1:15" ht="15.75">
      <c r="A70" s="57">
        <v>17</v>
      </c>
      <c r="B70" s="57"/>
      <c r="C70" s="57" t="s">
        <v>166</v>
      </c>
      <c r="D70" s="57"/>
      <c r="E70" s="22" t="s">
        <v>167</v>
      </c>
      <c r="F70" s="20"/>
      <c r="G70" s="56">
        <v>5.79E-2</v>
      </c>
      <c r="H70" s="56"/>
      <c r="I70" s="56">
        <v>3.9100000000000003E-2</v>
      </c>
      <c r="J70" s="56"/>
      <c r="K70" s="56">
        <v>2.9100000000000001E-2</v>
      </c>
      <c r="L70" s="56">
        <v>2.3099999999999999E-2</v>
      </c>
      <c r="M70" s="56">
        <v>2.3099999999999999E-2</v>
      </c>
      <c r="N70" s="56"/>
      <c r="O70" s="54" t="s">
        <v>192</v>
      </c>
    </row>
    <row r="71" spans="1:15" ht="15.75">
      <c r="A71" s="57"/>
      <c r="B71" s="57"/>
      <c r="C71" s="57"/>
      <c r="D71" s="57"/>
      <c r="E71" s="20"/>
      <c r="F71" s="20"/>
      <c r="G71" s="56"/>
      <c r="H71" s="56"/>
      <c r="I71" s="56"/>
      <c r="J71" s="56"/>
      <c r="K71" s="56"/>
      <c r="L71" s="56"/>
      <c r="M71" s="56"/>
      <c r="N71" s="56"/>
      <c r="O71" s="20"/>
    </row>
    <row r="72" spans="1:15" ht="15.75">
      <c r="A72" s="57">
        <v>18</v>
      </c>
      <c r="B72" s="57"/>
      <c r="C72" s="57"/>
      <c r="D72" s="57"/>
      <c r="E72" s="22" t="s">
        <v>169</v>
      </c>
      <c r="F72" s="20"/>
      <c r="G72" s="58">
        <v>1.6986000000000001</v>
      </c>
      <c r="H72" s="58"/>
      <c r="I72" s="58">
        <v>1.1197999999999999</v>
      </c>
      <c r="J72" s="58"/>
      <c r="K72" s="58">
        <v>1.0803999999999998</v>
      </c>
      <c r="L72" s="58"/>
      <c r="M72" s="58">
        <v>0.99400000000000011</v>
      </c>
      <c r="N72" s="56"/>
      <c r="O72" s="20"/>
    </row>
    <row r="73" spans="1:15" ht="15.75">
      <c r="A73" s="57"/>
      <c r="B73" s="57"/>
      <c r="C73" s="57"/>
      <c r="D73" s="57"/>
      <c r="E73" s="20"/>
      <c r="F73" s="20"/>
      <c r="G73" s="56"/>
      <c r="H73" s="56"/>
      <c r="I73" s="56"/>
      <c r="J73" s="56"/>
      <c r="K73" s="56"/>
      <c r="L73" s="56"/>
      <c r="M73" s="56"/>
      <c r="N73" s="56"/>
      <c r="O73" s="20"/>
    </row>
    <row r="74" spans="1:15" ht="15.75">
      <c r="A74" s="21" t="s">
        <v>170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 ht="15.75">
      <c r="A75" s="55">
        <v>1</v>
      </c>
      <c r="B75" s="20"/>
      <c r="C75" s="54" t="s">
        <v>208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 ht="15.75">
      <c r="A76" s="55">
        <v>2</v>
      </c>
      <c r="B76" s="20"/>
      <c r="C76" s="22" t="s">
        <v>171</v>
      </c>
      <c r="D76" s="55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5.75">
      <c r="A77" s="55">
        <v>3</v>
      </c>
      <c r="B77" s="55"/>
      <c r="C77" s="69" t="s">
        <v>194</v>
      </c>
      <c r="D77" s="24"/>
      <c r="E77" s="24"/>
      <c r="F77" s="24"/>
      <c r="G77" s="24"/>
      <c r="H77" s="24"/>
      <c r="I77" s="24"/>
      <c r="J77" s="24"/>
      <c r="K77" s="24"/>
      <c r="L77" s="20"/>
      <c r="M77" s="20"/>
      <c r="N77" s="20"/>
      <c r="O77" s="20"/>
    </row>
    <row r="78" spans="1:15" ht="15.75">
      <c r="A78" s="53">
        <v>4</v>
      </c>
      <c r="B78" s="20"/>
      <c r="C78" s="54" t="s">
        <v>195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ht="15.75">
      <c r="A79" s="55">
        <v>5</v>
      </c>
      <c r="B79" s="20"/>
      <c r="C79" s="22" t="s">
        <v>196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 ht="15.75">
      <c r="A80" s="55">
        <v>6</v>
      </c>
      <c r="B80" s="20"/>
      <c r="C80" s="54" t="s">
        <v>197</v>
      </c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 ht="15.75">
      <c r="A81" s="53">
        <v>12</v>
      </c>
      <c r="B81" s="20"/>
      <c r="C81" s="22" t="s">
        <v>157</v>
      </c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ht="15.75">
      <c r="A82" s="53">
        <v>13</v>
      </c>
      <c r="B82" s="20"/>
      <c r="C82" s="25" t="s">
        <v>209</v>
      </c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ht="15.75">
      <c r="A83" s="20"/>
      <c r="B83" s="20"/>
      <c r="C83" s="20"/>
      <c r="D83" s="20"/>
      <c r="E83" s="20"/>
      <c r="F83" s="20"/>
      <c r="G83" s="26"/>
      <c r="H83" s="20"/>
      <c r="I83" s="20"/>
      <c r="J83" s="20"/>
      <c r="K83" s="20"/>
      <c r="L83" s="20"/>
      <c r="M83" s="20"/>
      <c r="N83" s="20"/>
      <c r="O83" s="20"/>
    </row>
  </sheetData>
  <mergeCells count="6">
    <mergeCell ref="A44:O44"/>
    <mergeCell ref="A43:O43"/>
    <mergeCell ref="C50:E50"/>
    <mergeCell ref="A47:O47"/>
    <mergeCell ref="A46:O46"/>
    <mergeCell ref="A45:O4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C8549-B948-4E75-9E5F-6536970D9596}">
  <dimension ref="A1:T22"/>
  <sheetViews>
    <sheetView workbookViewId="0">
      <selection activeCell="F6" sqref="F6"/>
    </sheetView>
  </sheetViews>
  <sheetFormatPr defaultRowHeight="15"/>
  <cols>
    <col min="2" max="2" width="22.28515625" customWidth="1"/>
    <col min="3" max="3" width="19.5703125" customWidth="1"/>
    <col min="5" max="5" width="71.42578125" customWidth="1"/>
    <col min="6" max="6" width="25.42578125" customWidth="1"/>
    <col min="7" max="7" width="9.28515625" bestFit="1" customWidth="1"/>
    <col min="8" max="11" width="10" bestFit="1" customWidth="1"/>
    <col min="12" max="12" width="9.42578125" bestFit="1" customWidth="1"/>
    <col min="13" max="13" width="10" bestFit="1" customWidth="1"/>
    <col min="14" max="14" width="10.7109375" bestFit="1" customWidth="1"/>
    <col min="15" max="20" width="10" bestFit="1" customWidth="1"/>
  </cols>
  <sheetData>
    <row r="1" spans="1:20">
      <c r="A1" t="s">
        <v>210</v>
      </c>
    </row>
    <row r="2" spans="1:20">
      <c r="B2" t="s">
        <v>211</v>
      </c>
      <c r="E2" s="2">
        <v>45658</v>
      </c>
    </row>
    <row r="3" spans="1:20" ht="15" customHeight="1">
      <c r="B3" t="s">
        <v>212</v>
      </c>
      <c r="E3" s="77" t="s">
        <v>72</v>
      </c>
      <c r="F3" s="78">
        <v>10</v>
      </c>
    </row>
    <row r="4" spans="1:20" ht="15" customHeight="1">
      <c r="B4" t="s">
        <v>213</v>
      </c>
      <c r="E4" s="79" t="s">
        <v>214</v>
      </c>
      <c r="F4" s="80">
        <v>9.4049999999999995E-2</v>
      </c>
    </row>
    <row r="5" spans="1:20" ht="15" customHeight="1">
      <c r="B5" t="s">
        <v>215</v>
      </c>
      <c r="E5" s="79" t="s">
        <v>216</v>
      </c>
      <c r="F5" s="80">
        <v>4.5449999999999997E-2</v>
      </c>
    </row>
    <row r="6" spans="1:20" ht="15" customHeight="1">
      <c r="B6" t="s">
        <v>72</v>
      </c>
      <c r="C6" s="73">
        <v>10</v>
      </c>
      <c r="E6" s="79" t="s">
        <v>217</v>
      </c>
      <c r="F6" s="80">
        <v>3.1109999999999999E-2</v>
      </c>
    </row>
    <row r="7" spans="1:20" ht="15" customHeight="1">
      <c r="B7" t="s">
        <v>218</v>
      </c>
      <c r="C7" s="73">
        <v>7.8200000000000006E-2</v>
      </c>
      <c r="E7" s="79" t="s">
        <v>219</v>
      </c>
      <c r="F7" s="80">
        <v>1.6219999999999998E-2</v>
      </c>
    </row>
    <row r="8" spans="1:20" ht="15" customHeight="1">
      <c r="B8" t="s">
        <v>220</v>
      </c>
      <c r="C8" s="73">
        <v>4.052E-2</v>
      </c>
      <c r="E8" s="79" t="s">
        <v>221</v>
      </c>
      <c r="F8" s="80">
        <v>4.3099999999999996E-3</v>
      </c>
    </row>
    <row r="9" spans="1:20" ht="15" customHeight="1">
      <c r="B9" t="s">
        <v>5</v>
      </c>
      <c r="C9" s="74">
        <v>3.1109999999999999E-2</v>
      </c>
      <c r="E9" s="77" t="s">
        <v>222</v>
      </c>
      <c r="F9" s="81">
        <v>1.3799999999999999E-3</v>
      </c>
    </row>
    <row r="10" spans="1:20" ht="15" customHeight="1">
      <c r="B10" t="s">
        <v>223</v>
      </c>
      <c r="C10" s="73">
        <f>C11-SUM(C7:C9)</f>
        <v>2.578999999999998E-2</v>
      </c>
      <c r="E10" s="77" t="s">
        <v>224</v>
      </c>
      <c r="F10" s="81">
        <v>5.0000000000000001E-4</v>
      </c>
    </row>
    <row r="11" spans="1:20" ht="15" customHeight="1">
      <c r="B11" t="s">
        <v>225</v>
      </c>
      <c r="C11" s="73">
        <v>0.17562</v>
      </c>
      <c r="E11" s="77" t="s">
        <v>226</v>
      </c>
      <c r="F11" s="81">
        <v>-8.4999999999999995E-4</v>
      </c>
    </row>
    <row r="12" spans="1:20" ht="15" customHeight="1">
      <c r="C12" s="72"/>
      <c r="E12" s="77" t="s">
        <v>227</v>
      </c>
      <c r="F12" s="81">
        <v>-9.5E-4</v>
      </c>
      <c r="L12" s="74"/>
      <c r="M12" s="74"/>
      <c r="N12" s="74"/>
      <c r="O12" s="74"/>
      <c r="P12" s="74"/>
      <c r="Q12" s="74"/>
      <c r="S12" s="74"/>
      <c r="T12" s="74"/>
    </row>
    <row r="13" spans="1:20" ht="15" customHeight="1">
      <c r="B13" t="s">
        <v>228</v>
      </c>
      <c r="C13" s="73"/>
      <c r="E13" s="75"/>
      <c r="F13" s="76"/>
    </row>
    <row r="15" spans="1:20">
      <c r="A15" t="s">
        <v>229</v>
      </c>
    </row>
    <row r="16" spans="1:20">
      <c r="B16" t="s">
        <v>230</v>
      </c>
    </row>
    <row r="18" spans="2:2">
      <c r="B18" t="s">
        <v>231</v>
      </c>
    </row>
    <row r="22" spans="2:2">
      <c r="B22" t="s">
        <v>232</v>
      </c>
    </row>
  </sheetData>
  <sortState xmlns:xlrd2="http://schemas.microsoft.com/office/spreadsheetml/2017/richdata2" ref="E3:F13">
    <sortCondition descending="1" ref="F3:F13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7CEC2-8A86-4B03-B74D-F803DC754FC6}">
  <dimension ref="A1:G61"/>
  <sheetViews>
    <sheetView workbookViewId="0">
      <selection activeCell="A12" sqref="A12"/>
    </sheetView>
  </sheetViews>
  <sheetFormatPr defaultRowHeight="15"/>
  <cols>
    <col min="1" max="1" width="35.85546875" customWidth="1"/>
    <col min="2" max="2" width="12.5703125" customWidth="1"/>
    <col min="4" max="4" width="9.7109375" bestFit="1" customWidth="1"/>
    <col min="7" max="7" width="34.42578125" customWidth="1"/>
  </cols>
  <sheetData>
    <row r="1" spans="1:5" ht="60">
      <c r="B1" s="241" t="s">
        <v>233</v>
      </c>
      <c r="C1" s="15" t="s">
        <v>234</v>
      </c>
      <c r="D1" s="15" t="s">
        <v>235</v>
      </c>
    </row>
    <row r="2" spans="1:5">
      <c r="A2" t="s">
        <v>236</v>
      </c>
      <c r="B2">
        <f>+'Gas Summary'!E7</f>
        <v>0.57020000000000004</v>
      </c>
      <c r="C2">
        <f>B2*B18</f>
        <v>498.24076000000002</v>
      </c>
      <c r="D2">
        <f>D16*B2</f>
        <v>513.18000000000006</v>
      </c>
    </row>
    <row r="3" spans="1:5">
      <c r="A3" t="s">
        <v>237</v>
      </c>
      <c r="B3" s="48">
        <f>+'Gas Summary'!C7</f>
        <v>0.46760000000000002</v>
      </c>
      <c r="C3" s="4">
        <f>B3*B18</f>
        <v>408.58888000000002</v>
      </c>
      <c r="D3" s="236">
        <f>B3*D16</f>
        <v>420.84000000000003</v>
      </c>
    </row>
    <row r="4" spans="1:5">
      <c r="A4" t="s">
        <v>238</v>
      </c>
      <c r="B4" s="48">
        <f>+'Electric Rates'!F6</f>
        <v>3.1109999999999999E-2</v>
      </c>
      <c r="C4" s="4">
        <f>B4*B29</f>
        <v>90.405659999999997</v>
      </c>
      <c r="D4" s="236">
        <f>B4*D29</f>
        <v>197.8596</v>
      </c>
    </row>
    <row r="7" spans="1:5">
      <c r="B7" t="s">
        <v>239</v>
      </c>
      <c r="C7" t="s">
        <v>240</v>
      </c>
      <c r="D7" t="s">
        <v>241</v>
      </c>
    </row>
    <row r="8" spans="1:5">
      <c r="A8" t="s">
        <v>242</v>
      </c>
      <c r="B8" s="4">
        <f>D3</f>
        <v>420.84000000000003</v>
      </c>
      <c r="C8">
        <v>0</v>
      </c>
      <c r="D8" s="4">
        <f>SUM(B8:C8)</f>
        <v>420.84000000000003</v>
      </c>
    </row>
    <row r="9" spans="1:5">
      <c r="A9" t="s">
        <v>243</v>
      </c>
      <c r="B9" s="4">
        <f>D3</f>
        <v>420.84000000000003</v>
      </c>
      <c r="C9" s="4">
        <f>D4</f>
        <v>197.8596</v>
      </c>
      <c r="D9" s="4">
        <f>SUM(B9:C9)</f>
        <v>618.69960000000003</v>
      </c>
    </row>
    <row r="10" spans="1:5">
      <c r="A10" t="s">
        <v>244</v>
      </c>
      <c r="B10">
        <f>D2</f>
        <v>513.18000000000006</v>
      </c>
      <c r="C10" s="4">
        <f>D4</f>
        <v>197.8596</v>
      </c>
      <c r="D10" s="4">
        <f>SUM(B10:C10)</f>
        <v>711.03960000000006</v>
      </c>
    </row>
    <row r="12" spans="1:5">
      <c r="A12" s="242" t="s">
        <v>245</v>
      </c>
      <c r="B12" s="242"/>
    </row>
    <row r="13" spans="1:5">
      <c r="A13" s="242" t="s">
        <v>246</v>
      </c>
      <c r="B13" s="242">
        <v>740</v>
      </c>
      <c r="D13" s="8" t="s">
        <v>247</v>
      </c>
    </row>
    <row r="14" spans="1:5">
      <c r="A14" s="242" t="s">
        <v>248</v>
      </c>
      <c r="B14" s="242">
        <v>569</v>
      </c>
      <c r="D14" s="223">
        <f>6*'Bill ImpactsNG'!F15+6*'Bill ImpactsNG'!Q15</f>
        <v>780.91687871845613</v>
      </c>
      <c r="E14" t="s">
        <v>249</v>
      </c>
    </row>
    <row r="15" spans="1:5">
      <c r="A15" s="242" t="s">
        <v>250</v>
      </c>
      <c r="B15" s="242">
        <v>118</v>
      </c>
      <c r="D15">
        <f>SUM('Bill Impacts NSTAR GAs'!C11:N11)</f>
        <v>914</v>
      </c>
      <c r="E15" t="s">
        <v>251</v>
      </c>
    </row>
    <row r="16" spans="1:5">
      <c r="A16" s="242" t="s">
        <v>252</v>
      </c>
      <c r="B16" s="242">
        <v>35.9</v>
      </c>
      <c r="D16">
        <v>900</v>
      </c>
      <c r="E16" t="s">
        <v>253</v>
      </c>
    </row>
    <row r="17" spans="1:7">
      <c r="A17" s="242" t="s">
        <v>254</v>
      </c>
      <c r="B17" s="242">
        <v>15.8</v>
      </c>
    </row>
    <row r="18" spans="1:7">
      <c r="A18" s="242" t="s">
        <v>255</v>
      </c>
      <c r="B18" s="242">
        <f>B17+B15+B13</f>
        <v>873.8</v>
      </c>
    </row>
    <row r="19" spans="1:7">
      <c r="A19" s="243" t="s">
        <v>256</v>
      </c>
      <c r="B19" s="242"/>
    </row>
    <row r="20" spans="1:7">
      <c r="A20" s="242" t="s">
        <v>257</v>
      </c>
      <c r="B20" s="242"/>
    </row>
    <row r="21" spans="1:7">
      <c r="A21" s="242" t="s">
        <v>258</v>
      </c>
      <c r="B21" s="242">
        <v>624</v>
      </c>
    </row>
    <row r="22" spans="1:7">
      <c r="A22" s="242" t="s">
        <v>259</v>
      </c>
      <c r="B22" s="242">
        <v>269</v>
      </c>
    </row>
    <row r="23" spans="1:7">
      <c r="A23" s="242" t="s">
        <v>260</v>
      </c>
      <c r="B23" s="242">
        <v>42</v>
      </c>
      <c r="G23" t="s">
        <v>261</v>
      </c>
    </row>
    <row r="24" spans="1:7">
      <c r="A24" s="242" t="s">
        <v>262</v>
      </c>
      <c r="B24" s="242">
        <v>620</v>
      </c>
    </row>
    <row r="25" spans="1:7">
      <c r="A25" s="242" t="s">
        <v>263</v>
      </c>
      <c r="B25" s="242">
        <v>648</v>
      </c>
    </row>
    <row r="26" spans="1:7">
      <c r="A26" s="242" t="s">
        <v>264</v>
      </c>
      <c r="B26" s="242">
        <v>122</v>
      </c>
    </row>
    <row r="27" spans="1:7">
      <c r="A27" s="242" t="s">
        <v>265</v>
      </c>
      <c r="B27" s="242">
        <v>342</v>
      </c>
    </row>
    <row r="28" spans="1:7">
      <c r="A28" s="242" t="s">
        <v>266</v>
      </c>
      <c r="B28" s="242">
        <v>239</v>
      </c>
    </row>
    <row r="29" spans="1:7">
      <c r="A29" s="242" t="s">
        <v>267</v>
      </c>
      <c r="B29" s="242">
        <f>SUM(B21:B28)</f>
        <v>2906</v>
      </c>
      <c r="D29">
        <f>12*'Bill Impacts Eversource'!C25</f>
        <v>6360</v>
      </c>
      <c r="E29" t="s">
        <v>268</v>
      </c>
    </row>
    <row r="30" spans="1:7">
      <c r="D30" s="4"/>
    </row>
    <row r="35" spans="1:2">
      <c r="A35" s="8" t="s">
        <v>269</v>
      </c>
    </row>
    <row r="36" spans="1:2">
      <c r="A36" t="s">
        <v>270</v>
      </c>
      <c r="B36" t="s">
        <v>210</v>
      </c>
    </row>
    <row r="37" spans="1:2">
      <c r="A37" s="84" t="s">
        <v>271</v>
      </c>
      <c r="B37">
        <v>2.2540000000000001E-2</v>
      </c>
    </row>
    <row r="38" spans="1:2">
      <c r="A38" t="s">
        <v>272</v>
      </c>
      <c r="B38">
        <v>2.2540000000000001E-2</v>
      </c>
    </row>
    <row r="39" spans="1:2">
      <c r="A39" t="s">
        <v>273</v>
      </c>
      <c r="B39" s="85">
        <v>2.334E-2</v>
      </c>
    </row>
    <row r="40" spans="1:2">
      <c r="A40" t="s">
        <v>274</v>
      </c>
      <c r="B40" s="85">
        <v>2.334E-2</v>
      </c>
    </row>
    <row r="41" spans="1:2">
      <c r="A41" t="s">
        <v>275</v>
      </c>
      <c r="B41">
        <v>2.334E-2</v>
      </c>
    </row>
    <row r="42" spans="1:2">
      <c r="A42" t="s">
        <v>276</v>
      </c>
      <c r="B42">
        <v>2.334E-2</v>
      </c>
    </row>
    <row r="43" spans="1:2">
      <c r="A43" t="s">
        <v>277</v>
      </c>
      <c r="B43">
        <v>3.1109999999999999E-2</v>
      </c>
    </row>
    <row r="44" spans="1:2">
      <c r="A44" t="s">
        <v>278</v>
      </c>
      <c r="B44">
        <v>3.1109999999999999E-2</v>
      </c>
    </row>
    <row r="45" spans="1:2">
      <c r="A45" t="s">
        <v>279</v>
      </c>
      <c r="B45">
        <v>3.1109999999999999E-2</v>
      </c>
    </row>
    <row r="48" spans="1:2">
      <c r="A48" t="s">
        <v>280</v>
      </c>
    </row>
    <row r="49" spans="1:2">
      <c r="A49" s="1">
        <v>44866</v>
      </c>
      <c r="B49">
        <v>0.2782</v>
      </c>
    </row>
    <row r="50" spans="1:2">
      <c r="A50" s="1">
        <v>45047</v>
      </c>
      <c r="B50">
        <v>0.2782</v>
      </c>
    </row>
    <row r="51" spans="1:2">
      <c r="A51" s="1">
        <v>45200</v>
      </c>
      <c r="B51">
        <v>0.2782</v>
      </c>
    </row>
    <row r="52" spans="1:2">
      <c r="A52" s="1">
        <v>45231</v>
      </c>
      <c r="B52">
        <v>0.30080000000000001</v>
      </c>
    </row>
    <row r="53" spans="1:2">
      <c r="A53" s="1">
        <v>45383</v>
      </c>
      <c r="B53">
        <v>0.30080000000000001</v>
      </c>
    </row>
    <row r="54" spans="1:2">
      <c r="A54" s="1">
        <v>45413</v>
      </c>
      <c r="B54">
        <v>0.30080000000000001</v>
      </c>
    </row>
    <row r="55" spans="1:2">
      <c r="A55" s="1">
        <v>45566</v>
      </c>
      <c r="B55">
        <v>0.23300000000000001</v>
      </c>
    </row>
    <row r="56" spans="1:2">
      <c r="A56" s="1">
        <v>45597</v>
      </c>
      <c r="B56">
        <v>0.46760000000000002</v>
      </c>
    </row>
    <row r="57" spans="1:2">
      <c r="A57" t="s">
        <v>281</v>
      </c>
    </row>
    <row r="61" spans="1:2">
      <c r="A61" s="6" t="s">
        <v>282</v>
      </c>
    </row>
  </sheetData>
  <hyperlinks>
    <hyperlink ref="A61" r:id="rId1" display="https://ma-eeac.org/wp-content/uploads/Residential-Building-Use-and-Equipment-Characterization-Study-Comprehensive-Report-2023-12-22.pdf" xr:uid="{410B4704-7F51-47F6-AF66-BCA458194526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B5C9B-1024-47F6-8F4C-BE0DF9D93EAD}">
  <dimension ref="A1:W68"/>
  <sheetViews>
    <sheetView topLeftCell="A31" workbookViewId="0">
      <selection activeCell="A62" sqref="A62:C66"/>
    </sheetView>
  </sheetViews>
  <sheetFormatPr defaultRowHeight="15"/>
  <cols>
    <col min="1" max="1" width="35.7109375" customWidth="1"/>
    <col min="2" max="2" width="27.7109375" customWidth="1"/>
    <col min="3" max="3" width="26.5703125" customWidth="1"/>
    <col min="4" max="11" width="17.42578125" customWidth="1"/>
    <col min="20" max="20" width="18.42578125" customWidth="1"/>
    <col min="21" max="21" width="13" customWidth="1"/>
    <col min="22" max="22" width="13.28515625" customWidth="1"/>
  </cols>
  <sheetData>
    <row r="1" spans="1:23">
      <c r="A1" t="s">
        <v>513</v>
      </c>
    </row>
    <row r="2" spans="1:23">
      <c r="A2" t="s">
        <v>516</v>
      </c>
    </row>
    <row r="3" spans="1:23">
      <c r="A3" t="s">
        <v>515</v>
      </c>
    </row>
    <row r="4" spans="1:23">
      <c r="A4" t="s">
        <v>514</v>
      </c>
    </row>
    <row r="6" spans="1:23" ht="45">
      <c r="A6" s="264"/>
      <c r="B6" s="261" t="s">
        <v>497</v>
      </c>
      <c r="C6" s="261"/>
      <c r="D6" s="261"/>
      <c r="E6" s="261"/>
      <c r="F6" s="261"/>
      <c r="G6" s="261"/>
      <c r="H6" s="261"/>
      <c r="I6" s="261"/>
      <c r="J6" s="262"/>
      <c r="K6" s="260" t="s">
        <v>497</v>
      </c>
      <c r="L6" s="261"/>
      <c r="M6" s="261"/>
      <c r="N6" s="261"/>
      <c r="O6" s="261"/>
      <c r="P6" s="261"/>
      <c r="Q6" s="261"/>
      <c r="R6" s="261"/>
      <c r="S6" s="261"/>
      <c r="T6" s="15" t="s">
        <v>517</v>
      </c>
      <c r="U6" s="15" t="s">
        <v>518</v>
      </c>
      <c r="V6" t="s">
        <v>360</v>
      </c>
      <c r="W6" t="s">
        <v>361</v>
      </c>
    </row>
    <row r="7" spans="1:23">
      <c r="A7" s="279" t="s">
        <v>498</v>
      </c>
      <c r="B7" s="282" t="s">
        <v>499</v>
      </c>
      <c r="C7" s="283"/>
      <c r="D7" s="283"/>
      <c r="E7" s="283"/>
      <c r="F7" s="283"/>
      <c r="G7" s="283"/>
      <c r="H7" s="283"/>
      <c r="I7" s="283"/>
      <c r="J7" s="284"/>
      <c r="K7" s="282" t="s">
        <v>500</v>
      </c>
      <c r="L7" s="283"/>
      <c r="M7" s="283"/>
      <c r="N7" s="283"/>
      <c r="O7" s="283"/>
      <c r="P7" s="283"/>
      <c r="Q7" s="283"/>
      <c r="R7" s="283"/>
      <c r="S7" s="284"/>
    </row>
    <row r="8" spans="1:23">
      <c r="A8" s="280"/>
      <c r="B8" s="282">
        <v>2022</v>
      </c>
      <c r="C8" s="284"/>
      <c r="D8" s="282">
        <v>2023</v>
      </c>
      <c r="E8" s="284"/>
      <c r="F8" s="282">
        <v>2024</v>
      </c>
      <c r="G8" s="284"/>
      <c r="H8" s="266">
        <v>2025</v>
      </c>
      <c r="I8" s="266">
        <v>2026</v>
      </c>
      <c r="J8" s="266">
        <v>2027</v>
      </c>
      <c r="K8" s="282">
        <v>2022</v>
      </c>
      <c r="L8" s="284"/>
      <c r="M8" s="282">
        <v>2023</v>
      </c>
      <c r="N8" s="284"/>
      <c r="O8" s="282">
        <v>2024</v>
      </c>
      <c r="P8" s="284"/>
      <c r="Q8" s="266">
        <v>2025</v>
      </c>
      <c r="R8" s="266">
        <v>2026</v>
      </c>
      <c r="S8" s="266">
        <v>2027</v>
      </c>
    </row>
    <row r="9" spans="1:23">
      <c r="A9" s="281"/>
      <c r="B9" s="266" t="s">
        <v>495</v>
      </c>
      <c r="C9" s="266" t="s">
        <v>501</v>
      </c>
      <c r="D9" s="266" t="s">
        <v>495</v>
      </c>
      <c r="E9" s="266" t="s">
        <v>501</v>
      </c>
      <c r="F9" s="266" t="s">
        <v>495</v>
      </c>
      <c r="G9" s="266" t="s">
        <v>502</v>
      </c>
      <c r="H9" s="266" t="s">
        <v>495</v>
      </c>
      <c r="I9" s="266" t="s">
        <v>495</v>
      </c>
      <c r="J9" s="266" t="s">
        <v>495</v>
      </c>
      <c r="K9" s="266" t="s">
        <v>495</v>
      </c>
      <c r="L9" s="266" t="s">
        <v>501</v>
      </c>
      <c r="M9" s="266" t="s">
        <v>495</v>
      </c>
      <c r="N9" s="266" t="s">
        <v>501</v>
      </c>
      <c r="O9" s="266" t="s">
        <v>495</v>
      </c>
      <c r="P9" s="266" t="s">
        <v>502</v>
      </c>
      <c r="Q9" s="266" t="s">
        <v>495</v>
      </c>
      <c r="R9" s="266" t="s">
        <v>495</v>
      </c>
      <c r="S9" s="266" t="s">
        <v>495</v>
      </c>
    </row>
    <row r="10" spans="1:23">
      <c r="A10" s="267" t="s">
        <v>490</v>
      </c>
      <c r="B10" s="268">
        <v>22351249</v>
      </c>
      <c r="C10" s="268">
        <v>21148485</v>
      </c>
      <c r="D10" s="268">
        <v>23061327</v>
      </c>
      <c r="E10" s="268">
        <v>21999140</v>
      </c>
      <c r="F10" s="268">
        <v>23879003</v>
      </c>
      <c r="G10" s="268">
        <v>12982895</v>
      </c>
      <c r="H10" s="268">
        <v>47212230</v>
      </c>
      <c r="I10" s="268">
        <v>45352157</v>
      </c>
      <c r="J10" s="268">
        <v>47000640</v>
      </c>
      <c r="K10" s="269">
        <v>0.04</v>
      </c>
      <c r="L10" s="269">
        <v>0.04</v>
      </c>
      <c r="M10" s="269">
        <v>0.04</v>
      </c>
      <c r="N10" s="269">
        <v>0.03</v>
      </c>
      <c r="O10" s="269">
        <v>0.03</v>
      </c>
      <c r="P10" s="269">
        <v>0.05</v>
      </c>
      <c r="Q10" s="269">
        <v>0.06</v>
      </c>
      <c r="R10" s="269">
        <v>0.05</v>
      </c>
      <c r="S10" s="269">
        <v>0.05</v>
      </c>
      <c r="T10" s="259">
        <f>SUM(C10,E10,F10)</f>
        <v>67026628</v>
      </c>
      <c r="U10" s="259">
        <f>SUM(H10:J10)</f>
        <v>139565027</v>
      </c>
      <c r="V10" s="259">
        <f>U10-T10</f>
        <v>72538399</v>
      </c>
      <c r="W10" s="49">
        <f>U10/T10-1</f>
        <v>1.0822325568876896</v>
      </c>
    </row>
    <row r="11" spans="1:23">
      <c r="A11" s="267" t="s">
        <v>491</v>
      </c>
      <c r="B11" s="268">
        <v>21487529</v>
      </c>
      <c r="C11" s="268">
        <v>21533044</v>
      </c>
      <c r="D11" s="268">
        <v>23090861</v>
      </c>
      <c r="E11" s="268">
        <v>23238242</v>
      </c>
      <c r="F11" s="268">
        <v>23903509</v>
      </c>
      <c r="G11" s="268">
        <v>11402335</v>
      </c>
      <c r="H11" s="268">
        <v>38521274</v>
      </c>
      <c r="I11" s="268">
        <v>37782415</v>
      </c>
      <c r="J11" s="268">
        <v>38625577</v>
      </c>
      <c r="K11" s="269">
        <v>0.04</v>
      </c>
      <c r="L11" s="269">
        <v>0.04</v>
      </c>
      <c r="M11" s="269">
        <v>0.04</v>
      </c>
      <c r="N11" s="269">
        <v>0.04</v>
      </c>
      <c r="O11" s="269">
        <v>0.03</v>
      </c>
      <c r="P11" s="269">
        <v>0.04</v>
      </c>
      <c r="Q11" s="269">
        <v>0.05</v>
      </c>
      <c r="R11" s="269">
        <v>0.04</v>
      </c>
      <c r="S11" s="269">
        <v>0.04</v>
      </c>
      <c r="T11" s="259">
        <f t="shared" ref="T11:T16" si="0">SUM(C11,E11,F11)</f>
        <v>68674795</v>
      </c>
      <c r="U11" s="259">
        <f t="shared" ref="U11:U16" si="1">SUM(H11:J11)</f>
        <v>114929266</v>
      </c>
      <c r="V11" s="259">
        <f t="shared" ref="V11:V16" si="2">U11-T11</f>
        <v>46254471</v>
      </c>
      <c r="W11" s="49">
        <f t="shared" ref="W11:W16" si="3">U11/T11-1</f>
        <v>0.67352907278427265</v>
      </c>
    </row>
    <row r="12" spans="1:23">
      <c r="A12" s="267" t="s">
        <v>492</v>
      </c>
      <c r="B12" s="268">
        <v>370039547</v>
      </c>
      <c r="C12" s="268">
        <v>364841019</v>
      </c>
      <c r="D12" s="268">
        <v>445422184</v>
      </c>
      <c r="E12" s="268">
        <v>484342709</v>
      </c>
      <c r="F12" s="268">
        <v>559715879</v>
      </c>
      <c r="G12" s="268">
        <v>221340851</v>
      </c>
      <c r="H12" s="268">
        <v>561918910</v>
      </c>
      <c r="I12" s="268">
        <v>622760819</v>
      </c>
      <c r="J12" s="268">
        <v>725312855</v>
      </c>
      <c r="K12" s="269">
        <v>0.69</v>
      </c>
      <c r="L12" s="269">
        <v>0.73</v>
      </c>
      <c r="M12" s="269">
        <v>0.71</v>
      </c>
      <c r="N12" s="269">
        <v>0.76</v>
      </c>
      <c r="O12" s="269">
        <v>0.74</v>
      </c>
      <c r="P12" s="269">
        <v>0.78</v>
      </c>
      <c r="Q12" s="269">
        <v>0.66</v>
      </c>
      <c r="R12" s="269">
        <v>0.69</v>
      </c>
      <c r="S12" s="269">
        <v>0.71</v>
      </c>
      <c r="T12" s="259">
        <f t="shared" si="0"/>
        <v>1408899607</v>
      </c>
      <c r="U12" s="259">
        <f t="shared" si="1"/>
        <v>1909992584</v>
      </c>
      <c r="V12" s="259">
        <f t="shared" si="2"/>
        <v>501092977</v>
      </c>
      <c r="W12" s="49">
        <f t="shared" si="3"/>
        <v>0.35566265652312024</v>
      </c>
    </row>
    <row r="13" spans="1:23">
      <c r="A13" s="267" t="s">
        <v>493</v>
      </c>
      <c r="B13" s="268">
        <v>99712441</v>
      </c>
      <c r="C13" s="268">
        <v>78513205</v>
      </c>
      <c r="D13" s="268">
        <v>103001614</v>
      </c>
      <c r="E13" s="268">
        <v>90211475</v>
      </c>
      <c r="F13" s="268">
        <v>108318939</v>
      </c>
      <c r="G13" s="268">
        <v>35877752</v>
      </c>
      <c r="H13" s="268">
        <v>167664933</v>
      </c>
      <c r="I13" s="268">
        <v>164795782</v>
      </c>
      <c r="J13" s="268">
        <v>172889231</v>
      </c>
      <c r="K13" s="269">
        <v>0.18</v>
      </c>
      <c r="L13" s="269">
        <v>0.16</v>
      </c>
      <c r="M13" s="269">
        <v>0.16</v>
      </c>
      <c r="N13" s="269">
        <v>0.14000000000000001</v>
      </c>
      <c r="O13" s="269">
        <v>0.14000000000000001</v>
      </c>
      <c r="P13" s="269">
        <v>0.13</v>
      </c>
      <c r="Q13" s="269">
        <v>0.2</v>
      </c>
      <c r="R13" s="269">
        <v>0.18</v>
      </c>
      <c r="S13" s="269">
        <v>0.17</v>
      </c>
      <c r="T13" s="259">
        <f t="shared" si="0"/>
        <v>277043619</v>
      </c>
      <c r="U13" s="259">
        <f t="shared" si="1"/>
        <v>505349946</v>
      </c>
      <c r="V13" s="259">
        <f t="shared" si="2"/>
        <v>228306327</v>
      </c>
      <c r="W13" s="49">
        <f t="shared" si="3"/>
        <v>0.8240807993487842</v>
      </c>
    </row>
    <row r="14" spans="1:23">
      <c r="A14" s="267" t="s">
        <v>494</v>
      </c>
      <c r="B14" s="268">
        <v>8173477</v>
      </c>
      <c r="C14" s="268">
        <v>6769967</v>
      </c>
      <c r="D14" s="268">
        <v>8382674</v>
      </c>
      <c r="E14" s="268">
        <v>8932060</v>
      </c>
      <c r="F14" s="268">
        <v>9354164</v>
      </c>
      <c r="G14" s="268">
        <v>3307478</v>
      </c>
      <c r="H14" s="268">
        <v>8308002</v>
      </c>
      <c r="I14" s="268">
        <v>8845404</v>
      </c>
      <c r="J14" s="268">
        <v>8677101</v>
      </c>
      <c r="K14" s="269">
        <v>0.02</v>
      </c>
      <c r="L14" s="269">
        <v>0.01</v>
      </c>
      <c r="M14" s="269">
        <v>0.01</v>
      </c>
      <c r="N14" s="269">
        <v>0.01</v>
      </c>
      <c r="O14" s="269">
        <v>0.01</v>
      </c>
      <c r="P14" s="269">
        <v>0.01</v>
      </c>
      <c r="Q14" s="269">
        <v>0.01</v>
      </c>
      <c r="R14" s="269">
        <v>0.01</v>
      </c>
      <c r="S14" s="269">
        <v>0.01</v>
      </c>
      <c r="T14" s="259">
        <f t="shared" si="0"/>
        <v>25056191</v>
      </c>
      <c r="U14" s="259">
        <f t="shared" si="1"/>
        <v>25830507</v>
      </c>
      <c r="V14" s="259">
        <f t="shared" si="2"/>
        <v>774316</v>
      </c>
      <c r="W14" s="49">
        <f t="shared" si="3"/>
        <v>3.0903180774763506E-2</v>
      </c>
    </row>
    <row r="15" spans="1:23">
      <c r="A15" s="267" t="s">
        <v>488</v>
      </c>
      <c r="B15" s="270">
        <v>17948040</v>
      </c>
      <c r="C15" s="270">
        <v>7708972</v>
      </c>
      <c r="D15" s="270">
        <v>23303482</v>
      </c>
      <c r="E15" s="270">
        <v>5853867</v>
      </c>
      <c r="F15" s="270">
        <v>30129108</v>
      </c>
      <c r="G15" s="271" t="s">
        <v>496</v>
      </c>
      <c r="H15" s="270">
        <v>24449464</v>
      </c>
      <c r="I15" s="270">
        <v>28498786</v>
      </c>
      <c r="J15" s="270">
        <v>35572806</v>
      </c>
      <c r="K15" s="269">
        <v>0.03</v>
      </c>
      <c r="L15" s="269">
        <v>0.02</v>
      </c>
      <c r="M15" s="269">
        <v>0.04</v>
      </c>
      <c r="N15" s="269">
        <v>0.01</v>
      </c>
      <c r="O15" s="269">
        <v>0.04</v>
      </c>
      <c r="P15" s="269">
        <v>0</v>
      </c>
      <c r="Q15" s="269">
        <v>0.03</v>
      </c>
      <c r="R15" s="269">
        <v>0.03</v>
      </c>
      <c r="S15" s="269">
        <v>0.03</v>
      </c>
      <c r="T15" s="259">
        <f t="shared" si="0"/>
        <v>43691947</v>
      </c>
      <c r="U15" s="259">
        <f t="shared" si="1"/>
        <v>88521056</v>
      </c>
      <c r="V15" s="259">
        <f t="shared" si="2"/>
        <v>44829109</v>
      </c>
      <c r="W15" s="49">
        <f t="shared" si="3"/>
        <v>1.0260268099290699</v>
      </c>
    </row>
    <row r="16" spans="1:23">
      <c r="A16" s="272" t="s">
        <v>489</v>
      </c>
      <c r="B16" s="273">
        <v>539712284</v>
      </c>
      <c r="C16" s="273">
        <v>500514692</v>
      </c>
      <c r="D16" s="273">
        <v>626262144</v>
      </c>
      <c r="E16" s="273">
        <v>634577493</v>
      </c>
      <c r="F16" s="273">
        <v>755300602</v>
      </c>
      <c r="G16" s="273">
        <v>284911311</v>
      </c>
      <c r="H16" s="273">
        <v>848074812</v>
      </c>
      <c r="I16" s="273">
        <v>908035362</v>
      </c>
      <c r="J16" s="273">
        <v>1028078211</v>
      </c>
      <c r="K16" s="274">
        <v>1</v>
      </c>
      <c r="L16" s="274">
        <v>1</v>
      </c>
      <c r="M16" s="274">
        <v>1</v>
      </c>
      <c r="N16" s="274">
        <v>1</v>
      </c>
      <c r="O16" s="274">
        <v>1</v>
      </c>
      <c r="P16" s="274">
        <v>1</v>
      </c>
      <c r="Q16" s="274">
        <v>1</v>
      </c>
      <c r="R16" s="274">
        <v>1</v>
      </c>
      <c r="S16" s="274">
        <v>1</v>
      </c>
      <c r="T16" s="259">
        <f t="shared" si="0"/>
        <v>1890392787</v>
      </c>
      <c r="U16" s="259">
        <f t="shared" si="1"/>
        <v>2784188385</v>
      </c>
      <c r="V16" s="259">
        <f t="shared" si="2"/>
        <v>893795598</v>
      </c>
      <c r="W16" s="49">
        <f t="shared" si="3"/>
        <v>0.47280946274579705</v>
      </c>
    </row>
    <row r="17" spans="1:23">
      <c r="A17" s="275"/>
      <c r="B17" s="263"/>
      <c r="C17" s="263"/>
      <c r="D17" s="263"/>
      <c r="E17" s="263"/>
      <c r="F17" s="263"/>
      <c r="G17" s="263"/>
      <c r="H17" s="263"/>
      <c r="I17" s="263"/>
      <c r="J17" s="263"/>
      <c r="K17" s="275"/>
      <c r="L17" s="275"/>
      <c r="M17" s="275"/>
      <c r="N17" s="275"/>
      <c r="O17" s="275"/>
      <c r="P17" s="275"/>
      <c r="Q17" s="275"/>
      <c r="R17" s="275"/>
      <c r="S17" s="275"/>
    </row>
    <row r="18" spans="1:23" ht="15.75">
      <c r="A18" s="264"/>
      <c r="B18" s="261" t="s">
        <v>503</v>
      </c>
      <c r="C18" s="261"/>
      <c r="D18" s="261"/>
      <c r="E18" s="261"/>
      <c r="F18" s="261"/>
      <c r="G18" s="261"/>
      <c r="H18" s="261"/>
      <c r="I18" s="261"/>
      <c r="J18" s="262"/>
      <c r="K18" s="260" t="s">
        <v>503</v>
      </c>
      <c r="L18" s="261"/>
      <c r="M18" s="261"/>
      <c r="N18" s="261"/>
      <c r="O18" s="261"/>
      <c r="P18" s="261"/>
      <c r="Q18" s="261"/>
      <c r="R18" s="261"/>
      <c r="S18" s="261"/>
      <c r="V18" s="285"/>
    </row>
    <row r="19" spans="1:23">
      <c r="A19" s="279" t="s">
        <v>498</v>
      </c>
      <c r="B19" s="282" t="s">
        <v>499</v>
      </c>
      <c r="C19" s="283"/>
      <c r="D19" s="283"/>
      <c r="E19" s="283"/>
      <c r="F19" s="283"/>
      <c r="G19" s="283"/>
      <c r="H19" s="283"/>
      <c r="I19" s="283"/>
      <c r="J19" s="284"/>
      <c r="K19" s="282" t="s">
        <v>500</v>
      </c>
      <c r="L19" s="283"/>
      <c r="M19" s="283"/>
      <c r="N19" s="283"/>
      <c r="O19" s="283"/>
      <c r="P19" s="283"/>
      <c r="Q19" s="283"/>
      <c r="R19" s="283"/>
      <c r="S19" s="284"/>
    </row>
    <row r="20" spans="1:23">
      <c r="A20" s="280"/>
      <c r="B20" s="282">
        <v>2022</v>
      </c>
      <c r="C20" s="284"/>
      <c r="D20" s="282">
        <v>2023</v>
      </c>
      <c r="E20" s="284"/>
      <c r="F20" s="282">
        <v>2024</v>
      </c>
      <c r="G20" s="284"/>
      <c r="H20" s="266">
        <v>2025</v>
      </c>
      <c r="I20" s="266">
        <v>2026</v>
      </c>
      <c r="J20" s="266">
        <v>2027</v>
      </c>
      <c r="K20" s="282">
        <v>2022</v>
      </c>
      <c r="L20" s="284"/>
      <c r="M20" s="282">
        <v>2023</v>
      </c>
      <c r="N20" s="284"/>
      <c r="O20" s="282">
        <v>2024</v>
      </c>
      <c r="P20" s="284"/>
      <c r="Q20" s="266">
        <v>2025</v>
      </c>
      <c r="R20" s="266">
        <v>2026</v>
      </c>
      <c r="S20" s="266">
        <v>2027</v>
      </c>
    </row>
    <row r="21" spans="1:23">
      <c r="A21" s="281"/>
      <c r="B21" s="266" t="s">
        <v>495</v>
      </c>
      <c r="C21" s="266" t="s">
        <v>501</v>
      </c>
      <c r="D21" s="266" t="s">
        <v>495</v>
      </c>
      <c r="E21" s="266" t="s">
        <v>501</v>
      </c>
      <c r="F21" s="266" t="s">
        <v>495</v>
      </c>
      <c r="G21" s="266" t="s">
        <v>502</v>
      </c>
      <c r="H21" s="266" t="s">
        <v>495</v>
      </c>
      <c r="I21" s="266" t="s">
        <v>495</v>
      </c>
      <c r="J21" s="266" t="s">
        <v>495</v>
      </c>
      <c r="K21" s="266" t="s">
        <v>495</v>
      </c>
      <c r="L21" s="266" t="s">
        <v>501</v>
      </c>
      <c r="M21" s="266" t="s">
        <v>495</v>
      </c>
      <c r="N21" s="266" t="s">
        <v>501</v>
      </c>
      <c r="O21" s="266" t="s">
        <v>495</v>
      </c>
      <c r="P21" s="266" t="s">
        <v>502</v>
      </c>
      <c r="Q21" s="266" t="s">
        <v>495</v>
      </c>
      <c r="R21" s="266" t="s">
        <v>495</v>
      </c>
      <c r="S21" s="266" t="s">
        <v>495</v>
      </c>
    </row>
    <row r="22" spans="1:23">
      <c r="A22" s="267" t="s">
        <v>490</v>
      </c>
      <c r="B22" s="268">
        <v>6953819</v>
      </c>
      <c r="C22" s="268">
        <v>5145403</v>
      </c>
      <c r="D22" s="268">
        <v>6487444</v>
      </c>
      <c r="E22" s="268">
        <v>5778955</v>
      </c>
      <c r="F22" s="268">
        <v>6032544</v>
      </c>
      <c r="G22" s="268">
        <v>2758263</v>
      </c>
      <c r="H22" s="268">
        <v>15932569</v>
      </c>
      <c r="I22" s="268">
        <v>16304460</v>
      </c>
      <c r="J22" s="268">
        <v>16679889</v>
      </c>
      <c r="K22" s="269">
        <v>0.04</v>
      </c>
      <c r="L22" s="269">
        <v>0.03</v>
      </c>
      <c r="M22" s="269">
        <v>0.03</v>
      </c>
      <c r="N22" s="269">
        <v>0.02</v>
      </c>
      <c r="O22" s="269">
        <v>0.03</v>
      </c>
      <c r="P22" s="269">
        <v>0.03</v>
      </c>
      <c r="Q22" s="269">
        <v>0.04</v>
      </c>
      <c r="R22" s="269">
        <v>0.04</v>
      </c>
      <c r="S22" s="269">
        <v>0.04</v>
      </c>
      <c r="T22" s="259">
        <f>SUM(C22,E22,F22)</f>
        <v>16956902</v>
      </c>
      <c r="U22" s="259">
        <f>SUM(H22:J22)</f>
        <v>48916918</v>
      </c>
      <c r="V22" s="259">
        <f>U22-T22</f>
        <v>31960016</v>
      </c>
      <c r="W22" s="49">
        <f>U22/T22-1</f>
        <v>1.8847791890287509</v>
      </c>
    </row>
    <row r="23" spans="1:23">
      <c r="A23" s="267" t="s">
        <v>491</v>
      </c>
      <c r="B23" s="268">
        <v>3458587</v>
      </c>
      <c r="C23" s="268">
        <v>3361445</v>
      </c>
      <c r="D23" s="268">
        <v>4314401</v>
      </c>
      <c r="E23" s="268">
        <v>3661333</v>
      </c>
      <c r="F23" s="268">
        <v>5168035</v>
      </c>
      <c r="G23" s="268">
        <v>1895308</v>
      </c>
      <c r="H23" s="268">
        <v>7736172</v>
      </c>
      <c r="I23" s="268">
        <v>7868045</v>
      </c>
      <c r="J23" s="268">
        <v>8813221</v>
      </c>
      <c r="K23" s="269">
        <v>0.02</v>
      </c>
      <c r="L23" s="269">
        <v>0.02</v>
      </c>
      <c r="M23" s="269">
        <v>0.02</v>
      </c>
      <c r="N23" s="269">
        <v>0.01</v>
      </c>
      <c r="O23" s="269">
        <v>0.02</v>
      </c>
      <c r="P23" s="269">
        <v>0.02</v>
      </c>
      <c r="Q23" s="269">
        <v>0.02</v>
      </c>
      <c r="R23" s="269">
        <v>0.02</v>
      </c>
      <c r="S23" s="269">
        <v>0.02</v>
      </c>
      <c r="T23" s="259">
        <f t="shared" ref="T23:T28" si="4">SUM(C23,E23,F23)</f>
        <v>12190813</v>
      </c>
      <c r="U23" s="259">
        <f t="shared" ref="U23:U28" si="5">SUM(H23:J23)</f>
        <v>24417438</v>
      </c>
      <c r="V23" s="259">
        <f t="shared" ref="V23:V28" si="6">U23-T23</f>
        <v>12226625</v>
      </c>
      <c r="W23" s="49">
        <f t="shared" ref="W23:W28" si="7">U23/T23-1</f>
        <v>1.0029376219617183</v>
      </c>
    </row>
    <row r="24" spans="1:23">
      <c r="A24" s="267" t="s">
        <v>492</v>
      </c>
      <c r="B24" s="268">
        <v>139455439</v>
      </c>
      <c r="C24" s="268">
        <v>115769846</v>
      </c>
      <c r="D24" s="268">
        <v>148313240</v>
      </c>
      <c r="E24" s="268">
        <v>191512625</v>
      </c>
      <c r="F24" s="268">
        <v>161379434</v>
      </c>
      <c r="G24" s="268">
        <v>82727390</v>
      </c>
      <c r="H24" s="268">
        <v>264001587</v>
      </c>
      <c r="I24" s="268">
        <v>296442410</v>
      </c>
      <c r="J24" s="268">
        <v>329082480</v>
      </c>
      <c r="K24" s="269">
        <v>0.74</v>
      </c>
      <c r="L24" s="269">
        <v>0.74</v>
      </c>
      <c r="M24" s="269">
        <v>0.74</v>
      </c>
      <c r="N24" s="269">
        <v>0.77</v>
      </c>
      <c r="O24" s="269">
        <v>0.74</v>
      </c>
      <c r="P24" s="269">
        <v>0.78</v>
      </c>
      <c r="Q24" s="269">
        <v>0.71</v>
      </c>
      <c r="R24" s="269">
        <v>0.72</v>
      </c>
      <c r="S24" s="269">
        <v>0.72</v>
      </c>
      <c r="T24" s="259">
        <f t="shared" si="4"/>
        <v>468661905</v>
      </c>
      <c r="U24" s="259">
        <f t="shared" si="5"/>
        <v>889526477</v>
      </c>
      <c r="V24" s="259">
        <f t="shared" si="6"/>
        <v>420864572</v>
      </c>
      <c r="W24" s="49">
        <f t="shared" si="7"/>
        <v>0.89801318927340601</v>
      </c>
    </row>
    <row r="25" spans="1:23">
      <c r="A25" s="267" t="s">
        <v>493</v>
      </c>
      <c r="B25" s="268">
        <v>28440443</v>
      </c>
      <c r="C25" s="268">
        <v>25643714</v>
      </c>
      <c r="D25" s="268">
        <v>32318030</v>
      </c>
      <c r="E25" s="268">
        <v>40027230</v>
      </c>
      <c r="F25" s="268">
        <v>35765387</v>
      </c>
      <c r="G25" s="268">
        <v>17153544</v>
      </c>
      <c r="H25" s="268">
        <v>62889389</v>
      </c>
      <c r="I25" s="268">
        <v>67587562</v>
      </c>
      <c r="J25" s="268">
        <v>73749488</v>
      </c>
      <c r="K25" s="269">
        <v>0.15</v>
      </c>
      <c r="L25" s="269">
        <v>0.16</v>
      </c>
      <c r="M25" s="269">
        <v>0.16</v>
      </c>
      <c r="N25" s="269">
        <v>0.16</v>
      </c>
      <c r="O25" s="269">
        <v>0.16</v>
      </c>
      <c r="P25" s="269">
        <v>0.16</v>
      </c>
      <c r="Q25" s="269">
        <v>0.17</v>
      </c>
      <c r="R25" s="269">
        <v>0.16</v>
      </c>
      <c r="S25" s="269">
        <v>0.16</v>
      </c>
      <c r="T25" s="259">
        <f t="shared" si="4"/>
        <v>101436331</v>
      </c>
      <c r="U25" s="259">
        <f t="shared" si="5"/>
        <v>204226439</v>
      </c>
      <c r="V25" s="259">
        <f t="shared" si="6"/>
        <v>102790108</v>
      </c>
      <c r="W25" s="49">
        <f t="shared" si="7"/>
        <v>1.0133460761706767</v>
      </c>
    </row>
    <row r="26" spans="1:23">
      <c r="A26" s="267" t="s">
        <v>494</v>
      </c>
      <c r="B26" s="268">
        <v>2363923</v>
      </c>
      <c r="C26" s="268">
        <v>2025482</v>
      </c>
      <c r="D26" s="268">
        <v>2431706</v>
      </c>
      <c r="E26" s="268">
        <v>2550980</v>
      </c>
      <c r="F26" s="268">
        <v>2698863</v>
      </c>
      <c r="G26" s="268">
        <v>923436</v>
      </c>
      <c r="H26" s="268">
        <v>2211697</v>
      </c>
      <c r="I26" s="268">
        <v>2530046</v>
      </c>
      <c r="J26" s="268">
        <v>2427578</v>
      </c>
      <c r="K26" s="269">
        <v>0.01</v>
      </c>
      <c r="L26" s="269">
        <v>0.01</v>
      </c>
      <c r="M26" s="269">
        <v>0.01</v>
      </c>
      <c r="N26" s="269">
        <v>0.01</v>
      </c>
      <c r="O26" s="269">
        <v>0.01</v>
      </c>
      <c r="P26" s="269">
        <v>0.01</v>
      </c>
      <c r="Q26" s="269">
        <v>0.01</v>
      </c>
      <c r="R26" s="269">
        <v>0.01</v>
      </c>
      <c r="S26" s="269">
        <v>0.01</v>
      </c>
      <c r="T26" s="259">
        <f t="shared" si="4"/>
        <v>7275325</v>
      </c>
      <c r="U26" s="259">
        <f t="shared" si="5"/>
        <v>7169321</v>
      </c>
      <c r="V26" s="259">
        <f t="shared" si="6"/>
        <v>-106004</v>
      </c>
      <c r="W26" s="49">
        <f t="shared" si="7"/>
        <v>-1.4570345654661421E-2</v>
      </c>
    </row>
    <row r="27" spans="1:23">
      <c r="A27" s="267" t="s">
        <v>488</v>
      </c>
      <c r="B27" s="270">
        <v>7174330</v>
      </c>
      <c r="C27" s="270">
        <v>3947681</v>
      </c>
      <c r="D27" s="270">
        <v>7693325</v>
      </c>
      <c r="E27" s="270">
        <v>3604763</v>
      </c>
      <c r="F27" s="270">
        <v>8394525</v>
      </c>
      <c r="G27" s="271" t="s">
        <v>496</v>
      </c>
      <c r="H27" s="270">
        <v>20463403</v>
      </c>
      <c r="I27" s="270">
        <v>22577949</v>
      </c>
      <c r="J27" s="270">
        <v>25083924</v>
      </c>
      <c r="K27" s="269">
        <v>0.04</v>
      </c>
      <c r="L27" s="269">
        <v>0.03</v>
      </c>
      <c r="M27" s="269">
        <v>0.04</v>
      </c>
      <c r="N27" s="269">
        <v>0.01</v>
      </c>
      <c r="O27" s="269">
        <v>0.04</v>
      </c>
      <c r="P27" s="269">
        <v>0</v>
      </c>
      <c r="Q27" s="269">
        <v>0.05</v>
      </c>
      <c r="R27" s="269">
        <v>0.05</v>
      </c>
      <c r="S27" s="269">
        <v>0.06</v>
      </c>
      <c r="T27" s="259">
        <f t="shared" si="4"/>
        <v>15946969</v>
      </c>
      <c r="U27" s="259">
        <f t="shared" si="5"/>
        <v>68125276</v>
      </c>
      <c r="V27" s="259">
        <f t="shared" si="6"/>
        <v>52178307</v>
      </c>
      <c r="W27" s="49">
        <f t="shared" si="7"/>
        <v>3.2719889905097324</v>
      </c>
    </row>
    <row r="28" spans="1:23">
      <c r="A28" s="272" t="s">
        <v>489</v>
      </c>
      <c r="B28" s="273">
        <v>187846540</v>
      </c>
      <c r="C28" s="273">
        <v>155893571</v>
      </c>
      <c r="D28" s="273">
        <v>201558147</v>
      </c>
      <c r="E28" s="273">
        <v>247135886</v>
      </c>
      <c r="F28" s="273">
        <v>219438789</v>
      </c>
      <c r="G28" s="273">
        <v>105457941</v>
      </c>
      <c r="H28" s="273">
        <v>373234818</v>
      </c>
      <c r="I28" s="273">
        <v>413310471</v>
      </c>
      <c r="J28" s="273">
        <v>455836580</v>
      </c>
      <c r="K28" s="274">
        <v>1</v>
      </c>
      <c r="L28" s="274">
        <v>1</v>
      </c>
      <c r="M28" s="274">
        <v>1</v>
      </c>
      <c r="N28" s="274">
        <v>1</v>
      </c>
      <c r="O28" s="274">
        <v>1</v>
      </c>
      <c r="P28" s="274">
        <v>1</v>
      </c>
      <c r="Q28" s="274">
        <v>1</v>
      </c>
      <c r="R28" s="274">
        <v>1</v>
      </c>
      <c r="S28" s="274">
        <v>1</v>
      </c>
      <c r="T28" s="259">
        <f t="shared" si="4"/>
        <v>622468246</v>
      </c>
      <c r="U28" s="259">
        <f t="shared" si="5"/>
        <v>1242381869</v>
      </c>
      <c r="V28" s="259">
        <f t="shared" si="6"/>
        <v>619913623</v>
      </c>
      <c r="W28" s="286">
        <f t="shared" si="7"/>
        <v>0.99589597860386281</v>
      </c>
    </row>
    <row r="29" spans="1:23">
      <c r="A29" s="275"/>
      <c r="B29" s="263"/>
      <c r="C29" s="263"/>
      <c r="D29" s="263"/>
      <c r="E29" s="263"/>
      <c r="F29" s="263"/>
      <c r="G29" s="263"/>
      <c r="H29" s="263"/>
      <c r="I29" s="263"/>
      <c r="J29" s="263"/>
      <c r="K29" s="275"/>
      <c r="L29" s="275"/>
      <c r="M29" s="275"/>
      <c r="N29" s="275"/>
      <c r="O29" s="275"/>
      <c r="P29" s="275"/>
      <c r="Q29" s="275"/>
      <c r="R29" s="275"/>
      <c r="S29" s="275"/>
    </row>
    <row r="30" spans="1:23" ht="15.75">
      <c r="A30" s="264"/>
      <c r="B30" s="261" t="s">
        <v>504</v>
      </c>
      <c r="C30" s="261"/>
      <c r="D30" s="261"/>
      <c r="E30" s="261"/>
      <c r="F30" s="261"/>
      <c r="G30" s="261"/>
      <c r="H30" s="261"/>
      <c r="I30" s="261"/>
      <c r="J30" s="262"/>
      <c r="K30" s="260" t="s">
        <v>504</v>
      </c>
      <c r="L30" s="261"/>
      <c r="M30" s="261"/>
      <c r="N30" s="261"/>
      <c r="O30" s="261"/>
      <c r="P30" s="261"/>
      <c r="Q30" s="261"/>
      <c r="R30" s="261"/>
      <c r="S30" s="261"/>
    </row>
    <row r="31" spans="1:23">
      <c r="A31" s="279" t="s">
        <v>498</v>
      </c>
      <c r="B31" s="282" t="s">
        <v>499</v>
      </c>
      <c r="C31" s="283"/>
      <c r="D31" s="283"/>
      <c r="E31" s="283"/>
      <c r="F31" s="283"/>
      <c r="G31" s="283"/>
      <c r="H31" s="283"/>
      <c r="I31" s="283"/>
      <c r="J31" s="284"/>
      <c r="K31" s="282" t="s">
        <v>500</v>
      </c>
      <c r="L31" s="283"/>
      <c r="M31" s="283"/>
      <c r="N31" s="283"/>
      <c r="O31" s="283"/>
      <c r="P31" s="283"/>
      <c r="Q31" s="283"/>
      <c r="R31" s="283"/>
      <c r="S31" s="284"/>
    </row>
    <row r="32" spans="1:23">
      <c r="A32" s="280"/>
      <c r="B32" s="282">
        <v>2022</v>
      </c>
      <c r="C32" s="284"/>
      <c r="D32" s="282">
        <v>2023</v>
      </c>
      <c r="E32" s="284"/>
      <c r="F32" s="282">
        <v>2024</v>
      </c>
      <c r="G32" s="284"/>
      <c r="H32" s="266">
        <v>2025</v>
      </c>
      <c r="I32" s="266">
        <v>2026</v>
      </c>
      <c r="J32" s="266">
        <v>2027</v>
      </c>
      <c r="K32" s="282">
        <v>2022</v>
      </c>
      <c r="L32" s="284"/>
      <c r="M32" s="282">
        <v>2023</v>
      </c>
      <c r="N32" s="284"/>
      <c r="O32" s="282">
        <v>2024</v>
      </c>
      <c r="P32" s="284"/>
      <c r="Q32" s="266">
        <v>2025</v>
      </c>
      <c r="R32" s="266">
        <v>2026</v>
      </c>
      <c r="S32" s="266">
        <v>2027</v>
      </c>
    </row>
    <row r="33" spans="1:23" ht="15" customHeight="1">
      <c r="A33" s="281"/>
      <c r="B33" s="266" t="s">
        <v>495</v>
      </c>
      <c r="C33" s="266" t="s">
        <v>501</v>
      </c>
      <c r="D33" s="266" t="s">
        <v>495</v>
      </c>
      <c r="E33" s="266" t="s">
        <v>501</v>
      </c>
      <c r="F33" s="266" t="s">
        <v>495</v>
      </c>
      <c r="G33" s="266" t="s">
        <v>502</v>
      </c>
      <c r="H33" s="266" t="s">
        <v>495</v>
      </c>
      <c r="I33" s="266" t="s">
        <v>495</v>
      </c>
      <c r="J33" s="266" t="s">
        <v>495</v>
      </c>
      <c r="K33" s="266" t="s">
        <v>495</v>
      </c>
      <c r="L33" s="266" t="s">
        <v>501</v>
      </c>
      <c r="M33" s="266" t="s">
        <v>495</v>
      </c>
      <c r="N33" s="266" t="s">
        <v>501</v>
      </c>
      <c r="O33" s="266" t="s">
        <v>495</v>
      </c>
      <c r="P33" s="266" t="s">
        <v>502</v>
      </c>
      <c r="Q33" s="266" t="s">
        <v>495</v>
      </c>
      <c r="R33" s="266" t="s">
        <v>495</v>
      </c>
      <c r="S33" s="266" t="s">
        <v>495</v>
      </c>
    </row>
    <row r="34" spans="1:23">
      <c r="A34" s="267" t="s">
        <v>490</v>
      </c>
      <c r="B34" s="268">
        <v>16164082</v>
      </c>
      <c r="C34" s="268">
        <v>14469887</v>
      </c>
      <c r="D34" s="268">
        <v>18847967</v>
      </c>
      <c r="E34" s="268">
        <v>14319615</v>
      </c>
      <c r="F34" s="268">
        <v>20262121</v>
      </c>
      <c r="G34" s="268">
        <v>9053147</v>
      </c>
      <c r="H34" s="268">
        <v>19957555</v>
      </c>
      <c r="I34" s="268">
        <v>20125315</v>
      </c>
      <c r="J34" s="268">
        <v>20058965</v>
      </c>
      <c r="K34" s="269">
        <v>0.04</v>
      </c>
      <c r="L34" s="269">
        <v>0.05</v>
      </c>
      <c r="M34" s="269">
        <v>0.04</v>
      </c>
      <c r="N34" s="269">
        <v>0.05</v>
      </c>
      <c r="O34" s="269">
        <v>0.03</v>
      </c>
      <c r="P34" s="269">
        <v>0.09</v>
      </c>
      <c r="Q34" s="269">
        <v>0.06</v>
      </c>
      <c r="R34" s="269">
        <v>0.05</v>
      </c>
      <c r="S34" s="269">
        <v>0.05</v>
      </c>
      <c r="T34" s="259">
        <f>SUM(C34,E34,F34)</f>
        <v>49051623</v>
      </c>
      <c r="U34" s="259">
        <f>SUM(H34:J34)</f>
        <v>60141835</v>
      </c>
      <c r="V34" s="259">
        <f>U34-T34</f>
        <v>11090212</v>
      </c>
      <c r="W34" s="49">
        <f>U34/T34-1</f>
        <v>0.22609266160265484</v>
      </c>
    </row>
    <row r="35" spans="1:23">
      <c r="A35" s="267" t="s">
        <v>491</v>
      </c>
      <c r="B35" s="268">
        <v>8544624</v>
      </c>
      <c r="C35" s="268">
        <v>13041535</v>
      </c>
      <c r="D35" s="268">
        <v>8580167</v>
      </c>
      <c r="E35" s="268">
        <v>17156505</v>
      </c>
      <c r="F35" s="268">
        <v>8602571</v>
      </c>
      <c r="G35" s="268">
        <v>8726403</v>
      </c>
      <c r="H35" s="268">
        <v>20552002</v>
      </c>
      <c r="I35" s="268">
        <v>20619466</v>
      </c>
      <c r="J35" s="268">
        <v>20577382</v>
      </c>
      <c r="K35" s="269">
        <v>0.02</v>
      </c>
      <c r="L35" s="269">
        <v>0.05</v>
      </c>
      <c r="M35" s="269">
        <v>0.02</v>
      </c>
      <c r="N35" s="269">
        <v>7.0000000000000007E-2</v>
      </c>
      <c r="O35" s="269">
        <v>0.01</v>
      </c>
      <c r="P35" s="269">
        <v>0.08</v>
      </c>
      <c r="Q35" s="269">
        <v>0.06</v>
      </c>
      <c r="R35" s="269">
        <v>0.05</v>
      </c>
      <c r="S35" s="269">
        <v>0.05</v>
      </c>
      <c r="T35" s="259">
        <f t="shared" ref="T35:T40" si="8">SUM(C35,E35,F35)</f>
        <v>38800611</v>
      </c>
      <c r="U35" s="259">
        <f t="shared" ref="U35:U40" si="9">SUM(H35:J35)</f>
        <v>61748850</v>
      </c>
      <c r="V35" s="259">
        <f t="shared" ref="V35:V40" si="10">U35-T35</f>
        <v>22948239</v>
      </c>
      <c r="W35" s="49">
        <f t="shared" ref="W35:W40" si="11">U35/T35-1</f>
        <v>0.59144014510493137</v>
      </c>
    </row>
    <row r="36" spans="1:23">
      <c r="A36" s="267" t="s">
        <v>492</v>
      </c>
      <c r="B36" s="268">
        <v>289604760</v>
      </c>
      <c r="C36" s="268">
        <v>187971645</v>
      </c>
      <c r="D36" s="268">
        <v>362272848</v>
      </c>
      <c r="E36" s="268">
        <v>158343904</v>
      </c>
      <c r="F36" s="268">
        <v>517839803</v>
      </c>
      <c r="G36" s="268">
        <v>56111121</v>
      </c>
      <c r="H36" s="268">
        <v>185711250</v>
      </c>
      <c r="I36" s="268">
        <v>222779986</v>
      </c>
      <c r="J36" s="268">
        <v>228501344</v>
      </c>
      <c r="K36" s="269">
        <v>0.69</v>
      </c>
      <c r="L36" s="269">
        <v>0.67</v>
      </c>
      <c r="M36" s="269">
        <v>0.73</v>
      </c>
      <c r="N36" s="269">
        <v>0.61</v>
      </c>
      <c r="O36" s="269">
        <v>0.79</v>
      </c>
      <c r="P36" s="269">
        <v>0.55000000000000004</v>
      </c>
      <c r="Q36" s="269">
        <v>0.52</v>
      </c>
      <c r="R36" s="269">
        <v>0.56000000000000005</v>
      </c>
      <c r="S36" s="269">
        <v>0.56000000000000005</v>
      </c>
      <c r="T36" s="259">
        <f t="shared" si="8"/>
        <v>864155352</v>
      </c>
      <c r="U36" s="259">
        <f t="shared" si="9"/>
        <v>636992580</v>
      </c>
      <c r="V36" s="259">
        <f t="shared" si="10"/>
        <v>-227162772</v>
      </c>
      <c r="W36" s="49">
        <f t="shared" si="11"/>
        <v>-0.26287260904449039</v>
      </c>
    </row>
    <row r="37" spans="1:23">
      <c r="A37" s="267" t="s">
        <v>493</v>
      </c>
      <c r="B37" s="268">
        <v>76615996</v>
      </c>
      <c r="C37" s="268">
        <v>52452608</v>
      </c>
      <c r="D37" s="268">
        <v>75977395</v>
      </c>
      <c r="E37" s="268">
        <v>56835605</v>
      </c>
      <c r="F37" s="268">
        <v>76544296</v>
      </c>
      <c r="G37" s="268">
        <v>25564224</v>
      </c>
      <c r="H37" s="268">
        <v>109613716</v>
      </c>
      <c r="I37" s="268">
        <v>109424028</v>
      </c>
      <c r="J37" s="268">
        <v>111579299</v>
      </c>
      <c r="K37" s="269">
        <v>0.18</v>
      </c>
      <c r="L37" s="269">
        <v>0.19</v>
      </c>
      <c r="M37" s="269">
        <v>0.15</v>
      </c>
      <c r="N37" s="269">
        <v>0.22</v>
      </c>
      <c r="O37" s="269">
        <v>0.12</v>
      </c>
      <c r="P37" s="269">
        <v>0.25</v>
      </c>
      <c r="Q37" s="269">
        <v>0.31</v>
      </c>
      <c r="R37" s="269">
        <v>0.27</v>
      </c>
      <c r="S37" s="269">
        <v>0.27</v>
      </c>
      <c r="T37" s="259">
        <f t="shared" si="8"/>
        <v>185832509</v>
      </c>
      <c r="U37" s="259">
        <f t="shared" si="9"/>
        <v>330617043</v>
      </c>
      <c r="V37" s="259">
        <f t="shared" si="10"/>
        <v>144784534</v>
      </c>
      <c r="W37" s="49">
        <f t="shared" si="11"/>
        <v>0.77911305604769088</v>
      </c>
    </row>
    <row r="38" spans="1:23">
      <c r="A38" s="267" t="s">
        <v>494</v>
      </c>
      <c r="B38" s="268">
        <v>9423617</v>
      </c>
      <c r="C38" s="268">
        <v>8306884</v>
      </c>
      <c r="D38" s="268">
        <v>9766774</v>
      </c>
      <c r="E38" s="268">
        <v>11086371</v>
      </c>
      <c r="F38" s="268">
        <v>10622755</v>
      </c>
      <c r="G38" s="268">
        <v>3310521</v>
      </c>
      <c r="H38" s="268">
        <v>10358627</v>
      </c>
      <c r="I38" s="268">
        <v>11902855</v>
      </c>
      <c r="J38" s="268">
        <v>11367307</v>
      </c>
      <c r="K38" s="269">
        <v>0.02</v>
      </c>
      <c r="L38" s="269">
        <v>0.03</v>
      </c>
      <c r="M38" s="269">
        <v>0.02</v>
      </c>
      <c r="N38" s="269">
        <v>0.04</v>
      </c>
      <c r="O38" s="269">
        <v>0.02</v>
      </c>
      <c r="P38" s="269">
        <v>0.03</v>
      </c>
      <c r="Q38" s="269">
        <v>0.03</v>
      </c>
      <c r="R38" s="269">
        <v>0.03</v>
      </c>
      <c r="S38" s="269">
        <v>0.03</v>
      </c>
      <c r="T38" s="259">
        <f t="shared" si="8"/>
        <v>30016010</v>
      </c>
      <c r="U38" s="259">
        <f t="shared" si="9"/>
        <v>33628789</v>
      </c>
      <c r="V38" s="259">
        <f t="shared" si="10"/>
        <v>3612779</v>
      </c>
      <c r="W38" s="49">
        <f t="shared" si="11"/>
        <v>0.12036173362149061</v>
      </c>
    </row>
    <row r="39" spans="1:23">
      <c r="A39" s="267" t="s">
        <v>488</v>
      </c>
      <c r="B39" s="270">
        <v>18628319</v>
      </c>
      <c r="C39" s="270">
        <v>5148319</v>
      </c>
      <c r="D39" s="270">
        <v>19627515</v>
      </c>
      <c r="E39" s="270">
        <v>3491292</v>
      </c>
      <c r="F39" s="270">
        <v>23827435</v>
      </c>
      <c r="G39" s="271" t="s">
        <v>496</v>
      </c>
      <c r="H39" s="270">
        <v>12710278</v>
      </c>
      <c r="I39" s="270">
        <v>13645862</v>
      </c>
      <c r="J39" s="270">
        <v>13665486</v>
      </c>
      <c r="K39" s="269">
        <v>0.04</v>
      </c>
      <c r="L39" s="269">
        <v>0.02</v>
      </c>
      <c r="M39" s="269">
        <v>0.04</v>
      </c>
      <c r="N39" s="269">
        <v>0.01</v>
      </c>
      <c r="O39" s="269">
        <v>0.04</v>
      </c>
      <c r="P39" s="269">
        <v>0</v>
      </c>
      <c r="Q39" s="269">
        <v>0.04</v>
      </c>
      <c r="R39" s="269">
        <v>0.03</v>
      </c>
      <c r="S39" s="269">
        <v>0.03</v>
      </c>
      <c r="T39" s="259">
        <f t="shared" si="8"/>
        <v>32467046</v>
      </c>
      <c r="U39" s="259">
        <f t="shared" si="9"/>
        <v>40021626</v>
      </c>
      <c r="V39" s="259">
        <f t="shared" si="10"/>
        <v>7554580</v>
      </c>
      <c r="W39" s="49">
        <f t="shared" si="11"/>
        <v>0.23268455035915503</v>
      </c>
    </row>
    <row r="40" spans="1:23">
      <c r="A40" s="272" t="s">
        <v>489</v>
      </c>
      <c r="B40" s="273">
        <v>418981399</v>
      </c>
      <c r="C40" s="273">
        <v>281390878</v>
      </c>
      <c r="D40" s="273">
        <v>495072665</v>
      </c>
      <c r="E40" s="273">
        <v>261233293</v>
      </c>
      <c r="F40" s="273">
        <v>657698980</v>
      </c>
      <c r="G40" s="273">
        <v>102765417</v>
      </c>
      <c r="H40" s="273">
        <v>358903428</v>
      </c>
      <c r="I40" s="273">
        <v>398497513</v>
      </c>
      <c r="J40" s="273">
        <v>405749784</v>
      </c>
      <c r="K40" s="274">
        <v>1</v>
      </c>
      <c r="L40" s="274">
        <v>1</v>
      </c>
      <c r="M40" s="274">
        <v>1</v>
      </c>
      <c r="N40" s="274">
        <v>1</v>
      </c>
      <c r="O40" s="274">
        <v>1</v>
      </c>
      <c r="P40" s="274">
        <v>1</v>
      </c>
      <c r="Q40" s="274">
        <v>1</v>
      </c>
      <c r="R40" s="274">
        <v>1</v>
      </c>
      <c r="S40" s="274">
        <v>1</v>
      </c>
      <c r="T40" s="259">
        <f t="shared" si="8"/>
        <v>1200323151</v>
      </c>
      <c r="U40" s="259">
        <f t="shared" si="9"/>
        <v>1163150725</v>
      </c>
      <c r="V40" s="259">
        <f t="shared" si="10"/>
        <v>-37172426</v>
      </c>
      <c r="W40" s="49">
        <f t="shared" si="11"/>
        <v>-3.0968682032860295E-2</v>
      </c>
    </row>
    <row r="41" spans="1:23">
      <c r="A41" s="275"/>
      <c r="B41" s="263"/>
      <c r="C41" s="263"/>
      <c r="D41" s="263"/>
      <c r="E41" s="263"/>
      <c r="F41" s="263"/>
      <c r="G41" s="263"/>
      <c r="H41" s="263"/>
      <c r="I41" s="263"/>
      <c r="J41" s="263"/>
      <c r="K41" s="275"/>
      <c r="L41" s="275"/>
      <c r="M41" s="275"/>
      <c r="N41" s="275"/>
      <c r="O41" s="275"/>
      <c r="P41" s="275"/>
      <c r="Q41" s="275"/>
      <c r="R41" s="275"/>
      <c r="S41" s="275"/>
    </row>
    <row r="42" spans="1:23" ht="14.25" customHeight="1">
      <c r="A42" s="264"/>
      <c r="B42" s="261" t="s">
        <v>505</v>
      </c>
      <c r="C42" s="261"/>
      <c r="D42" s="261"/>
      <c r="E42" s="261"/>
      <c r="F42" s="261"/>
      <c r="G42" s="261"/>
      <c r="H42" s="261"/>
      <c r="I42" s="261"/>
      <c r="J42" s="262"/>
      <c r="K42" s="260" t="s">
        <v>505</v>
      </c>
      <c r="L42" s="261"/>
      <c r="M42" s="261"/>
      <c r="N42" s="261"/>
      <c r="O42" s="261"/>
      <c r="P42" s="261"/>
      <c r="Q42" s="261"/>
      <c r="R42" s="261"/>
      <c r="S42" s="261"/>
    </row>
    <row r="43" spans="1:23" ht="14.25" customHeight="1">
      <c r="A43" s="279" t="s">
        <v>498</v>
      </c>
      <c r="B43" s="282" t="s">
        <v>499</v>
      </c>
      <c r="C43" s="283"/>
      <c r="D43" s="283"/>
      <c r="E43" s="283"/>
      <c r="F43" s="283"/>
      <c r="G43" s="283"/>
      <c r="H43" s="283"/>
      <c r="I43" s="283"/>
      <c r="J43" s="284"/>
      <c r="K43" s="282" t="s">
        <v>500</v>
      </c>
      <c r="L43" s="283"/>
      <c r="M43" s="283"/>
      <c r="N43" s="283"/>
      <c r="O43" s="283"/>
      <c r="P43" s="283"/>
      <c r="Q43" s="283"/>
      <c r="R43" s="283"/>
      <c r="S43" s="284"/>
    </row>
    <row r="44" spans="1:23">
      <c r="A44" s="280"/>
      <c r="B44" s="282">
        <v>2022</v>
      </c>
      <c r="C44" s="284"/>
      <c r="D44" s="282">
        <v>2023</v>
      </c>
      <c r="E44" s="284"/>
      <c r="F44" s="282">
        <v>2024</v>
      </c>
      <c r="G44" s="284"/>
      <c r="H44" s="266">
        <v>2025</v>
      </c>
      <c r="I44" s="266">
        <v>2026</v>
      </c>
      <c r="J44" s="266">
        <v>2027</v>
      </c>
      <c r="K44" s="282">
        <v>2022</v>
      </c>
      <c r="L44" s="284"/>
      <c r="M44" s="282">
        <v>2023</v>
      </c>
      <c r="N44" s="284"/>
      <c r="O44" s="282">
        <v>2024</v>
      </c>
      <c r="P44" s="284"/>
      <c r="Q44" s="266">
        <v>2025</v>
      </c>
      <c r="R44" s="266">
        <v>2026</v>
      </c>
      <c r="S44" s="266">
        <v>2027</v>
      </c>
    </row>
    <row r="45" spans="1:23">
      <c r="A45" s="281"/>
      <c r="B45" s="266" t="s">
        <v>495</v>
      </c>
      <c r="C45" s="266" t="s">
        <v>501</v>
      </c>
      <c r="D45" s="266" t="s">
        <v>495</v>
      </c>
      <c r="E45" s="266" t="s">
        <v>501</v>
      </c>
      <c r="F45" s="266" t="s">
        <v>495</v>
      </c>
      <c r="G45" s="266" t="s">
        <v>502</v>
      </c>
      <c r="H45" s="266" t="s">
        <v>495</v>
      </c>
      <c r="I45" s="266" t="s">
        <v>495</v>
      </c>
      <c r="J45" s="266" t="s">
        <v>495</v>
      </c>
      <c r="K45" s="266" t="s">
        <v>495</v>
      </c>
      <c r="L45" s="266" t="s">
        <v>501</v>
      </c>
      <c r="M45" s="266" t="s">
        <v>495</v>
      </c>
      <c r="N45" s="266" t="s">
        <v>501</v>
      </c>
      <c r="O45" s="266" t="s">
        <v>495</v>
      </c>
      <c r="P45" s="266" t="s">
        <v>502</v>
      </c>
      <c r="Q45" s="266" t="s">
        <v>495</v>
      </c>
      <c r="R45" s="266" t="s">
        <v>495</v>
      </c>
      <c r="S45" s="266" t="s">
        <v>495</v>
      </c>
    </row>
    <row r="46" spans="1:23" ht="16.5" customHeight="1">
      <c r="A46" s="267" t="s">
        <v>490</v>
      </c>
      <c r="B46" s="268">
        <v>45469150</v>
      </c>
      <c r="C46" s="268">
        <v>40763775</v>
      </c>
      <c r="D46" s="268">
        <v>48396738</v>
      </c>
      <c r="E46" s="268">
        <v>42097711</v>
      </c>
      <c r="F46" s="268">
        <v>50173668</v>
      </c>
      <c r="G46" s="268">
        <v>24794305</v>
      </c>
      <c r="H46" s="268">
        <v>83102355</v>
      </c>
      <c r="I46" s="268">
        <v>81781932</v>
      </c>
      <c r="J46" s="268">
        <v>83739494</v>
      </c>
      <c r="K46" s="269">
        <v>0.04</v>
      </c>
      <c r="L46" s="269">
        <v>0.04</v>
      </c>
      <c r="M46" s="269">
        <v>0.04</v>
      </c>
      <c r="N46" s="269">
        <v>0.04</v>
      </c>
      <c r="O46" s="269">
        <v>0.03</v>
      </c>
      <c r="P46" s="269">
        <v>0.05</v>
      </c>
      <c r="Q46" s="269">
        <v>0.05</v>
      </c>
      <c r="R46" s="269">
        <v>0.05</v>
      </c>
      <c r="S46" s="269">
        <v>0.04</v>
      </c>
      <c r="T46" s="259">
        <f>SUM(C46,E46,F46)</f>
        <v>133035154</v>
      </c>
      <c r="U46" s="259">
        <f>SUM(H46:J46)</f>
        <v>248623781</v>
      </c>
      <c r="V46" s="259">
        <f>U46-T46</f>
        <v>115588627</v>
      </c>
      <c r="W46" s="49">
        <f>U46/T46-1</f>
        <v>0.86885776822568261</v>
      </c>
    </row>
    <row r="47" spans="1:23">
      <c r="A47" s="267" t="s">
        <v>491</v>
      </c>
      <c r="B47" s="268">
        <v>33490741</v>
      </c>
      <c r="C47" s="268">
        <v>37936025</v>
      </c>
      <c r="D47" s="268">
        <v>35985430</v>
      </c>
      <c r="E47" s="268">
        <v>44056080</v>
      </c>
      <c r="F47" s="268">
        <v>37674116</v>
      </c>
      <c r="G47" s="268">
        <v>22024046</v>
      </c>
      <c r="H47" s="268">
        <v>66809448</v>
      </c>
      <c r="I47" s="268">
        <v>66269925</v>
      </c>
      <c r="J47" s="268">
        <v>68016180</v>
      </c>
      <c r="K47" s="269">
        <v>0.03</v>
      </c>
      <c r="L47" s="269">
        <v>0.04</v>
      </c>
      <c r="M47" s="269">
        <v>0.03</v>
      </c>
      <c r="N47" s="269">
        <v>0.04</v>
      </c>
      <c r="O47" s="269">
        <v>0.02</v>
      </c>
      <c r="P47" s="269">
        <v>0.04</v>
      </c>
      <c r="Q47" s="269">
        <v>0.04</v>
      </c>
      <c r="R47" s="269">
        <v>0.04</v>
      </c>
      <c r="S47" s="269">
        <v>0.04</v>
      </c>
      <c r="T47" s="259">
        <f t="shared" ref="T47:T52" si="12">SUM(C47,E47,F47)</f>
        <v>119666221</v>
      </c>
      <c r="U47" s="259">
        <f t="shared" ref="U47:U52" si="13">SUM(H47:J47)</f>
        <v>201095553</v>
      </c>
      <c r="V47" s="259">
        <f t="shared" ref="V47:V52" si="14">U47-T47</f>
        <v>81429332</v>
      </c>
      <c r="W47" s="49">
        <f t="shared" ref="W47:W52" si="15">U47/T47-1</f>
        <v>0.6804704896630771</v>
      </c>
    </row>
    <row r="48" spans="1:23">
      <c r="A48" s="267" t="s">
        <v>492</v>
      </c>
      <c r="B48" s="268">
        <v>799099747</v>
      </c>
      <c r="C48" s="268">
        <v>668582510</v>
      </c>
      <c r="D48" s="268">
        <v>956008272</v>
      </c>
      <c r="E48" s="268">
        <v>834199237</v>
      </c>
      <c r="F48" s="268">
        <v>1238935116</v>
      </c>
      <c r="G48" s="268">
        <v>360179362</v>
      </c>
      <c r="H48" s="268">
        <v>1011631746</v>
      </c>
      <c r="I48" s="268">
        <v>1141983215</v>
      </c>
      <c r="J48" s="268">
        <v>1282896678</v>
      </c>
      <c r="K48" s="269">
        <v>0.7</v>
      </c>
      <c r="L48" s="269">
        <v>0.71</v>
      </c>
      <c r="M48" s="269">
        <v>0.72</v>
      </c>
      <c r="N48" s="269">
        <v>0.73</v>
      </c>
      <c r="O48" s="269">
        <v>0.76</v>
      </c>
      <c r="P48" s="269">
        <v>0.73</v>
      </c>
      <c r="Q48" s="269">
        <v>0.64</v>
      </c>
      <c r="R48" s="269">
        <v>0.66</v>
      </c>
      <c r="S48" s="269">
        <v>0.68</v>
      </c>
      <c r="T48" s="259">
        <f t="shared" si="12"/>
        <v>2741716863</v>
      </c>
      <c r="U48" s="259">
        <f t="shared" si="13"/>
        <v>3436511639</v>
      </c>
      <c r="V48" s="259">
        <f t="shared" si="14"/>
        <v>694794776</v>
      </c>
      <c r="W48" s="49">
        <f t="shared" si="15"/>
        <v>0.25341594727609906</v>
      </c>
    </row>
    <row r="49" spans="1:23">
      <c r="A49" s="267" t="s">
        <v>493</v>
      </c>
      <c r="B49" s="268">
        <v>204768880</v>
      </c>
      <c r="C49" s="268">
        <v>156609527</v>
      </c>
      <c r="D49" s="268">
        <v>211297039</v>
      </c>
      <c r="E49" s="268">
        <v>187074310</v>
      </c>
      <c r="F49" s="268">
        <v>220628622</v>
      </c>
      <c r="G49" s="268">
        <v>78595520</v>
      </c>
      <c r="H49" s="268">
        <v>340168038</v>
      </c>
      <c r="I49" s="268">
        <v>341807372</v>
      </c>
      <c r="J49" s="268">
        <v>358218019</v>
      </c>
      <c r="K49" s="269">
        <v>0.18</v>
      </c>
      <c r="L49" s="269">
        <v>0.17</v>
      </c>
      <c r="M49" s="269">
        <v>0.16</v>
      </c>
      <c r="N49" s="269">
        <v>0.16</v>
      </c>
      <c r="O49" s="269">
        <v>0.14000000000000001</v>
      </c>
      <c r="P49" s="269">
        <v>0.16</v>
      </c>
      <c r="Q49" s="269">
        <v>0.22</v>
      </c>
      <c r="R49" s="269">
        <v>0.2</v>
      </c>
      <c r="S49" s="269">
        <v>0.19</v>
      </c>
      <c r="T49" s="259">
        <f t="shared" si="12"/>
        <v>564312459</v>
      </c>
      <c r="U49" s="259">
        <f t="shared" si="13"/>
        <v>1040193429</v>
      </c>
      <c r="V49" s="259">
        <f t="shared" si="14"/>
        <v>475880970</v>
      </c>
      <c r="W49" s="49">
        <f t="shared" si="15"/>
        <v>0.84329339607935183</v>
      </c>
    </row>
    <row r="50" spans="1:23">
      <c r="A50" s="267" t="s">
        <v>494</v>
      </c>
      <c r="B50" s="268">
        <v>19961017</v>
      </c>
      <c r="C50" s="268">
        <v>17102333</v>
      </c>
      <c r="D50" s="268">
        <v>20581153</v>
      </c>
      <c r="E50" s="268">
        <v>22569411</v>
      </c>
      <c r="F50" s="268">
        <v>22675783</v>
      </c>
      <c r="G50" s="268">
        <v>7541436</v>
      </c>
      <c r="H50" s="268">
        <v>20878325</v>
      </c>
      <c r="I50" s="268">
        <v>23278305</v>
      </c>
      <c r="J50" s="268">
        <v>22471987</v>
      </c>
      <c r="K50" s="269">
        <v>0.02</v>
      </c>
      <c r="L50" s="269">
        <v>0.02</v>
      </c>
      <c r="M50" s="269">
        <v>0.02</v>
      </c>
      <c r="N50" s="269">
        <v>0.02</v>
      </c>
      <c r="O50" s="269">
        <v>0.01</v>
      </c>
      <c r="P50" s="269">
        <v>0.02</v>
      </c>
      <c r="Q50" s="269">
        <v>0.01</v>
      </c>
      <c r="R50" s="269">
        <v>0.01</v>
      </c>
      <c r="S50" s="269">
        <v>0.01</v>
      </c>
      <c r="T50" s="259">
        <f t="shared" si="12"/>
        <v>62347527</v>
      </c>
      <c r="U50" s="259">
        <f t="shared" si="13"/>
        <v>66628617</v>
      </c>
      <c r="V50" s="259">
        <f t="shared" si="14"/>
        <v>4281090</v>
      </c>
      <c r="W50" s="49">
        <f t="shared" si="15"/>
        <v>6.8664952821625214E-2</v>
      </c>
    </row>
    <row r="51" spans="1:23">
      <c r="A51" s="267" t="s">
        <v>488</v>
      </c>
      <c r="B51" s="270">
        <v>43750690</v>
      </c>
      <c r="C51" s="270">
        <v>16804972</v>
      </c>
      <c r="D51" s="270">
        <v>50624323</v>
      </c>
      <c r="E51" s="270">
        <v>12949922</v>
      </c>
      <c r="F51" s="270">
        <v>62351067</v>
      </c>
      <c r="G51" s="271" t="s">
        <v>496</v>
      </c>
      <c r="H51" s="270">
        <v>57623146</v>
      </c>
      <c r="I51" s="270">
        <v>64722597</v>
      </c>
      <c r="J51" s="270">
        <v>74322216</v>
      </c>
      <c r="K51" s="269">
        <v>0.04</v>
      </c>
      <c r="L51" s="269">
        <v>0.02</v>
      </c>
      <c r="M51" s="269">
        <v>0.04</v>
      </c>
      <c r="N51" s="269">
        <v>0.01</v>
      </c>
      <c r="O51" s="269">
        <v>0.04</v>
      </c>
      <c r="P51" s="269">
        <v>0</v>
      </c>
      <c r="Q51" s="269">
        <v>0.04</v>
      </c>
      <c r="R51" s="269">
        <v>0.04</v>
      </c>
      <c r="S51" s="269">
        <v>0.04</v>
      </c>
      <c r="T51" s="259">
        <f t="shared" si="12"/>
        <v>92105961</v>
      </c>
      <c r="U51" s="259">
        <f t="shared" si="13"/>
        <v>196667959</v>
      </c>
      <c r="V51" s="259">
        <f t="shared" si="14"/>
        <v>104561998</v>
      </c>
      <c r="W51" s="49">
        <f t="shared" si="15"/>
        <v>1.1352359485180337</v>
      </c>
    </row>
    <row r="52" spans="1:23">
      <c r="A52" s="272" t="s">
        <v>489</v>
      </c>
      <c r="B52" s="273">
        <v>1146540224</v>
      </c>
      <c r="C52" s="273">
        <v>937799141</v>
      </c>
      <c r="D52" s="273">
        <v>1322892956</v>
      </c>
      <c r="E52" s="273">
        <v>1142946672</v>
      </c>
      <c r="F52" s="273">
        <v>1632438371</v>
      </c>
      <c r="G52" s="273">
        <v>493134669</v>
      </c>
      <c r="H52" s="273">
        <v>1580213057</v>
      </c>
      <c r="I52" s="273">
        <v>1719843346</v>
      </c>
      <c r="J52" s="273">
        <v>1889664575</v>
      </c>
      <c r="K52" s="274">
        <v>1</v>
      </c>
      <c r="L52" s="274">
        <v>1</v>
      </c>
      <c r="M52" s="274">
        <v>1</v>
      </c>
      <c r="N52" s="274">
        <v>1</v>
      </c>
      <c r="O52" s="274">
        <v>1</v>
      </c>
      <c r="P52" s="274">
        <v>1</v>
      </c>
      <c r="Q52" s="274">
        <v>1</v>
      </c>
      <c r="R52" s="274">
        <v>1</v>
      </c>
      <c r="S52" s="274">
        <v>1</v>
      </c>
      <c r="T52" s="259">
        <f t="shared" si="12"/>
        <v>3713184184</v>
      </c>
      <c r="U52" s="259">
        <f t="shared" si="13"/>
        <v>5189720978</v>
      </c>
      <c r="V52" s="259">
        <f t="shared" si="14"/>
        <v>1476536794</v>
      </c>
      <c r="W52" s="49">
        <f t="shared" si="15"/>
        <v>0.39764706538457029</v>
      </c>
    </row>
    <row r="53" spans="1:23">
      <c r="A53" s="275"/>
      <c r="B53" s="263"/>
      <c r="C53" s="263"/>
      <c r="D53" s="263"/>
      <c r="E53" s="263"/>
      <c r="F53" s="263"/>
      <c r="G53" s="263"/>
      <c r="H53" s="263"/>
      <c r="I53" s="263"/>
      <c r="J53" s="263"/>
      <c r="K53" s="275"/>
      <c r="L53" s="275"/>
      <c r="M53" s="275"/>
      <c r="N53" s="275"/>
      <c r="O53" s="275"/>
      <c r="P53" s="275"/>
      <c r="Q53" s="275"/>
      <c r="R53" s="275"/>
      <c r="S53" s="275"/>
    </row>
    <row r="54" spans="1:23" ht="15" customHeight="1">
      <c r="A54" s="276"/>
      <c r="B54" s="277" t="s">
        <v>506</v>
      </c>
      <c r="C54" s="276"/>
      <c r="D54" s="276"/>
      <c r="E54" s="276"/>
      <c r="F54" s="276"/>
      <c r="G54" s="276"/>
      <c r="H54" s="276"/>
      <c r="I54" s="276"/>
      <c r="J54" s="276"/>
      <c r="K54" s="277" t="s">
        <v>506</v>
      </c>
      <c r="L54" s="276"/>
      <c r="M54" s="276"/>
      <c r="N54" s="276"/>
      <c r="O54" s="276"/>
      <c r="P54" s="276"/>
      <c r="Q54" s="276"/>
      <c r="R54" s="276"/>
      <c r="S54" s="276"/>
    </row>
    <row r="55" spans="1:23">
      <c r="A55" s="276"/>
      <c r="B55" s="263" t="s">
        <v>507</v>
      </c>
      <c r="C55" s="276"/>
      <c r="D55" s="276"/>
      <c r="E55" s="276"/>
      <c r="F55" s="276"/>
      <c r="G55" s="276"/>
      <c r="H55" s="276"/>
      <c r="I55" s="276"/>
      <c r="J55" s="276"/>
      <c r="K55" s="276" t="s">
        <v>507</v>
      </c>
      <c r="L55" s="276"/>
      <c r="M55" s="276"/>
      <c r="N55" s="276"/>
      <c r="O55" s="276"/>
      <c r="P55" s="276"/>
      <c r="Q55" s="276"/>
      <c r="R55" s="276"/>
      <c r="S55" s="276"/>
    </row>
    <row r="56" spans="1:23">
      <c r="A56" s="276"/>
      <c r="B56" s="276" t="s">
        <v>508</v>
      </c>
      <c r="C56" s="276"/>
      <c r="D56" s="276"/>
      <c r="E56" s="276"/>
      <c r="F56" s="276"/>
      <c r="G56" s="276"/>
      <c r="H56" s="276"/>
      <c r="I56" s="276"/>
      <c r="J56" s="276"/>
      <c r="K56" s="276" t="s">
        <v>508</v>
      </c>
      <c r="L56" s="276"/>
      <c r="M56" s="276"/>
      <c r="N56" s="276"/>
      <c r="O56" s="276"/>
      <c r="P56" s="276"/>
      <c r="Q56" s="276"/>
      <c r="R56" s="276"/>
      <c r="S56" s="276"/>
    </row>
    <row r="57" spans="1:23">
      <c r="A57" s="276"/>
      <c r="B57" s="276" t="s">
        <v>509</v>
      </c>
      <c r="C57" s="276"/>
      <c r="D57" s="276"/>
      <c r="E57" s="276"/>
      <c r="F57" s="276"/>
      <c r="G57" s="276"/>
      <c r="H57" s="276"/>
      <c r="I57" s="276"/>
      <c r="J57" s="276"/>
      <c r="K57" s="276" t="s">
        <v>509</v>
      </c>
      <c r="L57" s="276"/>
      <c r="M57" s="276"/>
      <c r="N57" s="276"/>
      <c r="O57" s="276"/>
      <c r="P57" s="276"/>
      <c r="Q57" s="276"/>
      <c r="R57" s="276"/>
      <c r="S57" s="276"/>
    </row>
    <row r="58" spans="1:23">
      <c r="A58" s="276"/>
      <c r="B58" s="276" t="s">
        <v>510</v>
      </c>
      <c r="C58" s="276"/>
      <c r="D58" s="276"/>
      <c r="E58" s="276"/>
      <c r="F58" s="276"/>
      <c r="G58" s="276"/>
      <c r="H58" s="276"/>
      <c r="I58" s="276"/>
      <c r="J58" s="276"/>
      <c r="K58" s="276" t="s">
        <v>510</v>
      </c>
      <c r="L58" s="276"/>
      <c r="M58" s="276"/>
      <c r="N58" s="276"/>
      <c r="O58" s="276"/>
      <c r="P58" s="276"/>
      <c r="Q58" s="276"/>
      <c r="R58" s="276"/>
      <c r="S58" s="276"/>
    </row>
    <row r="59" spans="1:23">
      <c r="A59" s="276"/>
      <c r="B59" s="276" t="s">
        <v>511</v>
      </c>
      <c r="C59" s="276"/>
      <c r="D59" s="276"/>
      <c r="E59" s="276"/>
      <c r="F59" s="276"/>
      <c r="G59" s="276"/>
      <c r="H59" s="276"/>
      <c r="I59" s="276"/>
      <c r="J59" s="276"/>
      <c r="K59" s="276" t="s">
        <v>511</v>
      </c>
      <c r="L59" s="276"/>
      <c r="M59" s="276"/>
      <c r="N59" s="276"/>
      <c r="O59" s="276"/>
      <c r="P59" s="276"/>
      <c r="Q59" s="276"/>
      <c r="R59" s="276"/>
      <c r="S59" s="276"/>
    </row>
    <row r="60" spans="1:23">
      <c r="A60" s="276"/>
      <c r="B60" s="278" t="s">
        <v>512</v>
      </c>
      <c r="C60" s="278"/>
      <c r="D60" s="278"/>
      <c r="E60" s="278"/>
      <c r="F60" s="278"/>
      <c r="G60" s="278"/>
      <c r="H60" s="278"/>
      <c r="I60" s="278"/>
      <c r="J60" s="278"/>
      <c r="K60" s="278" t="s">
        <v>512</v>
      </c>
      <c r="L60" s="278"/>
      <c r="M60" s="278"/>
      <c r="N60" s="278"/>
      <c r="O60" s="278"/>
      <c r="P60" s="278"/>
      <c r="Q60" s="278"/>
      <c r="R60" s="278"/>
      <c r="S60" s="278"/>
    </row>
    <row r="62" spans="1:23">
      <c r="B62" s="276" t="s">
        <v>522</v>
      </c>
      <c r="C62" t="s">
        <v>523</v>
      </c>
    </row>
    <row r="63" spans="1:23">
      <c r="A63" t="s">
        <v>114</v>
      </c>
      <c r="B63" s="83">
        <f>T16</f>
        <v>1890392787</v>
      </c>
      <c r="C63" s="83">
        <f>U16-500000000</f>
        <v>2284188385</v>
      </c>
      <c r="D63" s="259"/>
    </row>
    <row r="64" spans="1:23">
      <c r="A64" t="s">
        <v>519</v>
      </c>
      <c r="B64" s="83">
        <f>T28</f>
        <v>622468246</v>
      </c>
      <c r="C64" s="83">
        <f>U28</f>
        <v>1242381869</v>
      </c>
      <c r="D64" s="259"/>
    </row>
    <row r="65" spans="1:4">
      <c r="A65" t="s">
        <v>520</v>
      </c>
      <c r="B65" s="83">
        <f>T40</f>
        <v>1200323151</v>
      </c>
      <c r="C65" s="83">
        <f>U40</f>
        <v>1163150725</v>
      </c>
      <c r="D65" s="259"/>
    </row>
    <row r="66" spans="1:4">
      <c r="A66" t="s">
        <v>10</v>
      </c>
      <c r="B66" s="83">
        <f>T52</f>
        <v>3713184184</v>
      </c>
      <c r="C66" s="83">
        <f>SUM(C63:C65)</f>
        <v>4689720979</v>
      </c>
      <c r="D66" s="259"/>
    </row>
    <row r="68" spans="1:4">
      <c r="A68" t="s">
        <v>521</v>
      </c>
    </row>
  </sheetData>
  <mergeCells count="44">
    <mergeCell ref="B42:J42"/>
    <mergeCell ref="K42:S42"/>
    <mergeCell ref="A43:A45"/>
    <mergeCell ref="B43:J43"/>
    <mergeCell ref="K43:S43"/>
    <mergeCell ref="B44:C44"/>
    <mergeCell ref="D44:E44"/>
    <mergeCell ref="F44:G44"/>
    <mergeCell ref="K44:L44"/>
    <mergeCell ref="M44:N44"/>
    <mergeCell ref="O44:P44"/>
    <mergeCell ref="B30:J30"/>
    <mergeCell ref="K30:S30"/>
    <mergeCell ref="A31:A33"/>
    <mergeCell ref="B31:J31"/>
    <mergeCell ref="K31:S31"/>
    <mergeCell ref="B32:C32"/>
    <mergeCell ref="D32:E32"/>
    <mergeCell ref="F32:G32"/>
    <mergeCell ref="K32:L32"/>
    <mergeCell ref="M32:N32"/>
    <mergeCell ref="O32:P32"/>
    <mergeCell ref="B18:J18"/>
    <mergeCell ref="K18:S18"/>
    <mergeCell ref="A19:A21"/>
    <mergeCell ref="B19:J19"/>
    <mergeCell ref="K19:S19"/>
    <mergeCell ref="B20:C20"/>
    <mergeCell ref="D20:E20"/>
    <mergeCell ref="F20:G20"/>
    <mergeCell ref="K20:L20"/>
    <mergeCell ref="M20:N20"/>
    <mergeCell ref="O20:P20"/>
    <mergeCell ref="B6:J6"/>
    <mergeCell ref="K6:S6"/>
    <mergeCell ref="A7:A9"/>
    <mergeCell ref="B7:J7"/>
    <mergeCell ref="K7:S7"/>
    <mergeCell ref="B8:C8"/>
    <mergeCell ref="D8:E8"/>
    <mergeCell ref="F8:G8"/>
    <mergeCell ref="K8:L8"/>
    <mergeCell ref="M8:N8"/>
    <mergeCell ref="O8:P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407935E43F4149BD27F899D609E5A1" ma:contentTypeVersion="16" ma:contentTypeDescription="Create a new document." ma:contentTypeScope="" ma:versionID="0d98a4a85856e805976a4336218c1f78">
  <xsd:schema xmlns:xsd="http://www.w3.org/2001/XMLSchema" xmlns:xs="http://www.w3.org/2001/XMLSchema" xmlns:p="http://schemas.microsoft.com/office/2006/metadata/properties" xmlns:ns3="e857edc0-520f-4533-8f0e-2471aabd30f4" xmlns:ns4="f3cc449e-d972-460a-b378-179ab45bd9c2" targetNamespace="http://schemas.microsoft.com/office/2006/metadata/properties" ma:root="true" ma:fieldsID="8948dc48abf2f2e76ab2f8f3f3c371d4" ns3:_="" ns4:_="">
    <xsd:import namespace="e857edc0-520f-4533-8f0e-2471aabd30f4"/>
    <xsd:import namespace="f3cc449e-d972-460a-b378-179ab45bd9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7edc0-520f-4533-8f0e-2471aabd30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c449e-d972-460a-b378-179ab45bd9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857edc0-520f-4533-8f0e-2471aabd30f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4FD5F0-D04B-4702-8473-74380AC7DB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7edc0-520f-4533-8f0e-2471aabd30f4"/>
    <ds:schemaRef ds:uri="f3cc449e-d972-460a-b378-179ab45bd9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ED9C15-CCF6-42BB-B2C9-964EB3DABD0B}">
  <ds:schemaRefs>
    <ds:schemaRef ds:uri="http://schemas.microsoft.com/office/2006/documentManagement/types"/>
    <ds:schemaRef ds:uri="http://www.w3.org/XML/1998/namespace"/>
    <ds:schemaRef ds:uri="f3cc449e-d972-460a-b378-179ab45bd9c2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857edc0-520f-4533-8f0e-2471aabd30f4"/>
  </ds:schemaRefs>
</ds:datastoreItem>
</file>

<file path=customXml/itemProps3.xml><?xml version="1.0" encoding="utf-8"?>
<ds:datastoreItem xmlns:ds="http://schemas.openxmlformats.org/officeDocument/2006/customXml" ds:itemID="{BA839AD5-F376-4F8E-8DCA-3201EF7CA7D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b947e6b-ff26-4b13-ae1c-573c6750c888}" enabled="0" method="" siteId="{0b947e6b-ff26-4b13-ae1c-573c6750c88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Charts</vt:lpstr>
      </vt:variant>
      <vt:variant>
        <vt:i4>3</vt:i4>
      </vt:variant>
    </vt:vector>
  </HeadingPairs>
  <TitlesOfParts>
    <vt:vector size="16" baseType="lpstr">
      <vt:lpstr>Gas Summary</vt:lpstr>
      <vt:lpstr>Boston Gas Res Heat GAF</vt:lpstr>
      <vt:lpstr>Boston Gas Delivery Service</vt:lpstr>
      <vt:lpstr>NSTAR, LDAC 2023</vt:lpstr>
      <vt:lpstr>NSTAR LDAC 25 revision</vt:lpstr>
      <vt:lpstr>NSTAR LDAC 25</vt:lpstr>
      <vt:lpstr>Electric Rates</vt:lpstr>
      <vt:lpstr>Efficiency Charge Bill Impact</vt:lpstr>
      <vt:lpstr>Mass Save Budget</vt:lpstr>
      <vt:lpstr>Natural Gas Budget</vt:lpstr>
      <vt:lpstr>Bill ImpactsNG</vt:lpstr>
      <vt:lpstr>Bill Impacts Eversource</vt:lpstr>
      <vt:lpstr>Bill Impacts NSTAR GAs</vt:lpstr>
      <vt:lpstr>National Grid History</vt:lpstr>
      <vt:lpstr>Eversource vs NGrid</vt:lpstr>
      <vt:lpstr>Chart Bill Impact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Brownsberger, William (SEN)</dc:creator>
  <cp:keywords/>
  <dc:description/>
  <cp:lastModifiedBy>Brownsberger, William (SEN)</cp:lastModifiedBy>
  <cp:revision/>
  <dcterms:created xsi:type="dcterms:W3CDTF">2025-02-28T12:46:33Z</dcterms:created>
  <dcterms:modified xsi:type="dcterms:W3CDTF">2025-03-04T13:45:56Z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0x010100FD407935E43F4149BD27F899D609E5A1</vt:lpwstr>
  </property>
  <property fmtid="{D5CDD505-2E9C-101B-9397-08002B2CF9AE}" pid="3" name="WorkbookGuid">
    <vt:lpwstr>62a9e6fd-3c7d-47ab-b889-dc950d70d33e</vt:lpwstr>
  </property>
</Properties>
</file>