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1.xml" ContentType="application/vnd.openxmlformats-officedocument.themeOverrid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2.xml" ContentType="application/vnd.openxmlformats-officedocument.themeOverrid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3.xml" ContentType="application/vnd.openxmlformats-officedocument.themeOverrid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4.xml" ContentType="application/vnd.openxmlformats-officedocument.themeOverride+xml"/>
  <Override PartName="/xl/persons/person.xml" ContentType="application/vnd.ms-excel.person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CS for Housing\"/>
    </mc:Choice>
  </mc:AlternateContent>
  <xr:revisionPtr revIDLastSave="0" documentId="8_{97DD84AF-305C-4158-B595-70120B321D1C}" xr6:coauthVersionLast="47" xr6:coauthVersionMax="47" xr10:uidLastSave="{00000000-0000-0000-0000-000000000000}"/>
  <bookViews>
    <workbookView xWindow="27975" yWindow="30" windowWidth="44940" windowHeight="20910" activeTab="2" xr2:uid="{00000000-000D-0000-FFFF-FFFF00000000}"/>
  </bookViews>
  <sheets>
    <sheet name="RBI-TTP Units" sheetId="16" r:id="rId1"/>
    <sheet name="Population served" sheetId="17" r:id="rId2"/>
    <sheet name="Comparison to URB" sheetId="23" r:id="rId3"/>
    <sheet name="ELI Income Distribution" sheetId="18" r:id="rId4"/>
    <sheet name="Bedroom ratios, all markets" sheetId="10" r:id="rId5"/>
    <sheet name="Rent Averages for Bedrooms" sheetId="19" r:id="rId6"/>
    <sheet name="2022 all" sheetId="13" r:id="rId7"/>
    <sheet name="2022 Alt Rent Cutoffs" sheetId="24" r:id="rId8"/>
    <sheet name="2023 particular markets" sheetId="20" r:id="rId9"/>
    <sheet name="2022 Boston" sheetId="22" r:id="rId10"/>
    <sheet name="Navigator Data" sheetId="21" r:id="rId1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6" i="23" l="1"/>
  <c r="F26" i="23"/>
  <c r="G26" i="23"/>
  <c r="E26" i="23"/>
  <c r="D26" i="23"/>
  <c r="C26" i="23"/>
  <c r="B92" i="24"/>
  <c r="B93" i="24" s="1"/>
  <c r="B91" i="24"/>
  <c r="F79" i="24"/>
  <c r="F80" i="24"/>
  <c r="B72" i="24"/>
  <c r="B73" i="24" s="1"/>
  <c r="B26" i="24"/>
  <c r="B18" i="24"/>
  <c r="F6" i="24"/>
  <c r="B36" i="24"/>
  <c r="B14" i="17"/>
  <c r="D29" i="24"/>
  <c r="D30" i="24"/>
  <c r="D31" i="24"/>
  <c r="D32" i="24"/>
  <c r="D33" i="24"/>
  <c r="D34" i="24"/>
  <c r="D35" i="24"/>
  <c r="F24" i="24"/>
  <c r="F25" i="24"/>
  <c r="D64" i="24"/>
  <c r="D65" i="24"/>
  <c r="D66" i="24"/>
  <c r="D67" i="24"/>
  <c r="D68" i="24"/>
  <c r="D69" i="24"/>
  <c r="D70" i="24"/>
  <c r="D52" i="24"/>
  <c r="D51" i="24"/>
  <c r="D50" i="24"/>
  <c r="D49" i="24"/>
  <c r="D48" i="24"/>
  <c r="D47" i="24"/>
  <c r="D46" i="24"/>
  <c r="B71" i="24"/>
  <c r="F59" i="24"/>
  <c r="F60" i="24"/>
  <c r="F56" i="24"/>
  <c r="C17" i="16"/>
  <c r="C19" i="16"/>
  <c r="C18" i="16"/>
  <c r="C15" i="16"/>
  <c r="F2" i="24" s="1"/>
  <c r="C16" i="16"/>
  <c r="F20" i="24" s="1"/>
  <c r="B53" i="24"/>
  <c r="B54" i="24" s="1"/>
  <c r="F42" i="24"/>
  <c r="F41" i="24"/>
  <c r="E25" i="23"/>
  <c r="E24" i="23"/>
  <c r="E23" i="23"/>
  <c r="E22" i="23"/>
  <c r="D25" i="23"/>
  <c r="D24" i="23"/>
  <c r="D23" i="23"/>
  <c r="D22" i="23"/>
  <c r="B21" i="17"/>
  <c r="E21" i="17" s="1"/>
  <c r="F24" i="23" s="1"/>
  <c r="C12" i="16"/>
  <c r="I25" i="23"/>
  <c r="H25" i="23" s="1"/>
  <c r="G25" i="23"/>
  <c r="C25" i="23"/>
  <c r="I24" i="23"/>
  <c r="G24" i="23"/>
  <c r="C24" i="23"/>
  <c r="I23" i="23"/>
  <c r="G23" i="23"/>
  <c r="C23" i="23"/>
  <c r="I22" i="23"/>
  <c r="G22" i="23"/>
  <c r="C22" i="23"/>
  <c r="I16" i="23"/>
  <c r="I15" i="23"/>
  <c r="I14" i="23"/>
  <c r="I13" i="23"/>
  <c r="I12" i="23"/>
  <c r="I11" i="23"/>
  <c r="I10" i="23"/>
  <c r="I9" i="23"/>
  <c r="I8" i="23"/>
  <c r="I7" i="23"/>
  <c r="I6" i="23"/>
  <c r="I5" i="23"/>
  <c r="G17" i="23"/>
  <c r="F17" i="23"/>
  <c r="E17" i="23"/>
  <c r="D17" i="23"/>
  <c r="C17" i="23"/>
  <c r="I17" i="23" s="1"/>
  <c r="H16" i="23"/>
  <c r="H15" i="23"/>
  <c r="H14" i="23"/>
  <c r="H13" i="23"/>
  <c r="H12" i="23"/>
  <c r="H11" i="23"/>
  <c r="H10" i="23"/>
  <c r="H9" i="23"/>
  <c r="H8" i="23"/>
  <c r="H7" i="23"/>
  <c r="H6" i="23"/>
  <c r="H17" i="23" s="1"/>
  <c r="H5" i="23"/>
  <c r="B17" i="17"/>
  <c r="L4" i="13"/>
  <c r="K4" i="13"/>
  <c r="J4" i="13"/>
  <c r="I4" i="13"/>
  <c r="M3" i="13"/>
  <c r="CC16" i="22"/>
  <c r="CB16" i="22"/>
  <c r="CA16" i="22"/>
  <c r="BZ16" i="22"/>
  <c r="BY16" i="22"/>
  <c r="BX16" i="22"/>
  <c r="BW16" i="22"/>
  <c r="BV16" i="22"/>
  <c r="BU16" i="22"/>
  <c r="BT16" i="22"/>
  <c r="BS16" i="22"/>
  <c r="BR16" i="22"/>
  <c r="BQ16" i="22"/>
  <c r="BP16" i="22"/>
  <c r="BO16" i="22"/>
  <c r="BN16" i="22"/>
  <c r="BM16" i="22"/>
  <c r="BL16" i="22"/>
  <c r="BK16" i="22"/>
  <c r="BJ16" i="22"/>
  <c r="BI16" i="22"/>
  <c r="BH16" i="22"/>
  <c r="BG16" i="22"/>
  <c r="BF16" i="22"/>
  <c r="BE16" i="22"/>
  <c r="BD16" i="22"/>
  <c r="BC16" i="22"/>
  <c r="BB16" i="22"/>
  <c r="BA16" i="22"/>
  <c r="AZ16" i="22"/>
  <c r="AY16" i="22"/>
  <c r="AX16" i="22"/>
  <c r="AW16" i="22"/>
  <c r="AV16" i="22"/>
  <c r="AU16" i="22"/>
  <c r="AT16" i="22"/>
  <c r="AS16" i="22"/>
  <c r="AR16" i="22"/>
  <c r="AQ16" i="22"/>
  <c r="AP16" i="22"/>
  <c r="AO16" i="22"/>
  <c r="AN16" i="22"/>
  <c r="AM16" i="22"/>
  <c r="AL16" i="22"/>
  <c r="AK16" i="22"/>
  <c r="AJ16" i="22"/>
  <c r="AI16" i="22"/>
  <c r="AH16" i="22"/>
  <c r="AG16" i="22"/>
  <c r="AF16" i="22"/>
  <c r="AE16" i="22"/>
  <c r="AD16" i="22"/>
  <c r="AC16" i="22"/>
  <c r="AB16" i="22"/>
  <c r="AA16" i="22"/>
  <c r="Z16" i="22"/>
  <c r="Y16" i="22"/>
  <c r="X16" i="22"/>
  <c r="W16" i="22"/>
  <c r="V16" i="22"/>
  <c r="U16" i="22"/>
  <c r="T16" i="22"/>
  <c r="S16" i="22"/>
  <c r="R16" i="22"/>
  <c r="Q16" i="22"/>
  <c r="P16" i="22"/>
  <c r="O16" i="22"/>
  <c r="N16" i="22"/>
  <c r="M16" i="22"/>
  <c r="L16" i="22"/>
  <c r="K16" i="22"/>
  <c r="A16" i="22" s="1"/>
  <c r="A18" i="22" s="1"/>
  <c r="J16" i="22"/>
  <c r="I16" i="22"/>
  <c r="H16" i="22"/>
  <c r="G16" i="22"/>
  <c r="F16" i="22"/>
  <c r="E16" i="22"/>
  <c r="D16" i="22"/>
  <c r="C16" i="22"/>
  <c r="B16" i="22"/>
  <c r="CC45" i="13"/>
  <c r="CB45" i="13"/>
  <c r="CA45" i="13"/>
  <c r="BZ45" i="13"/>
  <c r="BY45" i="13"/>
  <c r="BX45" i="13"/>
  <c r="BW45" i="13"/>
  <c r="BV45" i="13"/>
  <c r="BU45" i="13"/>
  <c r="BT45" i="13"/>
  <c r="BS45" i="13"/>
  <c r="BR45" i="13"/>
  <c r="BQ45" i="13"/>
  <c r="BP45" i="13"/>
  <c r="BO45" i="13"/>
  <c r="BN45" i="13"/>
  <c r="BM45" i="13"/>
  <c r="BL45" i="13"/>
  <c r="BK45" i="13"/>
  <c r="BJ45" i="13"/>
  <c r="BI45" i="13"/>
  <c r="BH45" i="13"/>
  <c r="BG45" i="13"/>
  <c r="BF45" i="13"/>
  <c r="BE45" i="13"/>
  <c r="BD45" i="13"/>
  <c r="BC45" i="13"/>
  <c r="BB45" i="13"/>
  <c r="BA45" i="13"/>
  <c r="AZ45" i="13"/>
  <c r="AY45" i="13"/>
  <c r="AX45" i="13"/>
  <c r="AW45" i="13"/>
  <c r="AV45" i="13"/>
  <c r="AU45" i="13"/>
  <c r="AT45" i="13"/>
  <c r="AS45" i="13"/>
  <c r="AR45" i="13"/>
  <c r="AQ45" i="13"/>
  <c r="AP45" i="13"/>
  <c r="AO45" i="13"/>
  <c r="AN45" i="13"/>
  <c r="AM45" i="13"/>
  <c r="AL45" i="13"/>
  <c r="AK45" i="13"/>
  <c r="AJ45" i="13"/>
  <c r="AI45" i="13"/>
  <c r="AH45" i="13"/>
  <c r="AG45" i="13"/>
  <c r="AF45" i="13"/>
  <c r="AE45" i="13"/>
  <c r="AD45" i="13"/>
  <c r="AC45" i="13"/>
  <c r="AB45" i="13"/>
  <c r="AA45" i="13"/>
  <c r="Z45" i="13"/>
  <c r="Y45" i="13"/>
  <c r="X45" i="13"/>
  <c r="W45" i="13"/>
  <c r="V45" i="13"/>
  <c r="U45" i="13"/>
  <c r="T45" i="13"/>
  <c r="S45" i="13"/>
  <c r="R45" i="13"/>
  <c r="Q45" i="13"/>
  <c r="P45" i="13"/>
  <c r="O45" i="13"/>
  <c r="N45" i="13"/>
  <c r="M45" i="13"/>
  <c r="L45" i="13"/>
  <c r="K45" i="13"/>
  <c r="J45" i="13"/>
  <c r="A45" i="13" s="1"/>
  <c r="A47" i="13" s="1"/>
  <c r="I45" i="13"/>
  <c r="H45" i="13"/>
  <c r="G45" i="13"/>
  <c r="F45" i="13"/>
  <c r="E45" i="13"/>
  <c r="D45" i="13"/>
  <c r="C45" i="13"/>
  <c r="B45" i="13"/>
  <c r="B59" i="13"/>
  <c r="B60" i="13"/>
  <c r="C60" i="13"/>
  <c r="C61" i="13" s="1"/>
  <c r="G8" i="22"/>
  <c r="F8" i="22"/>
  <c r="E8" i="22"/>
  <c r="D8" i="22"/>
  <c r="H7" i="22"/>
  <c r="E10" i="22" s="1"/>
  <c r="H6" i="22"/>
  <c r="E9" i="22" s="1"/>
  <c r="D12" i="20"/>
  <c r="E12" i="20"/>
  <c r="F12" i="20"/>
  <c r="G12" i="20"/>
  <c r="B2" i="20"/>
  <c r="B5" i="20" s="1"/>
  <c r="H24" i="23" l="1"/>
  <c r="C21" i="17"/>
  <c r="F22" i="23" s="1"/>
  <c r="D21" i="17"/>
  <c r="F23" i="23" s="1"/>
  <c r="H23" i="23" s="1"/>
  <c r="H22" i="23"/>
  <c r="B61" i="13"/>
  <c r="C62" i="13"/>
  <c r="G9" i="22"/>
  <c r="D10" i="22"/>
  <c r="F10" i="22"/>
  <c r="G10" i="22"/>
  <c r="H10" i="22"/>
  <c r="H9" i="22"/>
  <c r="H8" i="22"/>
  <c r="F9" i="22"/>
  <c r="D9" i="22"/>
  <c r="D36" i="13"/>
  <c r="E35" i="13" s="1"/>
  <c r="B36" i="13"/>
  <c r="C36" i="13" s="1"/>
  <c r="I33" i="20"/>
  <c r="D5" i="20"/>
  <c r="G35" i="20"/>
  <c r="F35" i="20"/>
  <c r="E35" i="20"/>
  <c r="D35" i="20"/>
  <c r="H34" i="20"/>
  <c r="H37" i="20" s="1"/>
  <c r="H33" i="20"/>
  <c r="H36" i="20" s="1"/>
  <c r="H25" i="20"/>
  <c r="H28" i="20" s="1"/>
  <c r="H24" i="20"/>
  <c r="H27" i="20" s="1"/>
  <c r="G26" i="20"/>
  <c r="F26" i="20"/>
  <c r="E26" i="20"/>
  <c r="D26" i="20"/>
  <c r="H23" i="20"/>
  <c r="H11" i="20"/>
  <c r="H14" i="20" s="1"/>
  <c r="H10" i="20"/>
  <c r="E13" i="20" s="1"/>
  <c r="B62" i="13" l="1"/>
  <c r="C63" i="13"/>
  <c r="E34" i="13"/>
  <c r="E31" i="13"/>
  <c r="E24" i="13"/>
  <c r="E28" i="13"/>
  <c r="E23" i="13"/>
  <c r="E33" i="13"/>
  <c r="E26" i="13"/>
  <c r="E27" i="13"/>
  <c r="E32" i="13"/>
  <c r="E25" i="13"/>
  <c r="C31" i="13"/>
  <c r="E30" i="13"/>
  <c r="C35" i="13"/>
  <c r="G35" i="13" s="1"/>
  <c r="C28" i="13"/>
  <c r="G28" i="13" s="1"/>
  <c r="E36" i="13"/>
  <c r="C29" i="13"/>
  <c r="G29" i="13" s="1"/>
  <c r="C23" i="13"/>
  <c r="G23" i="13" s="1"/>
  <c r="C33" i="13"/>
  <c r="G33" i="13" s="1"/>
  <c r="C34" i="13"/>
  <c r="G34" i="13" s="1"/>
  <c r="C24" i="13"/>
  <c r="G24" i="13" s="1"/>
  <c r="C26" i="13"/>
  <c r="G26" i="13" s="1"/>
  <c r="C27" i="13"/>
  <c r="G27" i="13" s="1"/>
  <c r="C25" i="13"/>
  <c r="C32" i="13"/>
  <c r="C30" i="13"/>
  <c r="E29" i="13"/>
  <c r="H11" i="22"/>
  <c r="G11" i="22"/>
  <c r="D11" i="22"/>
  <c r="F11" i="22"/>
  <c r="E11" i="22"/>
  <c r="D36" i="20"/>
  <c r="D37" i="20"/>
  <c r="H35" i="20"/>
  <c r="H38" i="20" s="1"/>
  <c r="G36" i="20"/>
  <c r="G37" i="20"/>
  <c r="E36" i="20"/>
  <c r="F36" i="20"/>
  <c r="E37" i="20"/>
  <c r="F37" i="20"/>
  <c r="H12" i="20"/>
  <c r="H15" i="20" s="1"/>
  <c r="H26" i="20"/>
  <c r="H29" i="20" s="1"/>
  <c r="D27" i="20"/>
  <c r="E27" i="20"/>
  <c r="F27" i="20"/>
  <c r="G27" i="20"/>
  <c r="D28" i="20"/>
  <c r="G28" i="20"/>
  <c r="E28" i="20"/>
  <c r="F28" i="20"/>
  <c r="D13" i="20"/>
  <c r="G13" i="20"/>
  <c r="H13" i="20"/>
  <c r="E14" i="20"/>
  <c r="F14" i="20"/>
  <c r="G14" i="20"/>
  <c r="D14" i="20"/>
  <c r="F13" i="20"/>
  <c r="G30" i="13" l="1"/>
  <c r="G32" i="13"/>
  <c r="G31" i="13"/>
  <c r="G25" i="13"/>
  <c r="B63" i="13"/>
  <c r="C64" i="13"/>
  <c r="E29" i="20"/>
  <c r="D29" i="20"/>
  <c r="G29" i="20"/>
  <c r="F29" i="20"/>
  <c r="F38" i="20"/>
  <c r="D38" i="20"/>
  <c r="E38" i="20"/>
  <c r="G38" i="20"/>
  <c r="G15" i="20"/>
  <c r="E15" i="20"/>
  <c r="F15" i="20"/>
  <c r="D15" i="20"/>
  <c r="B64" i="13" l="1"/>
  <c r="C65" i="13"/>
  <c r="B65" i="13" l="1"/>
  <c r="C66" i="13"/>
  <c r="B66" i="13" l="1"/>
  <c r="C67" i="13"/>
  <c r="B67" i="13" l="1"/>
  <c r="C68" i="13"/>
  <c r="B68" i="13" l="1"/>
  <c r="C69" i="13"/>
  <c r="C70" i="13" l="1"/>
  <c r="B69" i="13"/>
  <c r="C71" i="13" l="1"/>
  <c r="B70" i="13"/>
  <c r="B71" i="13" l="1"/>
  <c r="C72" i="13"/>
  <c r="E5" i="13"/>
  <c r="D5" i="13"/>
  <c r="C5" i="13"/>
  <c r="B5" i="13"/>
  <c r="F4" i="13"/>
  <c r="E7" i="13" s="1"/>
  <c r="F3" i="13"/>
  <c r="E6" i="13" s="1"/>
  <c r="E9" i="19"/>
  <c r="E8" i="19"/>
  <c r="E7" i="19"/>
  <c r="E6" i="19"/>
  <c r="E5" i="19"/>
  <c r="E4" i="19"/>
  <c r="E3" i="19"/>
  <c r="E2" i="19"/>
  <c r="D10" i="19"/>
  <c r="K19" i="18"/>
  <c r="J19" i="18"/>
  <c r="K18" i="18"/>
  <c r="K17" i="18"/>
  <c r="K16" i="18"/>
  <c r="K15" i="18"/>
  <c r="K14" i="18"/>
  <c r="K13" i="18"/>
  <c r="K12" i="18"/>
  <c r="K11" i="18"/>
  <c r="K10" i="18"/>
  <c r="K9" i="18"/>
  <c r="K8" i="18"/>
  <c r="K7" i="18"/>
  <c r="K6" i="18"/>
  <c r="G19" i="18"/>
  <c r="H19" i="18"/>
  <c r="I19" i="18" s="1"/>
  <c r="B72" i="13" l="1"/>
  <c r="C73" i="13"/>
  <c r="D6" i="13"/>
  <c r="B6" i="13"/>
  <c r="C6" i="13"/>
  <c r="F6" i="13"/>
  <c r="F5" i="13"/>
  <c r="E8" i="13" s="1"/>
  <c r="B7" i="13"/>
  <c r="C7" i="13"/>
  <c r="F7" i="13"/>
  <c r="D7" i="13"/>
  <c r="C18" i="17" a="1"/>
  <c r="C18" i="17" s="1"/>
  <c r="C20" i="17" s="1"/>
  <c r="C17" i="17" a="1"/>
  <c r="C17" i="17" s="1"/>
  <c r="C19" i="17" s="1"/>
  <c r="E15" i="17"/>
  <c r="D15" i="17"/>
  <c r="E14" i="17"/>
  <c r="E13" i="17"/>
  <c r="E12" i="17"/>
  <c r="E11" i="17"/>
  <c r="E18" i="17" s="1" a="1"/>
  <c r="E18" i="17" s="1"/>
  <c r="E20" i="17" s="1"/>
  <c r="E10" i="17"/>
  <c r="E9" i="17"/>
  <c r="E8" i="17"/>
  <c r="D14" i="17"/>
  <c r="D13" i="17"/>
  <c r="D12" i="17"/>
  <c r="D11" i="17"/>
  <c r="D10" i="17"/>
  <c r="D9" i="17"/>
  <c r="D8" i="17"/>
  <c r="C11" i="16"/>
  <c r="C10" i="16"/>
  <c r="B9" i="16"/>
  <c r="B5" i="16"/>
  <c r="B73" i="13" l="1"/>
  <c r="C74" i="13"/>
  <c r="F8" i="13"/>
  <c r="B8" i="13"/>
  <c r="D8" i="13"/>
  <c r="C8" i="13"/>
  <c r="D18" i="17" a="1"/>
  <c r="D18" i="17" s="1"/>
  <c r="D20" i="17" s="1"/>
  <c r="E17" i="17" a="1"/>
  <c r="E17" i="17" s="1"/>
  <c r="E19" i="17" s="1"/>
  <c r="D17" i="17" a="1"/>
  <c r="D17" i="17" s="1"/>
  <c r="D19" i="17" s="1"/>
  <c r="L22" i="10"/>
  <c r="K22" i="10"/>
  <c r="J22" i="10"/>
  <c r="I22" i="10"/>
  <c r="H22" i="10"/>
  <c r="L20" i="10"/>
  <c r="K20" i="10"/>
  <c r="J20" i="10"/>
  <c r="I20" i="10"/>
  <c r="H20" i="10"/>
  <c r="L19" i="10"/>
  <c r="K19" i="10"/>
  <c r="J19" i="10"/>
  <c r="I19" i="10"/>
  <c r="H19" i="10"/>
  <c r="L18" i="10"/>
  <c r="K18" i="10"/>
  <c r="J18" i="10"/>
  <c r="I18" i="10"/>
  <c r="H18" i="10"/>
  <c r="L17" i="10"/>
  <c r="K17" i="10"/>
  <c r="J17" i="10"/>
  <c r="I17" i="10"/>
  <c r="H17" i="10"/>
  <c r="L16" i="10"/>
  <c r="K16" i="10"/>
  <c r="J16" i="10"/>
  <c r="I16" i="10"/>
  <c r="H16" i="10"/>
  <c r="L15" i="10"/>
  <c r="K15" i="10"/>
  <c r="J15" i="10"/>
  <c r="I15" i="10"/>
  <c r="H15" i="10"/>
  <c r="L14" i="10"/>
  <c r="K14" i="10"/>
  <c r="J14" i="10"/>
  <c r="I14" i="10"/>
  <c r="H14" i="10"/>
  <c r="L13" i="10"/>
  <c r="K13" i="10"/>
  <c r="J13" i="10"/>
  <c r="I13" i="10"/>
  <c r="H13" i="10"/>
  <c r="L12" i="10"/>
  <c r="K12" i="10"/>
  <c r="J12" i="10"/>
  <c r="I12" i="10"/>
  <c r="H12" i="10"/>
  <c r="L11" i="10"/>
  <c r="K11" i="10"/>
  <c r="J11" i="10"/>
  <c r="I11" i="10"/>
  <c r="H11" i="10"/>
  <c r="L10" i="10"/>
  <c r="K10" i="10"/>
  <c r="J10" i="10"/>
  <c r="I10" i="10"/>
  <c r="H10" i="10"/>
  <c r="L9" i="10"/>
  <c r="K9" i="10"/>
  <c r="J9" i="10"/>
  <c r="I9" i="10"/>
  <c r="H9" i="10"/>
  <c r="L8" i="10"/>
  <c r="K8" i="10"/>
  <c r="J8" i="10"/>
  <c r="I8" i="10"/>
  <c r="H8" i="10"/>
  <c r="L7" i="10"/>
  <c r="K7" i="10"/>
  <c r="J7" i="10"/>
  <c r="I7" i="10"/>
  <c r="H7" i="10"/>
  <c r="L6" i="10"/>
  <c r="K6" i="10"/>
  <c r="J6" i="10"/>
  <c r="I6" i="10"/>
  <c r="H6" i="10"/>
  <c r="L5" i="10"/>
  <c r="K5" i="10"/>
  <c r="J5" i="10"/>
  <c r="I5" i="10"/>
  <c r="H5" i="10"/>
  <c r="L4" i="10"/>
  <c r="K4" i="10"/>
  <c r="J4" i="10"/>
  <c r="I4" i="10"/>
  <c r="H4" i="10"/>
  <c r="B74" i="13" l="1"/>
  <c r="C75" i="13"/>
  <c r="B75" i="13" l="1"/>
  <c r="C76" i="13"/>
  <c r="B76" i="13" l="1"/>
  <c r="C77" i="13"/>
  <c r="C78" i="13" l="1"/>
  <c r="B77" i="13"/>
  <c r="B78" i="13" l="1"/>
  <c r="C79" i="13"/>
  <c r="C80" i="13" l="1"/>
  <c r="B79" i="13"/>
  <c r="C81" i="13" l="1"/>
  <c r="B80" i="13"/>
  <c r="B81" i="13" l="1"/>
  <c r="C82" i="13"/>
  <c r="B82" i="13" l="1"/>
  <c r="C83" i="13"/>
  <c r="B83" i="13" l="1"/>
  <c r="C84" i="13"/>
  <c r="B84" i="13" l="1"/>
  <c r="C85" i="13"/>
  <c r="B85" i="13" l="1"/>
  <c r="C86" i="13"/>
  <c r="C87" i="13" l="1"/>
  <c r="B86" i="13"/>
  <c r="B87" i="13" l="1"/>
  <c r="C88" i="13"/>
  <c r="B88" i="13" l="1"/>
  <c r="C89" i="13"/>
  <c r="C90" i="13" l="1"/>
  <c r="B89" i="13"/>
  <c r="B90" i="13" l="1"/>
  <c r="C91" i="13"/>
  <c r="C92" i="13" l="1"/>
  <c r="B91" i="13"/>
  <c r="B92" i="13" l="1"/>
  <c r="C93" i="13"/>
  <c r="B93" i="13" l="1"/>
  <c r="C94" i="13"/>
  <c r="B94" i="13" l="1"/>
  <c r="C95" i="13"/>
  <c r="B95" i="13" l="1"/>
  <c r="C96" i="13"/>
  <c r="B96" i="13" l="1"/>
  <c r="C97" i="13"/>
  <c r="B97" i="13" l="1"/>
  <c r="C98" i="13"/>
  <c r="B98" i="13" l="1"/>
  <c r="C99" i="13"/>
  <c r="B99" i="13" l="1"/>
  <c r="C100" i="13"/>
  <c r="B100" i="13" l="1"/>
  <c r="C101" i="13"/>
  <c r="C102" i="13" l="1"/>
  <c r="B101" i="13"/>
  <c r="B102" i="13" l="1"/>
  <c r="C103" i="13"/>
  <c r="B103" i="13" l="1"/>
  <c r="C104" i="13"/>
  <c r="B104" i="13" l="1"/>
  <c r="C105" i="13"/>
  <c r="B105" i="13" l="1"/>
  <c r="C106" i="13"/>
  <c r="C107" i="13" l="1"/>
  <c r="B106" i="13"/>
  <c r="B107" i="13" l="1"/>
  <c r="C108" i="13"/>
  <c r="B108" i="13" l="1"/>
  <c r="C109" i="13"/>
  <c r="B109" i="13" l="1"/>
  <c r="C110" i="13"/>
  <c r="B110" i="13" l="1"/>
  <c r="C111" i="13"/>
  <c r="B111" i="13" l="1"/>
  <c r="C112" i="13"/>
  <c r="B112" i="13" l="1"/>
  <c r="C113" i="13"/>
  <c r="C114" i="13" l="1"/>
  <c r="B113" i="13"/>
  <c r="B114" i="13" l="1"/>
  <c r="C115" i="13"/>
  <c r="C116" i="13" l="1"/>
  <c r="B115" i="13"/>
  <c r="C117" i="13" l="1"/>
  <c r="B116" i="13"/>
  <c r="C118" i="13" l="1"/>
  <c r="B117" i="13"/>
  <c r="B118" i="13" l="1"/>
  <c r="C119" i="13"/>
  <c r="B119" i="13" l="1"/>
  <c r="C120" i="13"/>
  <c r="B120" i="13" l="1"/>
  <c r="C121" i="13"/>
  <c r="B121" i="13" l="1"/>
  <c r="C122" i="13"/>
  <c r="B122" i="13" l="1"/>
  <c r="C123" i="13"/>
  <c r="B123" i="13" l="1"/>
  <c r="C124" i="13"/>
  <c r="B124" i="13" l="1"/>
  <c r="C125" i="13"/>
  <c r="C126" i="13" l="1"/>
  <c r="B125" i="13"/>
  <c r="B126" i="13" l="1"/>
  <c r="C127" i="13"/>
  <c r="B127" i="13" l="1"/>
  <c r="C128" i="13"/>
  <c r="B128" i="13" l="1"/>
  <c r="C129" i="13"/>
  <c r="B129" i="13" l="1"/>
  <c r="C130" i="13"/>
  <c r="B130" i="13" l="1"/>
  <c r="C131" i="13"/>
  <c r="B131" i="13" l="1"/>
  <c r="C132" i="13"/>
  <c r="B132" i="13" l="1"/>
  <c r="C133" i="13"/>
  <c r="B133" i="13" l="1"/>
  <c r="C134" i="13"/>
  <c r="C135" i="13" l="1"/>
  <c r="B134" i="13"/>
  <c r="B135" i="13" l="1"/>
  <c r="C136" i="13"/>
  <c r="B136" i="13" l="1"/>
  <c r="C137" i="13"/>
  <c r="C138" i="13" l="1"/>
  <c r="B138" i="13" s="1"/>
  <c r="B137" i="13"/>
  <c r="A54" i="13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<sst xmlns="http://schemas.openxmlformats.org/spreadsheetml/2006/main" count="640" uniqueCount="302">
  <si>
    <t>Barnstable Town, MA MSA</t>
  </si>
  <si>
    <t>Boston-Cambridge-Quincy, MA-NH HUD Metro FMR Area</t>
  </si>
  <si>
    <t>Middlesex County--Watertown, Arlington &amp; Belmont</t>
  </si>
  <si>
    <t>Brockton, MA HUD Metro FMR Area</t>
  </si>
  <si>
    <t>Fitchburg-Leominster, MA HUD Metro FMR Area</t>
  </si>
  <si>
    <t>Franklin County, MA HUD Metro FMR Area</t>
  </si>
  <si>
    <t>Lawrence, MA-NH HUD Metro FMR Area</t>
  </si>
  <si>
    <t>Lowell, MA HUD Metro FMR Area</t>
  </si>
  <si>
    <t>New Bedford, MA HUD Metro FMR Area</t>
  </si>
  <si>
    <t>Pittsfield, MA HUD Metro FMR Area</t>
  </si>
  <si>
    <t>Providence-Fall River, RI-MA HUD Metro FMR Area</t>
  </si>
  <si>
    <t>Springfield, MA HUD Metro FMR Area</t>
  </si>
  <si>
    <t>Hampden County (Central)--Springfield</t>
  </si>
  <si>
    <t>Taunton-Mansfield-Norton, MA HUD Metro FMR Area</t>
  </si>
  <si>
    <t>Worcester, MA HUD Metro FMR Area</t>
  </si>
  <si>
    <t>PUMA</t>
  </si>
  <si>
    <t>Public Housing Counts</t>
  </si>
  <si>
    <t>Arlington</t>
  </si>
  <si>
    <t>Belmont</t>
  </si>
  <si>
    <t>Watertown</t>
  </si>
  <si>
    <t>Berkshire County, MA (part) HUD Metro FMR Area</t>
  </si>
  <si>
    <t>Eastern Worcester County, MA HUD Metro FMR Area</t>
  </si>
  <si>
    <t>Easton-Raynham, MA HUD Metro FMR Area</t>
  </si>
  <si>
    <t>Western Worcester County, MA HUD Metro FMR Area</t>
  </si>
  <si>
    <t>Bedroom ratios:  Compare https://www.huduser.gov/portal/datasets/fmr/fmrs/FY2024_code/2024bdrm_rent.odn?year=2024&amp;cbsasub=METRO12700M12700&amp;br_size=0</t>
  </si>
  <si>
    <t>BDSP</t>
  </si>
  <si>
    <t>Expr1</t>
  </si>
  <si>
    <t>Downloaded Standards byh FMR</t>
  </si>
  <si>
    <t>ALL</t>
  </si>
  <si>
    <t>All from DB</t>
  </si>
  <si>
    <t>TEN</t>
  </si>
  <si>
    <t>3</t>
  </si>
  <si>
    <t>0</t>
  </si>
  <si>
    <t>1</t>
  </si>
  <si>
    <t>2</t>
  </si>
  <si>
    <t>4</t>
  </si>
  <si>
    <t>5</t>
  </si>
  <si>
    <t>6</t>
  </si>
  <si>
    <t>7</t>
  </si>
  <si>
    <t>Avg Rent Statewide</t>
  </si>
  <si>
    <t>ELI</t>
  </si>
  <si>
    <t>LI</t>
  </si>
  <si>
    <t>VLI</t>
  </si>
  <si>
    <t>1-ELI</t>
  </si>
  <si>
    <t>3-LI</t>
  </si>
  <si>
    <t>4-NOT LI</t>
  </si>
  <si>
    <t>2-VLI</t>
  </si>
  <si>
    <t>1=Low</t>
  </si>
  <si>
    <t>2-High</t>
  </si>
  <si>
    <t>RBI Units from Housing Navigator</t>
  </si>
  <si>
    <t>HUD Housing Choice Vouchers</t>
  </si>
  <si>
    <t xml:space="preserve">  Less: Project Based</t>
  </si>
  <si>
    <t xml:space="preserve">  HUD Mobile Vouchers</t>
  </si>
  <si>
    <t xml:space="preserve">   State Mobile Vouchers</t>
  </si>
  <si>
    <t>Total Mobile Vouchers</t>
  </si>
  <si>
    <t>State Vouchers</t>
  </si>
  <si>
    <t>Total RBI/TTP Vouchers</t>
  </si>
  <si>
    <t xml:space="preserve">   Less: Project Based (assumption)</t>
  </si>
  <si>
    <t>Estimate 40% of mobile report TTP</t>
  </si>
  <si>
    <t>total_units</t>
  </si>
  <si>
    <t>pct_lt50_median</t>
  </si>
  <si>
    <t>pct_lt30_median</t>
  </si>
  <si>
    <t>program_label</t>
  </si>
  <si>
    <t>https://willbrownsberger.com/wp-content/uploads/2024/11/Affordable-Housing-Supply-Stats-2024_11_30.xlsx</t>
  </si>
  <si>
    <t>Tax credit units with federal Housing Choice Vouchers that are project based</t>
  </si>
  <si>
    <t>Federal Public Housing </t>
  </si>
  <si>
    <t>Federal Mod Rehab</t>
  </si>
  <si>
    <t>Federal Project Based Section 8 Rental Assistance</t>
  </si>
  <si>
    <t> 202/PRAC (Federal Supportive Housing for the Elderly)</t>
  </si>
  <si>
    <t>811/PRAC (Federal Supportive Housing for Persons with Disabilities) </t>
  </si>
  <si>
    <t>https://willbrownsberger.com/counting-subsidized-housing-units-in-ma/#table_4</t>
  </si>
  <si>
    <t>State and Federal Vouchers (40% reporting TTP)</t>
  </si>
  <si>
    <t>State Public Housing like Federal Public Housing</t>
  </si>
  <si>
    <t>State Public Housing higher income</t>
  </si>
  <si>
    <t>From HLC, Ben Stone: "its safe to say that over half of state PH households are under 30% AMI."</t>
  </si>
  <si>
    <t>Average Mix</t>
  </si>
  <si>
    <t>With state at high income</t>
  </si>
  <si>
    <t>Level_Majority</t>
  </si>
  <si>
    <t>SumOfwgtp</t>
  </si>
  <si>
    <t>NP</t>
  </si>
  <si>
    <t>ELI_MAJORITY</t>
  </si>
  <si>
    <t>Tenant Type 3, NP = 1, Level = ELI 2022 5yr data</t>
  </si>
  <si>
    <t>Avg Income</t>
  </si>
  <si>
    <t>Households</t>
  </si>
  <si>
    <t>FMRA</t>
  </si>
  <si>
    <t>Below lowest</t>
  </si>
  <si>
    <t>Below lowest pct</t>
  </si>
  <si>
    <t>Above lowest and URB</t>
  </si>
  <si>
    <t>% Above lowest and URB</t>
  </si>
  <si>
    <r>
      <t>SELECT</t>
    </r>
    <r>
      <rPr>
        <sz val="9"/>
        <color rgb="FF000000"/>
        <rFont val="Segoe UI"/>
        <family val="2"/>
      </rPr>
      <t xml:space="preserve"> [Household Income Stub].TEN, [Household Income Stub].NP, [Household Income Stub].Level_Majority, </t>
    </r>
    <r>
      <rPr>
        <sz val="9"/>
        <color rgb="FFC700C7"/>
        <rFont val="Segoe UI"/>
        <family val="2"/>
      </rPr>
      <t>IIf</t>
    </r>
    <r>
      <rPr>
        <sz val="9"/>
        <color rgb="FF000000"/>
        <rFont val="Segoe UI"/>
        <family val="2"/>
      </rPr>
      <t>([puma_22_to_metro_majority]</t>
    </r>
    <r>
      <rPr>
        <sz val="9"/>
        <color rgb="FF800080"/>
        <rFont val="Segoe UI"/>
        <family val="2"/>
      </rPr>
      <t>!</t>
    </r>
    <r>
      <rPr>
        <sz val="9"/>
        <color rgb="FF000000"/>
        <rFont val="Segoe UI"/>
        <family val="2"/>
      </rPr>
      <t>[metro_majority_name]</t>
    </r>
    <r>
      <rPr>
        <sz val="9"/>
        <color rgb="FF800080"/>
        <rFont val="Segoe UI"/>
        <family val="2"/>
      </rPr>
      <t>&gt;</t>
    </r>
    <r>
      <rPr>
        <sz val="9"/>
        <color rgb="FF000000"/>
        <rFont val="Segoe UI"/>
        <family val="2"/>
      </rPr>
      <t>"",[puma_22_to_metro_majority]</t>
    </r>
    <r>
      <rPr>
        <sz val="9"/>
        <color rgb="FF800080"/>
        <rFont val="Segoe UI"/>
        <family val="2"/>
      </rPr>
      <t>!</t>
    </r>
    <r>
      <rPr>
        <sz val="9"/>
        <color rgb="FF000000"/>
        <rFont val="Segoe UI"/>
        <family val="2"/>
      </rPr>
      <t>[metro_majority_name],[puma_12_to_metro_majority]</t>
    </r>
    <r>
      <rPr>
        <sz val="9"/>
        <color rgb="FF800080"/>
        <rFont val="Segoe UI"/>
        <family val="2"/>
      </rPr>
      <t>!</t>
    </r>
    <r>
      <rPr>
        <sz val="9"/>
        <color rgb="FF000000"/>
        <rFont val="Segoe UI"/>
        <family val="2"/>
      </rPr>
      <t xml:space="preserve">[metro_majority_name]) </t>
    </r>
    <r>
      <rPr>
        <sz val="9"/>
        <color rgb="FF0088FF"/>
        <rFont val="Segoe UI"/>
        <family val="2"/>
      </rPr>
      <t>AS</t>
    </r>
    <r>
      <rPr>
        <sz val="9"/>
        <color rgb="FF000000"/>
        <rFont val="Segoe UI"/>
        <family val="2"/>
      </rPr>
      <t xml:space="preserve"> FMRA, [Household Income Stub].ELI_MAJORITY, </t>
    </r>
    <r>
      <rPr>
        <sz val="9"/>
        <color rgb="FFC700C7"/>
        <rFont val="Segoe UI"/>
        <family val="2"/>
      </rPr>
      <t>Sum</t>
    </r>
    <r>
      <rPr>
        <sz val="9"/>
        <color rgb="FF000000"/>
        <rFont val="Segoe UI"/>
        <family val="2"/>
      </rPr>
      <t>([adj_hincp]</t>
    </r>
    <r>
      <rPr>
        <sz val="9"/>
        <color rgb="FF800080"/>
        <rFont val="Segoe UI"/>
        <family val="2"/>
      </rPr>
      <t>*</t>
    </r>
    <r>
      <rPr>
        <sz val="9"/>
        <color rgb="FF000000"/>
        <rFont val="Segoe UI"/>
        <family val="2"/>
      </rPr>
      <t>[wgtp])</t>
    </r>
    <r>
      <rPr>
        <sz val="9"/>
        <color rgb="FF800080"/>
        <rFont val="Segoe UI"/>
        <family val="2"/>
      </rPr>
      <t>/</t>
    </r>
    <r>
      <rPr>
        <sz val="9"/>
        <color rgb="FFC700C7"/>
        <rFont val="Segoe UI"/>
        <family val="2"/>
      </rPr>
      <t>Sum</t>
    </r>
    <r>
      <rPr>
        <sz val="9"/>
        <color rgb="FF000000"/>
        <rFont val="Segoe UI"/>
        <family val="2"/>
      </rPr>
      <t xml:space="preserve">([wgtp]) </t>
    </r>
    <r>
      <rPr>
        <sz val="9"/>
        <color rgb="FF0088FF"/>
        <rFont val="Segoe UI"/>
        <family val="2"/>
      </rPr>
      <t>AS</t>
    </r>
    <r>
      <rPr>
        <sz val="9"/>
        <color rgb="FF000000"/>
        <rFont val="Segoe UI"/>
        <family val="2"/>
      </rPr>
      <t xml:space="preserve"> [Avg Income], </t>
    </r>
    <r>
      <rPr>
        <sz val="9"/>
        <color rgb="FFC700C7"/>
        <rFont val="Segoe UI"/>
        <family val="2"/>
      </rPr>
      <t>Sum</t>
    </r>
    <r>
      <rPr>
        <sz val="9"/>
        <color rgb="FF000000"/>
        <rFont val="Segoe UI"/>
        <family val="2"/>
      </rPr>
      <t xml:space="preserve">([Household Income Stub].wgtp) </t>
    </r>
    <r>
      <rPr>
        <sz val="9"/>
        <color rgb="FF0088FF"/>
        <rFont val="Segoe UI"/>
        <family val="2"/>
      </rPr>
      <t>AS</t>
    </r>
    <r>
      <rPr>
        <sz val="9"/>
        <color rgb="FF000000"/>
        <rFont val="Segoe UI"/>
        <family val="2"/>
      </rPr>
      <t xml:space="preserve"> Households, </t>
    </r>
    <r>
      <rPr>
        <sz val="9"/>
        <color rgb="FFC700C7"/>
        <rFont val="Segoe UI"/>
        <family val="2"/>
      </rPr>
      <t>Sum</t>
    </r>
    <r>
      <rPr>
        <sz val="9"/>
        <color rgb="FF000000"/>
        <rFont val="Segoe UI"/>
        <family val="2"/>
      </rPr>
      <t>(</t>
    </r>
    <r>
      <rPr>
        <sz val="9"/>
        <color rgb="FFC700C7"/>
        <rFont val="Segoe UI"/>
        <family val="2"/>
      </rPr>
      <t>IIf</t>
    </r>
    <r>
      <rPr>
        <sz val="9"/>
        <color rgb="FF000000"/>
        <rFont val="Segoe UI"/>
        <family val="2"/>
      </rPr>
      <t>([adj_hincp]</t>
    </r>
    <r>
      <rPr>
        <sz val="9"/>
        <color rgb="FF800080"/>
        <rFont val="Segoe UI"/>
        <family val="2"/>
      </rPr>
      <t>&lt;=</t>
    </r>
    <r>
      <rPr>
        <sz val="9"/>
        <color rgb="FF098658"/>
        <rFont val="Segoe UI"/>
        <family val="2"/>
      </rPr>
      <t>19800</t>
    </r>
    <r>
      <rPr>
        <sz val="9"/>
        <color rgb="FF000000"/>
        <rFont val="Segoe UI"/>
        <family val="2"/>
      </rPr>
      <t>,[wgtp],</t>
    </r>
    <r>
      <rPr>
        <sz val="9"/>
        <color rgb="FF098658"/>
        <rFont val="Segoe UI"/>
        <family val="2"/>
      </rPr>
      <t>0</t>
    </r>
    <r>
      <rPr>
        <sz val="9"/>
        <color rgb="FF000000"/>
        <rFont val="Segoe UI"/>
        <family val="2"/>
      </rPr>
      <t xml:space="preserve">)) </t>
    </r>
    <r>
      <rPr>
        <sz val="9"/>
        <color rgb="FF0088FF"/>
        <rFont val="Segoe UI"/>
        <family val="2"/>
      </rPr>
      <t>AS</t>
    </r>
    <r>
      <rPr>
        <sz val="9"/>
        <color rgb="FF000000"/>
        <rFont val="Segoe UI"/>
        <family val="2"/>
      </rPr>
      <t xml:space="preserve"> [Below lowest], </t>
    </r>
    <r>
      <rPr>
        <sz val="9"/>
        <color rgb="FFC700C7"/>
        <rFont val="Segoe UI"/>
        <family val="2"/>
      </rPr>
      <t>Sum</t>
    </r>
    <r>
      <rPr>
        <sz val="9"/>
        <color rgb="FF000000"/>
        <rFont val="Segoe UI"/>
        <family val="2"/>
      </rPr>
      <t>(</t>
    </r>
    <r>
      <rPr>
        <sz val="9"/>
        <color rgb="FFC700C7"/>
        <rFont val="Segoe UI"/>
        <family val="2"/>
      </rPr>
      <t>IIf</t>
    </r>
    <r>
      <rPr>
        <sz val="9"/>
        <color rgb="FF000000"/>
        <rFont val="Segoe UI"/>
        <family val="2"/>
      </rPr>
      <t>([adj_hincp]</t>
    </r>
    <r>
      <rPr>
        <sz val="9"/>
        <color rgb="FF800080"/>
        <rFont val="Segoe UI"/>
        <family val="2"/>
      </rPr>
      <t>&lt;=</t>
    </r>
    <r>
      <rPr>
        <sz val="9"/>
        <color rgb="FF098658"/>
        <rFont val="Segoe UI"/>
        <family val="2"/>
      </rPr>
      <t>19800</t>
    </r>
    <r>
      <rPr>
        <sz val="9"/>
        <color rgb="FF000000"/>
        <rFont val="Segoe UI"/>
        <family val="2"/>
      </rPr>
      <t>,[wgtp],</t>
    </r>
    <r>
      <rPr>
        <sz val="9"/>
        <color rgb="FF098658"/>
        <rFont val="Segoe UI"/>
        <family val="2"/>
      </rPr>
      <t>0</t>
    </r>
    <r>
      <rPr>
        <sz val="9"/>
        <color rgb="FF000000"/>
        <rFont val="Segoe UI"/>
        <family val="2"/>
      </rPr>
      <t>))</t>
    </r>
    <r>
      <rPr>
        <sz val="9"/>
        <color rgb="FF800080"/>
        <rFont val="Segoe UI"/>
        <family val="2"/>
      </rPr>
      <t>/</t>
    </r>
    <r>
      <rPr>
        <sz val="9"/>
        <color rgb="FFC700C7"/>
        <rFont val="Segoe UI"/>
        <family val="2"/>
      </rPr>
      <t>Sum</t>
    </r>
    <r>
      <rPr>
        <sz val="9"/>
        <color rgb="FF000000"/>
        <rFont val="Segoe UI"/>
        <family val="2"/>
      </rPr>
      <t xml:space="preserve">([wgtp]) </t>
    </r>
    <r>
      <rPr>
        <sz val="9"/>
        <color rgb="FF0088FF"/>
        <rFont val="Segoe UI"/>
        <family val="2"/>
      </rPr>
      <t>AS</t>
    </r>
    <r>
      <rPr>
        <sz val="9"/>
        <color rgb="FF000000"/>
        <rFont val="Segoe UI"/>
        <family val="2"/>
      </rPr>
      <t xml:space="preserve"> [Below lowest pct], </t>
    </r>
    <r>
      <rPr>
        <sz val="9"/>
        <color rgb="FFC700C7"/>
        <rFont val="Segoe UI"/>
        <family val="2"/>
      </rPr>
      <t>Sum</t>
    </r>
    <r>
      <rPr>
        <sz val="9"/>
        <color rgb="FF000000"/>
        <rFont val="Segoe UI"/>
        <family val="2"/>
      </rPr>
      <t>(</t>
    </r>
    <r>
      <rPr>
        <sz val="9"/>
        <color rgb="FFC700C7"/>
        <rFont val="Segoe UI"/>
        <family val="2"/>
      </rPr>
      <t>IIf</t>
    </r>
    <r>
      <rPr>
        <sz val="9"/>
        <color rgb="FF000000"/>
        <rFont val="Segoe UI"/>
        <family val="2"/>
      </rPr>
      <t>([adj_hincp]</t>
    </r>
    <r>
      <rPr>
        <sz val="9"/>
        <color rgb="FF800080"/>
        <rFont val="Segoe UI"/>
        <family val="2"/>
      </rPr>
      <t>&gt;</t>
    </r>
    <r>
      <rPr>
        <sz val="9"/>
        <color rgb="FF098658"/>
        <rFont val="Segoe UI"/>
        <family val="2"/>
      </rPr>
      <t>19800</t>
    </r>
    <r>
      <rPr>
        <sz val="9"/>
        <color rgb="FF000000"/>
        <rFont val="Segoe UI"/>
        <family val="2"/>
      </rPr>
      <t xml:space="preserve"> </t>
    </r>
    <r>
      <rPr>
        <sz val="9"/>
        <color rgb="FF0088FF"/>
        <rFont val="Segoe UI"/>
        <family val="2"/>
      </rPr>
      <t>And</t>
    </r>
    <r>
      <rPr>
        <sz val="9"/>
        <color rgb="FF000000"/>
        <rFont val="Segoe UI"/>
        <family val="2"/>
      </rPr>
      <t xml:space="preserve"> </t>
    </r>
    <r>
      <rPr>
        <sz val="9"/>
        <color rgb="FFC700C7"/>
        <rFont val="Segoe UI"/>
        <family val="2"/>
      </rPr>
      <t>IIf</t>
    </r>
    <r>
      <rPr>
        <sz val="9"/>
        <color rgb="FF000000"/>
        <rFont val="Segoe UI"/>
        <family val="2"/>
      </rPr>
      <t>([adj_hincp]</t>
    </r>
    <r>
      <rPr>
        <sz val="9"/>
        <color rgb="FF800080"/>
        <rFont val="Segoe UI"/>
        <family val="2"/>
      </rPr>
      <t>&gt;</t>
    </r>
    <r>
      <rPr>
        <sz val="9"/>
        <color rgb="FF098658"/>
        <rFont val="Segoe UI"/>
        <family val="2"/>
      </rPr>
      <t>0</t>
    </r>
    <r>
      <rPr>
        <sz val="9"/>
        <color rgb="FF000000"/>
        <rFont val="Segoe UI"/>
        <family val="2"/>
      </rPr>
      <t>,</t>
    </r>
    <r>
      <rPr>
        <sz val="9"/>
        <color rgb="FFC700C7"/>
        <rFont val="Segoe UI"/>
        <family val="2"/>
      </rPr>
      <t>IIf</t>
    </r>
    <r>
      <rPr>
        <sz val="9"/>
        <color rgb="FF000000"/>
        <rFont val="Segoe UI"/>
        <family val="2"/>
      </rPr>
      <t>(</t>
    </r>
    <r>
      <rPr>
        <sz val="9"/>
        <color rgb="FF098658"/>
        <rFont val="Segoe UI"/>
        <family val="2"/>
      </rPr>
      <t>12</t>
    </r>
    <r>
      <rPr>
        <sz val="9"/>
        <color rgb="FF800080"/>
        <rFont val="Segoe UI"/>
        <family val="2"/>
      </rPr>
      <t>*</t>
    </r>
    <r>
      <rPr>
        <sz val="9"/>
        <color rgb="FF000000"/>
        <rFont val="Segoe UI"/>
        <family val="2"/>
      </rPr>
      <t>[adj_grntp]</t>
    </r>
    <r>
      <rPr>
        <sz val="9"/>
        <color rgb="FF800080"/>
        <rFont val="Segoe UI"/>
        <family val="2"/>
      </rPr>
      <t>/</t>
    </r>
    <r>
      <rPr>
        <sz val="9"/>
        <color rgb="FF000000"/>
        <rFont val="Segoe UI"/>
        <family val="2"/>
      </rPr>
      <t>[adj_hincp]</t>
    </r>
    <r>
      <rPr>
        <sz val="9"/>
        <color rgb="FF800080"/>
        <rFont val="Segoe UI"/>
        <family val="2"/>
      </rPr>
      <t>&gt;</t>
    </r>
    <r>
      <rPr>
        <sz val="9"/>
        <color rgb="FF098658"/>
        <rFont val="Segoe UI"/>
        <family val="2"/>
      </rPr>
      <t>0.8</t>
    </r>
    <r>
      <rPr>
        <sz val="9"/>
        <color rgb="FF000000"/>
        <rFont val="Segoe UI"/>
        <family val="2"/>
      </rPr>
      <t>,</t>
    </r>
    <r>
      <rPr>
        <sz val="9"/>
        <color rgb="FFC700C7"/>
        <rFont val="Segoe UI"/>
        <family val="2"/>
      </rPr>
      <t>True</t>
    </r>
    <r>
      <rPr>
        <sz val="9"/>
        <color rgb="FF000000"/>
        <rFont val="Segoe UI"/>
        <family val="2"/>
      </rPr>
      <t>,</t>
    </r>
    <r>
      <rPr>
        <sz val="9"/>
        <color rgb="FFC700C7"/>
        <rFont val="Segoe UI"/>
        <family val="2"/>
      </rPr>
      <t>False</t>
    </r>
    <r>
      <rPr>
        <sz val="9"/>
        <color rgb="FF000000"/>
        <rFont val="Segoe UI"/>
        <family val="2"/>
      </rPr>
      <t>)),[wgtp],</t>
    </r>
    <r>
      <rPr>
        <sz val="9"/>
        <color rgb="FF098658"/>
        <rFont val="Segoe UI"/>
        <family val="2"/>
      </rPr>
      <t>0</t>
    </r>
    <r>
      <rPr>
        <sz val="9"/>
        <color rgb="FF000000"/>
        <rFont val="Segoe UI"/>
        <family val="2"/>
      </rPr>
      <t xml:space="preserve">)) </t>
    </r>
    <r>
      <rPr>
        <sz val="9"/>
        <color rgb="FF0088FF"/>
        <rFont val="Segoe UI"/>
        <family val="2"/>
      </rPr>
      <t>AS</t>
    </r>
    <r>
      <rPr>
        <sz val="9"/>
        <color rgb="FF000000"/>
        <rFont val="Segoe UI"/>
        <family val="2"/>
      </rPr>
      <t xml:space="preserve"> [Above lowest and URB]</t>
    </r>
  </si>
  <si>
    <r>
      <t>FROM</t>
    </r>
    <r>
      <rPr>
        <sz val="9"/>
        <color rgb="FF000000"/>
        <rFont val="Segoe UI"/>
        <family val="2"/>
      </rPr>
      <t xml:space="preserve"> ([Household Income Stub] </t>
    </r>
    <r>
      <rPr>
        <sz val="9"/>
        <color rgb="FF800080"/>
        <rFont val="Segoe UI"/>
        <family val="2"/>
      </rPr>
      <t>INNER</t>
    </r>
    <r>
      <rPr>
        <sz val="9"/>
        <color rgb="FF000000"/>
        <rFont val="Segoe UI"/>
        <family val="2"/>
      </rPr>
      <t xml:space="preserve"> </t>
    </r>
    <r>
      <rPr>
        <sz val="9"/>
        <color rgb="FF800080"/>
        <rFont val="Segoe UI"/>
        <family val="2"/>
      </rPr>
      <t>JOIN</t>
    </r>
    <r>
      <rPr>
        <sz val="9"/>
        <color rgb="FF000000"/>
        <rFont val="Segoe UI"/>
        <family val="2"/>
      </rPr>
      <t xml:space="preserve"> puma_12_to_metro_majority </t>
    </r>
    <r>
      <rPr>
        <sz val="9"/>
        <color rgb="FF0088FF"/>
        <rFont val="Segoe UI"/>
        <family val="2"/>
      </rPr>
      <t>ON</t>
    </r>
    <r>
      <rPr>
        <sz val="9"/>
        <color rgb="FF000000"/>
        <rFont val="Segoe UI"/>
        <family val="2"/>
      </rPr>
      <t xml:space="preserve"> [Household Income Stub].PUMA10 </t>
    </r>
    <r>
      <rPr>
        <sz val="9"/>
        <color rgb="FF800080"/>
        <rFont val="Segoe UI"/>
        <family val="2"/>
      </rPr>
      <t>=</t>
    </r>
    <r>
      <rPr>
        <sz val="9"/>
        <color rgb="FF000000"/>
        <rFont val="Segoe UI"/>
        <family val="2"/>
      </rPr>
      <t xml:space="preserve"> puma_12_to_metro_majority.puma12) </t>
    </r>
    <r>
      <rPr>
        <sz val="9"/>
        <color rgb="FF800080"/>
        <rFont val="Segoe UI"/>
        <family val="2"/>
      </rPr>
      <t>INNER</t>
    </r>
    <r>
      <rPr>
        <sz val="9"/>
        <color rgb="FF000000"/>
        <rFont val="Segoe UI"/>
        <family val="2"/>
      </rPr>
      <t xml:space="preserve"> </t>
    </r>
    <r>
      <rPr>
        <sz val="9"/>
        <color rgb="FF800080"/>
        <rFont val="Segoe UI"/>
        <family val="2"/>
      </rPr>
      <t>JOIN</t>
    </r>
    <r>
      <rPr>
        <sz val="9"/>
        <color rgb="FF000000"/>
        <rFont val="Segoe UI"/>
        <family val="2"/>
      </rPr>
      <t xml:space="preserve"> puma_22_to_metro_majority </t>
    </r>
    <r>
      <rPr>
        <sz val="9"/>
        <color rgb="FF0088FF"/>
        <rFont val="Segoe UI"/>
        <family val="2"/>
      </rPr>
      <t>ON</t>
    </r>
    <r>
      <rPr>
        <sz val="9"/>
        <color rgb="FF000000"/>
        <rFont val="Segoe UI"/>
        <family val="2"/>
      </rPr>
      <t xml:space="preserve"> [Household Income Stub].PUMA20 </t>
    </r>
    <r>
      <rPr>
        <sz val="9"/>
        <color rgb="FF800080"/>
        <rFont val="Segoe UI"/>
        <family val="2"/>
      </rPr>
      <t>=</t>
    </r>
    <r>
      <rPr>
        <sz val="9"/>
        <color rgb="FF000000"/>
        <rFont val="Segoe UI"/>
        <family val="2"/>
      </rPr>
      <t xml:space="preserve"> puma_22_to_metro_majority.puma22</t>
    </r>
  </si>
  <si>
    <r>
      <t>GROUP</t>
    </r>
    <r>
      <rPr>
        <sz val="9"/>
        <color rgb="FF000000"/>
        <rFont val="Segoe UI"/>
        <family val="2"/>
      </rPr>
      <t xml:space="preserve"> </t>
    </r>
    <r>
      <rPr>
        <sz val="9"/>
        <color rgb="FF0088FF"/>
        <rFont val="Segoe UI"/>
        <family val="2"/>
      </rPr>
      <t>BY</t>
    </r>
    <r>
      <rPr>
        <sz val="9"/>
        <color rgb="FF000000"/>
        <rFont val="Segoe UI"/>
        <family val="2"/>
      </rPr>
      <t xml:space="preserve"> [Household Income Stub].TEN, [Household Income Stub].NP, [Household Income Stub].Level_Majority, </t>
    </r>
    <r>
      <rPr>
        <sz val="9"/>
        <color rgb="FFC700C7"/>
        <rFont val="Segoe UI"/>
        <family val="2"/>
      </rPr>
      <t>IIf</t>
    </r>
    <r>
      <rPr>
        <sz val="9"/>
        <color rgb="FF000000"/>
        <rFont val="Segoe UI"/>
        <family val="2"/>
      </rPr>
      <t>([puma_22_to_metro_majority]</t>
    </r>
    <r>
      <rPr>
        <sz val="9"/>
        <color rgb="FF800080"/>
        <rFont val="Segoe UI"/>
        <family val="2"/>
      </rPr>
      <t>!</t>
    </r>
    <r>
      <rPr>
        <sz val="9"/>
        <color rgb="FF000000"/>
        <rFont val="Segoe UI"/>
        <family val="2"/>
      </rPr>
      <t>[metro_majority_name]</t>
    </r>
    <r>
      <rPr>
        <sz val="9"/>
        <color rgb="FF800080"/>
        <rFont val="Segoe UI"/>
        <family val="2"/>
      </rPr>
      <t>&gt;</t>
    </r>
    <r>
      <rPr>
        <sz val="9"/>
        <color rgb="FF000000"/>
        <rFont val="Segoe UI"/>
        <family val="2"/>
      </rPr>
      <t>"",[puma_22_to_metro_majority]</t>
    </r>
    <r>
      <rPr>
        <sz val="9"/>
        <color rgb="FF800080"/>
        <rFont val="Segoe UI"/>
        <family val="2"/>
      </rPr>
      <t>!</t>
    </r>
    <r>
      <rPr>
        <sz val="9"/>
        <color rgb="FF000000"/>
        <rFont val="Segoe UI"/>
        <family val="2"/>
      </rPr>
      <t>[metro_majority_name],[puma_12_to_metro_majority]</t>
    </r>
    <r>
      <rPr>
        <sz val="9"/>
        <color rgb="FF800080"/>
        <rFont val="Segoe UI"/>
        <family val="2"/>
      </rPr>
      <t>!</t>
    </r>
    <r>
      <rPr>
        <sz val="9"/>
        <color rgb="FF000000"/>
        <rFont val="Segoe UI"/>
        <family val="2"/>
      </rPr>
      <t>[metro_majority_name]), [Household Income Stub].ELI_MAJORITY</t>
    </r>
  </si>
  <si>
    <r>
      <t>HAVING</t>
    </r>
    <r>
      <rPr>
        <sz val="9"/>
        <color rgb="FF000000"/>
        <rFont val="Segoe UI"/>
        <family val="2"/>
      </rPr>
      <t xml:space="preserve"> ((([Household Income Stub].TEN)</t>
    </r>
    <r>
      <rPr>
        <sz val="9"/>
        <color rgb="FF800080"/>
        <rFont val="Segoe UI"/>
        <family val="2"/>
      </rPr>
      <t>=</t>
    </r>
    <r>
      <rPr>
        <sz val="9"/>
        <color rgb="FF000000"/>
        <rFont val="Segoe UI"/>
        <family val="2"/>
      </rPr>
      <t xml:space="preserve">"3") </t>
    </r>
    <r>
      <rPr>
        <sz val="9"/>
        <color rgb="FF0088FF"/>
        <rFont val="Segoe UI"/>
        <family val="2"/>
      </rPr>
      <t>AND</t>
    </r>
    <r>
      <rPr>
        <sz val="9"/>
        <color rgb="FF000000"/>
        <rFont val="Segoe UI"/>
        <family val="2"/>
      </rPr>
      <t xml:space="preserve"> (([Household Income Stub].NP)</t>
    </r>
    <r>
      <rPr>
        <sz val="9"/>
        <color rgb="FF800080"/>
        <rFont val="Segoe UI"/>
        <family val="2"/>
      </rPr>
      <t>=</t>
    </r>
    <r>
      <rPr>
        <sz val="9"/>
        <color rgb="FF098658"/>
        <rFont val="Segoe UI"/>
        <family val="2"/>
      </rPr>
      <t>1</t>
    </r>
    <r>
      <rPr>
        <sz val="9"/>
        <color rgb="FF000000"/>
        <rFont val="Segoe UI"/>
        <family val="2"/>
      </rPr>
      <t xml:space="preserve">) </t>
    </r>
    <r>
      <rPr>
        <sz val="9"/>
        <color rgb="FF0088FF"/>
        <rFont val="Segoe UI"/>
        <family val="2"/>
      </rPr>
      <t>AND</t>
    </r>
    <r>
      <rPr>
        <sz val="9"/>
        <color rgb="FF000000"/>
        <rFont val="Segoe UI"/>
        <family val="2"/>
      </rPr>
      <t xml:space="preserve"> (([Household Income Stub].Level_Majority)</t>
    </r>
    <r>
      <rPr>
        <sz val="9"/>
        <color rgb="FF800080"/>
        <rFont val="Segoe UI"/>
        <family val="2"/>
      </rPr>
      <t>=</t>
    </r>
    <r>
      <rPr>
        <sz val="9"/>
        <color rgb="FF000000"/>
        <rFont val="Segoe UI"/>
        <family val="2"/>
      </rPr>
      <t>"eli"));</t>
    </r>
  </si>
  <si>
    <r>
      <t>SELECT</t>
    </r>
    <r>
      <rPr>
        <sz val="9"/>
        <color rgb="FF000000"/>
        <rFont val="Segoe UI"/>
        <family val="2"/>
      </rPr>
      <t xml:space="preserve"> Psam_h25_2022_5yr.TEN, Psam_h25_2022_5yr.BDSP, </t>
    </r>
    <r>
      <rPr>
        <sz val="9"/>
        <color rgb="FFC700C7"/>
        <rFont val="Segoe UI"/>
        <family val="2"/>
      </rPr>
      <t>Sum</t>
    </r>
    <r>
      <rPr>
        <sz val="9"/>
        <color rgb="FF000000"/>
        <rFont val="Segoe UI"/>
        <family val="2"/>
      </rPr>
      <t>([adj_grntp]</t>
    </r>
    <r>
      <rPr>
        <sz val="9"/>
        <color rgb="FF800080"/>
        <rFont val="Segoe UI"/>
        <family val="2"/>
      </rPr>
      <t>*</t>
    </r>
    <r>
      <rPr>
        <sz val="9"/>
        <color rgb="FF000000"/>
        <rFont val="Segoe UI"/>
        <family val="2"/>
      </rPr>
      <t>[psam_h25_2022_5yr]</t>
    </r>
    <r>
      <rPr>
        <sz val="9"/>
        <color rgb="FF800080"/>
        <rFont val="Segoe UI"/>
        <family val="2"/>
      </rPr>
      <t>!</t>
    </r>
    <r>
      <rPr>
        <sz val="9"/>
        <color rgb="FF000000"/>
        <rFont val="Segoe UI"/>
        <family val="2"/>
      </rPr>
      <t>[wgtp])</t>
    </r>
    <r>
      <rPr>
        <sz val="9"/>
        <color rgb="FF800080"/>
        <rFont val="Segoe UI"/>
        <family val="2"/>
      </rPr>
      <t>/</t>
    </r>
    <r>
      <rPr>
        <sz val="9"/>
        <color rgb="FFC700C7"/>
        <rFont val="Segoe UI"/>
        <family val="2"/>
      </rPr>
      <t>Sum</t>
    </r>
    <r>
      <rPr>
        <sz val="9"/>
        <color rgb="FF000000"/>
        <rFont val="Segoe UI"/>
        <family val="2"/>
      </rPr>
      <t>([psam_h25_2022_5yr]</t>
    </r>
    <r>
      <rPr>
        <sz val="9"/>
        <color rgb="FF800080"/>
        <rFont val="Segoe UI"/>
        <family val="2"/>
      </rPr>
      <t>!</t>
    </r>
    <r>
      <rPr>
        <sz val="9"/>
        <color rgb="FF000000"/>
        <rFont val="Segoe UI"/>
        <family val="2"/>
      </rPr>
      <t xml:space="preserve">[wgtp]) </t>
    </r>
    <r>
      <rPr>
        <sz val="9"/>
        <color rgb="FF0088FF"/>
        <rFont val="Segoe UI"/>
        <family val="2"/>
      </rPr>
      <t>AS</t>
    </r>
    <r>
      <rPr>
        <sz val="9"/>
        <color rgb="FF000000"/>
        <rFont val="Segoe UI"/>
        <family val="2"/>
      </rPr>
      <t xml:space="preserve"> Expr1</t>
    </r>
  </si>
  <si>
    <r>
      <t>FROM</t>
    </r>
    <r>
      <rPr>
        <sz val="9"/>
        <color rgb="FF000000"/>
        <rFont val="Segoe UI"/>
        <family val="2"/>
      </rPr>
      <t xml:space="preserve"> Psam_h25_2022_5yr </t>
    </r>
    <r>
      <rPr>
        <sz val="9"/>
        <color rgb="FF800080"/>
        <rFont val="Segoe UI"/>
        <family val="2"/>
      </rPr>
      <t>INNER</t>
    </r>
    <r>
      <rPr>
        <sz val="9"/>
        <color rgb="FF000000"/>
        <rFont val="Segoe UI"/>
        <family val="2"/>
      </rPr>
      <t xml:space="preserve"> </t>
    </r>
    <r>
      <rPr>
        <sz val="9"/>
        <color rgb="FF800080"/>
        <rFont val="Segoe UI"/>
        <family val="2"/>
      </rPr>
      <t>JOIN</t>
    </r>
    <r>
      <rPr>
        <sz val="9"/>
        <color rgb="FF000000"/>
        <rFont val="Segoe UI"/>
        <family val="2"/>
      </rPr>
      <t xml:space="preserve"> [Household Income Stub] </t>
    </r>
    <r>
      <rPr>
        <sz val="9"/>
        <color rgb="FF0088FF"/>
        <rFont val="Segoe UI"/>
        <family val="2"/>
      </rPr>
      <t>ON</t>
    </r>
    <r>
      <rPr>
        <sz val="9"/>
        <color rgb="FF000000"/>
        <rFont val="Segoe UI"/>
        <family val="2"/>
      </rPr>
      <t xml:space="preserve"> Psam_h25_2022_5yr.SERIALNO </t>
    </r>
    <r>
      <rPr>
        <sz val="9"/>
        <color rgb="FF800080"/>
        <rFont val="Segoe UI"/>
        <family val="2"/>
      </rPr>
      <t>=</t>
    </r>
    <r>
      <rPr>
        <sz val="9"/>
        <color rgb="FF000000"/>
        <rFont val="Segoe UI"/>
        <family val="2"/>
      </rPr>
      <t xml:space="preserve"> [Household Income Stub].SERIALNO</t>
    </r>
  </si>
  <si>
    <r>
      <t>GROUP</t>
    </r>
    <r>
      <rPr>
        <sz val="9"/>
        <color rgb="FF000000"/>
        <rFont val="Segoe UI"/>
        <family val="2"/>
      </rPr>
      <t xml:space="preserve"> </t>
    </r>
    <r>
      <rPr>
        <sz val="9"/>
        <color rgb="FF0088FF"/>
        <rFont val="Segoe UI"/>
        <family val="2"/>
      </rPr>
      <t>BY</t>
    </r>
    <r>
      <rPr>
        <sz val="9"/>
        <color rgb="FF000000"/>
        <rFont val="Segoe UI"/>
        <family val="2"/>
      </rPr>
      <t xml:space="preserve"> Psam_h25_2022_5yr.TEN, Psam_h25_2022_5yr.BDSP</t>
    </r>
  </si>
  <si>
    <r>
      <t>HAVING</t>
    </r>
    <r>
      <rPr>
        <sz val="9"/>
        <color rgb="FF000000"/>
        <rFont val="Segoe UI"/>
        <family val="2"/>
      </rPr>
      <t xml:space="preserve"> (((Psam_h25_2022_5yr.TEN)</t>
    </r>
    <r>
      <rPr>
        <sz val="9"/>
        <color rgb="FF800080"/>
        <rFont val="Segoe UI"/>
        <family val="2"/>
      </rPr>
      <t>=</t>
    </r>
    <r>
      <rPr>
        <sz val="9"/>
        <color rgb="FF000000"/>
        <rFont val="Segoe UI"/>
        <family val="2"/>
      </rPr>
      <t>"3"));</t>
    </r>
  </si>
  <si>
    <t>2-BDR_PCT</t>
  </si>
  <si>
    <t>Bedroom size adjustment factor (devide rent by this)</t>
  </si>
  <si>
    <t>Sum</t>
  </si>
  <si>
    <t>Lowest Rent Households</t>
  </si>
  <si>
    <t>Higher Rent Households</t>
  </si>
  <si>
    <t>All Households</t>
  </si>
  <si>
    <t>NOT LI</t>
  </si>
  <si>
    <r>
      <t>TRANSFORM</t>
    </r>
    <r>
      <rPr>
        <sz val="9"/>
        <color rgb="FF000000"/>
        <rFont val="Segoe UI"/>
        <family val="2"/>
      </rPr>
      <t xml:space="preserve"> </t>
    </r>
    <r>
      <rPr>
        <sz val="9"/>
        <color rgb="FFC700C7"/>
        <rFont val="Segoe UI"/>
        <family val="2"/>
      </rPr>
      <t>Sum</t>
    </r>
    <r>
      <rPr>
        <sz val="9"/>
        <color rgb="FF000000"/>
        <rFont val="Segoe UI"/>
        <family val="2"/>
      </rPr>
      <t xml:space="preserve">([Household Income Stub].wgtp) </t>
    </r>
    <r>
      <rPr>
        <sz val="9"/>
        <color rgb="FF0088FF"/>
        <rFont val="Segoe UI"/>
        <family val="2"/>
      </rPr>
      <t>AS</t>
    </r>
    <r>
      <rPr>
        <sz val="9"/>
        <color rgb="FF000000"/>
        <rFont val="Segoe UI"/>
        <family val="2"/>
      </rPr>
      <t xml:space="preserve"> SumOfwgtp</t>
    </r>
  </si>
  <si>
    <r>
      <t>SELECT</t>
    </r>
    <r>
      <rPr>
        <sz val="9"/>
        <color rgb="FF000000"/>
        <rFont val="Segoe UI"/>
        <family val="2"/>
      </rPr>
      <t xml:space="preserve"> </t>
    </r>
    <r>
      <rPr>
        <sz val="9"/>
        <color rgb="FFC700C7"/>
        <rFont val="Segoe UI"/>
        <family val="2"/>
      </rPr>
      <t>IIf</t>
    </r>
    <r>
      <rPr>
        <sz val="9"/>
        <color rgb="FF000000"/>
        <rFont val="Segoe UI"/>
        <family val="2"/>
      </rPr>
      <t>([ADJ_GRNTP]</t>
    </r>
    <r>
      <rPr>
        <sz val="9"/>
        <color rgb="FF800080"/>
        <rFont val="Segoe UI"/>
        <family val="2"/>
      </rPr>
      <t>/</t>
    </r>
    <r>
      <rPr>
        <sz val="9"/>
        <color rgb="FF000000"/>
        <rFont val="Segoe UI"/>
        <family val="2"/>
      </rPr>
      <t>[2-BDR_PCT]</t>
    </r>
    <r>
      <rPr>
        <sz val="9"/>
        <color rgb="FF800080"/>
        <rFont val="Segoe UI"/>
        <family val="2"/>
      </rPr>
      <t>&gt;</t>
    </r>
    <r>
      <rPr>
        <sz val="9"/>
        <color rgb="FF098658"/>
        <rFont val="Segoe UI"/>
        <family val="2"/>
      </rPr>
      <t>863</t>
    </r>
    <r>
      <rPr>
        <sz val="9"/>
        <color rgb="FF000000"/>
        <rFont val="Segoe UI"/>
        <family val="2"/>
      </rPr>
      <t xml:space="preserve">,"2-High","1=Low") </t>
    </r>
    <r>
      <rPr>
        <sz val="9"/>
        <color rgb="FF0088FF"/>
        <rFont val="Segoe UI"/>
        <family val="2"/>
      </rPr>
      <t>AS</t>
    </r>
    <r>
      <rPr>
        <sz val="9"/>
        <color rgb="FF000000"/>
        <rFont val="Segoe UI"/>
        <family val="2"/>
      </rPr>
      <t xml:space="preserve"> [size_rent_10_ove _863]</t>
    </r>
  </si>
  <si>
    <r>
      <t>FROM</t>
    </r>
    <r>
      <rPr>
        <sz val="9"/>
        <color rgb="FF000000"/>
        <rFont val="Segoe UI"/>
        <family val="2"/>
      </rPr>
      <t xml:space="preserve"> ([Household Income Stub] </t>
    </r>
    <r>
      <rPr>
        <sz val="9"/>
        <color rgb="FF800080"/>
        <rFont val="Segoe UI"/>
        <family val="2"/>
      </rPr>
      <t>INNER</t>
    </r>
    <r>
      <rPr>
        <sz val="9"/>
        <color rgb="FF000000"/>
        <rFont val="Segoe UI"/>
        <family val="2"/>
      </rPr>
      <t xml:space="preserve"> </t>
    </r>
    <r>
      <rPr>
        <sz val="9"/>
        <color rgb="FF800080"/>
        <rFont val="Segoe UI"/>
        <family val="2"/>
      </rPr>
      <t>JOIN</t>
    </r>
    <r>
      <rPr>
        <sz val="9"/>
        <color rgb="FF000000"/>
        <rFont val="Segoe UI"/>
        <family val="2"/>
      </rPr>
      <t xml:space="preserve"> Psam_h25_2022_5yr </t>
    </r>
    <r>
      <rPr>
        <sz val="9"/>
        <color rgb="FF0088FF"/>
        <rFont val="Segoe UI"/>
        <family val="2"/>
      </rPr>
      <t>ON</t>
    </r>
    <r>
      <rPr>
        <sz val="9"/>
        <color rgb="FF000000"/>
        <rFont val="Segoe UI"/>
        <family val="2"/>
      </rPr>
      <t xml:space="preserve"> [Household Income Stub].SERIALNO </t>
    </r>
    <r>
      <rPr>
        <sz val="9"/>
        <color rgb="FF800080"/>
        <rFont val="Segoe UI"/>
        <family val="2"/>
      </rPr>
      <t>=</t>
    </r>
    <r>
      <rPr>
        <sz val="9"/>
        <color rgb="FF000000"/>
        <rFont val="Segoe UI"/>
        <family val="2"/>
      </rPr>
      <t xml:space="preserve"> Psam_h25_2022_5yr.SERIALNO) </t>
    </r>
    <r>
      <rPr>
        <sz val="9"/>
        <color rgb="FF800080"/>
        <rFont val="Segoe UI"/>
        <family val="2"/>
      </rPr>
      <t>INNER</t>
    </r>
    <r>
      <rPr>
        <sz val="9"/>
        <color rgb="FF000000"/>
        <rFont val="Segoe UI"/>
        <family val="2"/>
      </rPr>
      <t xml:space="preserve"> </t>
    </r>
    <r>
      <rPr>
        <sz val="9"/>
        <color rgb="FF800080"/>
        <rFont val="Segoe UI"/>
        <family val="2"/>
      </rPr>
      <t>JOIN</t>
    </r>
    <r>
      <rPr>
        <sz val="9"/>
        <color rgb="FF000000"/>
        <rFont val="Segoe UI"/>
        <family val="2"/>
      </rPr>
      <t xml:space="preserve"> [statewide bedroom averages] </t>
    </r>
    <r>
      <rPr>
        <sz val="9"/>
        <color rgb="FF0088FF"/>
        <rFont val="Segoe UI"/>
        <family val="2"/>
      </rPr>
      <t>ON</t>
    </r>
    <r>
      <rPr>
        <sz val="9"/>
        <color rgb="FF000000"/>
        <rFont val="Segoe UI"/>
        <family val="2"/>
      </rPr>
      <t xml:space="preserve"> Psam_h25_2022_5yr.BDSP </t>
    </r>
    <r>
      <rPr>
        <sz val="9"/>
        <color rgb="FF800080"/>
        <rFont val="Segoe UI"/>
        <family val="2"/>
      </rPr>
      <t>=</t>
    </r>
    <r>
      <rPr>
        <sz val="9"/>
        <color rgb="FF000000"/>
        <rFont val="Segoe UI"/>
        <family val="2"/>
      </rPr>
      <t xml:space="preserve"> [statewide bedroom averages].BDSP</t>
    </r>
  </si>
  <si>
    <r>
      <t>WHERE</t>
    </r>
    <r>
      <rPr>
        <sz val="9"/>
        <color rgb="FF000000"/>
        <rFont val="Segoe UI"/>
        <family val="2"/>
      </rPr>
      <t xml:space="preserve"> (((Psam_h25_2022_5yr.ten)</t>
    </r>
    <r>
      <rPr>
        <sz val="9"/>
        <color rgb="FF800080"/>
        <rFont val="Segoe UI"/>
        <family val="2"/>
      </rPr>
      <t>=</t>
    </r>
    <r>
      <rPr>
        <sz val="9"/>
        <color rgb="FF000000"/>
        <rFont val="Segoe UI"/>
        <family val="2"/>
      </rPr>
      <t>"3"))</t>
    </r>
  </si>
  <si>
    <r>
      <t>GROUP</t>
    </r>
    <r>
      <rPr>
        <sz val="9"/>
        <color rgb="FF000000"/>
        <rFont val="Segoe UI"/>
        <family val="2"/>
      </rPr>
      <t xml:space="preserve"> </t>
    </r>
    <r>
      <rPr>
        <sz val="9"/>
        <color rgb="FF0088FF"/>
        <rFont val="Segoe UI"/>
        <family val="2"/>
      </rPr>
      <t>BY</t>
    </r>
    <r>
      <rPr>
        <sz val="9"/>
        <color rgb="FF000000"/>
        <rFont val="Segoe UI"/>
        <family val="2"/>
      </rPr>
      <t xml:space="preserve"> </t>
    </r>
    <r>
      <rPr>
        <sz val="9"/>
        <color rgb="FFC700C7"/>
        <rFont val="Segoe UI"/>
        <family val="2"/>
      </rPr>
      <t>IIf</t>
    </r>
    <r>
      <rPr>
        <sz val="9"/>
        <color rgb="FF000000"/>
        <rFont val="Segoe UI"/>
        <family val="2"/>
      </rPr>
      <t>([ADJ_GRNTP]</t>
    </r>
    <r>
      <rPr>
        <sz val="9"/>
        <color rgb="FF800080"/>
        <rFont val="Segoe UI"/>
        <family val="2"/>
      </rPr>
      <t>/</t>
    </r>
    <r>
      <rPr>
        <sz val="9"/>
        <color rgb="FF000000"/>
        <rFont val="Segoe UI"/>
        <family val="2"/>
      </rPr>
      <t>[2-BDR_PCT]</t>
    </r>
    <r>
      <rPr>
        <sz val="9"/>
        <color rgb="FF800080"/>
        <rFont val="Segoe UI"/>
        <family val="2"/>
      </rPr>
      <t>&gt;</t>
    </r>
    <r>
      <rPr>
        <sz val="9"/>
        <color rgb="FF098658"/>
        <rFont val="Segoe UI"/>
        <family val="2"/>
      </rPr>
      <t>863</t>
    </r>
    <r>
      <rPr>
        <sz val="9"/>
        <color rgb="FF000000"/>
        <rFont val="Segoe UI"/>
        <family val="2"/>
      </rPr>
      <t>,"2-High","1=Low")</t>
    </r>
  </si>
  <si>
    <r>
      <t>PIVOT</t>
    </r>
    <r>
      <rPr>
        <sz val="9"/>
        <color rgb="FF000000"/>
        <rFont val="Segoe UI"/>
        <family val="2"/>
      </rPr>
      <t xml:space="preserve"> </t>
    </r>
    <r>
      <rPr>
        <sz val="9"/>
        <color rgb="FFC700C7"/>
        <rFont val="Segoe UI"/>
        <family val="2"/>
      </rPr>
      <t>IIf</t>
    </r>
    <r>
      <rPr>
        <sz val="9"/>
        <color rgb="FF000000"/>
        <rFont val="Segoe UI"/>
        <family val="2"/>
      </rPr>
      <t>([level_majority]</t>
    </r>
    <r>
      <rPr>
        <sz val="9"/>
        <color rgb="FF800080"/>
        <rFont val="Segoe UI"/>
        <family val="2"/>
      </rPr>
      <t>=</t>
    </r>
    <r>
      <rPr>
        <sz val="9"/>
        <color rgb="FF000000"/>
        <rFont val="Segoe UI"/>
        <family val="2"/>
      </rPr>
      <t>"eli","1-ELI",</t>
    </r>
    <r>
      <rPr>
        <sz val="9"/>
        <color rgb="FFC700C7"/>
        <rFont val="Segoe UI"/>
        <family val="2"/>
      </rPr>
      <t>IIf</t>
    </r>
    <r>
      <rPr>
        <sz val="9"/>
        <color rgb="FF000000"/>
        <rFont val="Segoe UI"/>
        <family val="2"/>
      </rPr>
      <t>([level_majority]</t>
    </r>
    <r>
      <rPr>
        <sz val="9"/>
        <color rgb="FF800080"/>
        <rFont val="Segoe UI"/>
        <family val="2"/>
      </rPr>
      <t>=</t>
    </r>
    <r>
      <rPr>
        <sz val="9"/>
        <color rgb="FF000000"/>
        <rFont val="Segoe UI"/>
        <family val="2"/>
      </rPr>
      <t>"vli","2-VLI",</t>
    </r>
    <r>
      <rPr>
        <sz val="9"/>
        <color rgb="FFC700C7"/>
        <rFont val="Segoe UI"/>
        <family val="2"/>
      </rPr>
      <t>IIf</t>
    </r>
    <r>
      <rPr>
        <sz val="9"/>
        <color rgb="FF000000"/>
        <rFont val="Segoe UI"/>
        <family val="2"/>
      </rPr>
      <t>([level_majority]</t>
    </r>
    <r>
      <rPr>
        <sz val="9"/>
        <color rgb="FF800080"/>
        <rFont val="Segoe UI"/>
        <family val="2"/>
      </rPr>
      <t>=</t>
    </r>
    <r>
      <rPr>
        <sz val="9"/>
        <color rgb="FF000000"/>
        <rFont val="Segoe UI"/>
        <family val="2"/>
      </rPr>
      <t>"li","3-LI",</t>
    </r>
    <r>
      <rPr>
        <sz val="9"/>
        <color rgb="FFC700C7"/>
        <rFont val="Segoe UI"/>
        <family val="2"/>
      </rPr>
      <t>IIf</t>
    </r>
    <r>
      <rPr>
        <sz val="9"/>
        <color rgb="FF000000"/>
        <rFont val="Segoe UI"/>
        <family val="2"/>
      </rPr>
      <t>([level_majority]</t>
    </r>
    <r>
      <rPr>
        <sz val="9"/>
        <color rgb="FF800080"/>
        <rFont val="Segoe UI"/>
        <family val="2"/>
      </rPr>
      <t>=</t>
    </r>
    <r>
      <rPr>
        <sz val="9"/>
        <color rgb="FF000000"/>
        <rFont val="Segoe UI"/>
        <family val="2"/>
      </rPr>
      <t>"not","4-NOT LI","ERROR"))));</t>
    </r>
  </si>
  <si>
    <t>https://dhcdcims.intelligrants.com/_Upload/MADHCD_PHRA/24241_5.pdf</t>
  </si>
  <si>
    <t>https://dhcdcims.intelligrants.com/_Upload/MADHCD_PHRA/24529_5.pdf</t>
  </si>
  <si>
    <t>https://arlingtonhousing.org/properties.aspx</t>
  </si>
  <si>
    <t>PUMA_NAME</t>
  </si>
  <si>
    <t>size_rent_10_over_1350</t>
  </si>
  <si>
    <t>Today, the SHA has a total of 2,397 traditional public housing units located at twenty-seven sites throughout the city, 240 Massachusetts Rental Vouchers, and 2,733 Housing Choice Vouchers. A $33 million annual budget is derived from rental income and funding from both the Department of Housing and Community Development (DHCD) and Housing and Urban Development (HUD).</t>
  </si>
  <si>
    <t>https://shamass.org/about-the-springfield-housing-authority/</t>
  </si>
  <si>
    <t>Compare Navigator RBI</t>
  </si>
  <si>
    <t>Navigator RBI</t>
  </si>
  <si>
    <t>Match RBI total</t>
  </si>
  <si>
    <t>Match RBI plus vouchers</t>
  </si>
  <si>
    <t>685 rent</t>
  </si>
  <si>
    <t>900 rent</t>
  </si>
  <si>
    <t>Low not LI HH's</t>
  </si>
  <si>
    <t>All HH</t>
  </si>
  <si>
    <t>%</t>
  </si>
  <si>
    <t>In the statewide data, the lowest rent FMRs are accounting for disproportionate share of the breaks.</t>
  </si>
  <si>
    <t xml:space="preserve">FBM </t>
  </si>
  <si>
    <t>Non Age restricted</t>
  </si>
  <si>
    <t>Age restricted</t>
  </si>
  <si>
    <t>MA</t>
  </si>
  <si>
    <t>Boston</t>
  </si>
  <si>
    <t>Worcester</t>
  </si>
  <si>
    <t>Springfield</t>
  </si>
  <si>
    <t>New Bedford</t>
  </si>
  <si>
    <t>Fall River</t>
  </si>
  <si>
    <t>Cambridge</t>
  </si>
  <si>
    <t>Lawrence</t>
  </si>
  <si>
    <t>Lynn</t>
  </si>
  <si>
    <t>Lowell</t>
  </si>
  <si>
    <t>Brockton</t>
  </si>
  <si>
    <t>Somerville</t>
  </si>
  <si>
    <t>Brookline</t>
  </si>
  <si>
    <t>2023 Type 3 Counts</t>
  </si>
  <si>
    <t>is Boston Navigator Total</t>
  </si>
  <si>
    <t>1-low</t>
  </si>
  <si>
    <t>2022 Tenant 3 in Boston 5 Pumas</t>
  </si>
  <si>
    <t>All</t>
  </si>
  <si>
    <t>],0)) as expr</t>
  </si>
  <si>
    <t>Sum(IIf([level_majority]="not" And [adj_grntp]/[2-bdr_pct]&lt;863,[psam_h25_2022_5yr]![wgtp],0))/Sum(IIf([adj_grntp]/[2-bdr_pct]&lt;863,[psam_h25_2022_5yr]![wgtp],0)) as expr</t>
  </si>
  <si>
    <t>Sum(IIf([level_majority]="not" And [adj_grntp]/[2-bdr_pct]&lt;863,[psam_h25_2022_5yr]![wgtp1],0))/Sum(IIf([adj_grntp]/[2-bdr_pct]&lt;863,[psam_h25_2022_5yr]![wgtp1],0)) as expr1</t>
  </si>
  <si>
    <t>Test Variance of NotLI/Total for Low</t>
  </si>
  <si>
    <t>Expr</t>
  </si>
  <si>
    <t>expr1</t>
  </si>
  <si>
    <t>expr2</t>
  </si>
  <si>
    <t>expr3</t>
  </si>
  <si>
    <t>expr4</t>
  </si>
  <si>
    <t>expr5</t>
  </si>
  <si>
    <t>expr6</t>
  </si>
  <si>
    <t>expr7</t>
  </si>
  <si>
    <t>expr8</t>
  </si>
  <si>
    <t>expr9</t>
  </si>
  <si>
    <t>expr10</t>
  </si>
  <si>
    <t>expr11</t>
  </si>
  <si>
    <t>expr12</t>
  </si>
  <si>
    <t>expr13</t>
  </si>
  <si>
    <t>expr14</t>
  </si>
  <si>
    <t>expr15</t>
  </si>
  <si>
    <t>expr16</t>
  </si>
  <si>
    <t>expr17</t>
  </si>
  <si>
    <t>expr18</t>
  </si>
  <si>
    <t>expr19</t>
  </si>
  <si>
    <t>expr20</t>
  </si>
  <si>
    <t>expr21</t>
  </si>
  <si>
    <t>expr22</t>
  </si>
  <si>
    <t>expr23</t>
  </si>
  <si>
    <t>expr24</t>
  </si>
  <si>
    <t>expr25</t>
  </si>
  <si>
    <t>expr26</t>
  </si>
  <si>
    <t>expr27</t>
  </si>
  <si>
    <t>expr28</t>
  </si>
  <si>
    <t>expr29</t>
  </si>
  <si>
    <t>expr30</t>
  </si>
  <si>
    <t>expr31</t>
  </si>
  <si>
    <t>expr32</t>
  </si>
  <si>
    <t>expr33</t>
  </si>
  <si>
    <t>expr34</t>
  </si>
  <si>
    <t>expr35</t>
  </si>
  <si>
    <t>expr36</t>
  </si>
  <si>
    <t>expr37</t>
  </si>
  <si>
    <t>expr38</t>
  </si>
  <si>
    <t>expr39</t>
  </si>
  <si>
    <t>expr40</t>
  </si>
  <si>
    <t>expr41</t>
  </si>
  <si>
    <t>expr42</t>
  </si>
  <si>
    <t>expr43</t>
  </si>
  <si>
    <t>expr44</t>
  </si>
  <si>
    <t>expr45</t>
  </si>
  <si>
    <t>expr46</t>
  </si>
  <si>
    <t>expr47</t>
  </si>
  <si>
    <t>expr48</t>
  </si>
  <si>
    <t>expr49</t>
  </si>
  <si>
    <t>expr50</t>
  </si>
  <si>
    <t>expr51</t>
  </si>
  <si>
    <t>expr52</t>
  </si>
  <si>
    <t>expr53</t>
  </si>
  <si>
    <t>expr54</t>
  </si>
  <si>
    <t>expr55</t>
  </si>
  <si>
    <t>expr56</t>
  </si>
  <si>
    <t>expr57</t>
  </si>
  <si>
    <t>expr58</t>
  </si>
  <si>
    <t>expr59</t>
  </si>
  <si>
    <t>expr60</t>
  </si>
  <si>
    <t>expr61</t>
  </si>
  <si>
    <t>expr62</t>
  </si>
  <si>
    <t>expr63</t>
  </si>
  <si>
    <t>expr64</t>
  </si>
  <si>
    <t>expr65</t>
  </si>
  <si>
    <t>expr66</t>
  </si>
  <si>
    <t>expr67</t>
  </si>
  <si>
    <t>expr68</t>
  </si>
  <si>
    <t>expr69</t>
  </si>
  <si>
    <t>expr70</t>
  </si>
  <si>
    <t>expr71</t>
  </si>
  <si>
    <t>expr72</t>
  </si>
  <si>
    <t>expr73</t>
  </si>
  <si>
    <t>expr74</t>
  </si>
  <si>
    <t>expr75</t>
  </si>
  <si>
    <t>expr76</t>
  </si>
  <si>
    <t>expr77</t>
  </si>
  <si>
    <t>expr78</t>
  </si>
  <si>
    <t>expr79</t>
  </si>
  <si>
    <t>expr80</t>
  </si>
  <si>
    <t>Squared Diff</t>
  </si>
  <si>
    <t>Sum of Squares</t>
  </si>
  <si>
    <t>SE</t>
  </si>
  <si>
    <r>
      <t>WHERE</t>
    </r>
    <r>
      <rPr>
        <sz val="9"/>
        <color rgb="FF000000"/>
        <rFont val="Segoe UI"/>
        <family val="2"/>
      </rPr>
      <t xml:space="preserve"> (((Psam_h25_2022_5yr.ten)</t>
    </r>
    <r>
      <rPr>
        <sz val="9"/>
        <color rgb="FF800080"/>
        <rFont val="Segoe UI"/>
        <family val="2"/>
      </rPr>
      <t>=</t>
    </r>
    <r>
      <rPr>
        <sz val="9"/>
        <color rgb="FF000000"/>
        <rFont val="Segoe UI"/>
        <family val="2"/>
      </rPr>
      <t xml:space="preserve">"3") </t>
    </r>
    <r>
      <rPr>
        <sz val="9"/>
        <color rgb="FF0088FF"/>
        <rFont val="Segoe UI"/>
        <family val="2"/>
      </rPr>
      <t>AND</t>
    </r>
    <r>
      <rPr>
        <sz val="9"/>
        <color rgb="FF000000"/>
        <rFont val="Segoe UI"/>
        <family val="2"/>
      </rPr>
      <t xml:space="preserve"> (([Household Income Stub].PUMA20)</t>
    </r>
    <r>
      <rPr>
        <sz val="9"/>
        <color rgb="FF800080"/>
        <rFont val="Segoe UI"/>
        <family val="2"/>
      </rPr>
      <t>=</t>
    </r>
    <r>
      <rPr>
        <sz val="9"/>
        <color rgb="FF098658"/>
        <rFont val="Segoe UI"/>
        <family val="2"/>
      </rPr>
      <t>801</t>
    </r>
    <r>
      <rPr>
        <sz val="9"/>
        <color rgb="FF000000"/>
        <rFont val="Segoe UI"/>
        <family val="2"/>
      </rPr>
      <t xml:space="preserve">)) </t>
    </r>
    <r>
      <rPr>
        <sz val="9"/>
        <color rgb="FF800080"/>
        <rFont val="Segoe UI"/>
        <family val="2"/>
      </rPr>
      <t>OR</t>
    </r>
    <r>
      <rPr>
        <sz val="9"/>
        <color rgb="FF000000"/>
        <rFont val="Segoe UI"/>
        <family val="2"/>
      </rPr>
      <t xml:space="preserve"> (((Psam_h25_2022_5yr.ten)</t>
    </r>
    <r>
      <rPr>
        <sz val="9"/>
        <color rgb="FF800080"/>
        <rFont val="Segoe UI"/>
        <family val="2"/>
      </rPr>
      <t>=</t>
    </r>
    <r>
      <rPr>
        <sz val="9"/>
        <color rgb="FF000000"/>
        <rFont val="Segoe UI"/>
        <family val="2"/>
      </rPr>
      <t xml:space="preserve">"3") </t>
    </r>
    <r>
      <rPr>
        <sz val="9"/>
        <color rgb="FF0088FF"/>
        <rFont val="Segoe UI"/>
        <family val="2"/>
      </rPr>
      <t>AND</t>
    </r>
    <r>
      <rPr>
        <sz val="9"/>
        <color rgb="FF000000"/>
        <rFont val="Segoe UI"/>
        <family val="2"/>
      </rPr>
      <t xml:space="preserve"> (([Household Income Stub].PUMA20)</t>
    </r>
    <r>
      <rPr>
        <sz val="9"/>
        <color rgb="FF800080"/>
        <rFont val="Segoe UI"/>
        <family val="2"/>
      </rPr>
      <t>=</t>
    </r>
    <r>
      <rPr>
        <sz val="9"/>
        <color rgb="FF098658"/>
        <rFont val="Segoe UI"/>
        <family val="2"/>
      </rPr>
      <t>802</t>
    </r>
    <r>
      <rPr>
        <sz val="9"/>
        <color rgb="FF000000"/>
        <rFont val="Segoe UI"/>
        <family val="2"/>
      </rPr>
      <t xml:space="preserve">)) </t>
    </r>
    <r>
      <rPr>
        <sz val="9"/>
        <color rgb="FF800080"/>
        <rFont val="Segoe UI"/>
        <family val="2"/>
      </rPr>
      <t>OR</t>
    </r>
    <r>
      <rPr>
        <sz val="9"/>
        <color rgb="FF000000"/>
        <rFont val="Segoe UI"/>
        <family val="2"/>
      </rPr>
      <t xml:space="preserve"> (((Psam_h25_2022_5yr.ten)</t>
    </r>
    <r>
      <rPr>
        <sz val="9"/>
        <color rgb="FF800080"/>
        <rFont val="Segoe UI"/>
        <family val="2"/>
      </rPr>
      <t>=</t>
    </r>
    <r>
      <rPr>
        <sz val="9"/>
        <color rgb="FF000000"/>
        <rFont val="Segoe UI"/>
        <family val="2"/>
      </rPr>
      <t xml:space="preserve">"3") </t>
    </r>
    <r>
      <rPr>
        <sz val="9"/>
        <color rgb="FF0088FF"/>
        <rFont val="Segoe UI"/>
        <family val="2"/>
      </rPr>
      <t>AND</t>
    </r>
    <r>
      <rPr>
        <sz val="9"/>
        <color rgb="FF000000"/>
        <rFont val="Segoe UI"/>
        <family val="2"/>
      </rPr>
      <t xml:space="preserve"> (([Household Income Stub].PUMA20)</t>
    </r>
    <r>
      <rPr>
        <sz val="9"/>
        <color rgb="FF800080"/>
        <rFont val="Segoe UI"/>
        <family val="2"/>
      </rPr>
      <t>=</t>
    </r>
    <r>
      <rPr>
        <sz val="9"/>
        <color rgb="FF098658"/>
        <rFont val="Segoe UI"/>
        <family val="2"/>
      </rPr>
      <t>803</t>
    </r>
    <r>
      <rPr>
        <sz val="9"/>
        <color rgb="FF000000"/>
        <rFont val="Segoe UI"/>
        <family val="2"/>
      </rPr>
      <t xml:space="preserve">)) </t>
    </r>
    <r>
      <rPr>
        <sz val="9"/>
        <color rgb="FF800080"/>
        <rFont val="Segoe UI"/>
        <family val="2"/>
      </rPr>
      <t>OR</t>
    </r>
    <r>
      <rPr>
        <sz val="9"/>
        <color rgb="FF000000"/>
        <rFont val="Segoe UI"/>
        <family val="2"/>
      </rPr>
      <t xml:space="preserve"> (((Psam_h25_2022_5yr.ten)</t>
    </r>
    <r>
      <rPr>
        <sz val="9"/>
        <color rgb="FF800080"/>
        <rFont val="Segoe UI"/>
        <family val="2"/>
      </rPr>
      <t>=</t>
    </r>
    <r>
      <rPr>
        <sz val="9"/>
        <color rgb="FF000000"/>
        <rFont val="Segoe UI"/>
        <family val="2"/>
      </rPr>
      <t xml:space="preserve">"3") </t>
    </r>
    <r>
      <rPr>
        <sz val="9"/>
        <color rgb="FF0088FF"/>
        <rFont val="Segoe UI"/>
        <family val="2"/>
      </rPr>
      <t>AND</t>
    </r>
    <r>
      <rPr>
        <sz val="9"/>
        <color rgb="FF000000"/>
        <rFont val="Segoe UI"/>
        <family val="2"/>
      </rPr>
      <t xml:space="preserve"> (([Household Income Stub].PUMA20)</t>
    </r>
    <r>
      <rPr>
        <sz val="9"/>
        <color rgb="FF800080"/>
        <rFont val="Segoe UI"/>
        <family val="2"/>
      </rPr>
      <t>=</t>
    </r>
    <r>
      <rPr>
        <sz val="9"/>
        <color rgb="FF098658"/>
        <rFont val="Segoe UI"/>
        <family val="2"/>
      </rPr>
      <t>804</t>
    </r>
    <r>
      <rPr>
        <sz val="9"/>
        <color rgb="FF000000"/>
        <rFont val="Segoe UI"/>
        <family val="2"/>
      </rPr>
      <t xml:space="preserve">)) </t>
    </r>
    <r>
      <rPr>
        <sz val="9"/>
        <color rgb="FF800080"/>
        <rFont val="Segoe UI"/>
        <family val="2"/>
      </rPr>
      <t>OR</t>
    </r>
    <r>
      <rPr>
        <sz val="9"/>
        <color rgb="FF000000"/>
        <rFont val="Segoe UI"/>
        <family val="2"/>
      </rPr>
      <t xml:space="preserve"> (((Psam_h25_2022_5yr.ten)</t>
    </r>
    <r>
      <rPr>
        <sz val="9"/>
        <color rgb="FF800080"/>
        <rFont val="Segoe UI"/>
        <family val="2"/>
      </rPr>
      <t>=</t>
    </r>
    <r>
      <rPr>
        <sz val="9"/>
        <color rgb="FF000000"/>
        <rFont val="Segoe UI"/>
        <family val="2"/>
      </rPr>
      <t xml:space="preserve">"3") </t>
    </r>
    <r>
      <rPr>
        <sz val="9"/>
        <color rgb="FF0088FF"/>
        <rFont val="Segoe UI"/>
        <family val="2"/>
      </rPr>
      <t>AND</t>
    </r>
    <r>
      <rPr>
        <sz val="9"/>
        <color rgb="FF000000"/>
        <rFont val="Segoe UI"/>
        <family val="2"/>
      </rPr>
      <t xml:space="preserve"> (([Household Income Stub].PUMA20)</t>
    </r>
    <r>
      <rPr>
        <sz val="9"/>
        <color rgb="FF800080"/>
        <rFont val="Segoe UI"/>
        <family val="2"/>
      </rPr>
      <t>=</t>
    </r>
    <r>
      <rPr>
        <sz val="9"/>
        <color rgb="FF098658"/>
        <rFont val="Segoe UI"/>
        <family val="2"/>
      </rPr>
      <t>805</t>
    </r>
    <r>
      <rPr>
        <sz val="9"/>
        <color rgb="FF000000"/>
        <rFont val="Segoe UI"/>
        <family val="2"/>
      </rPr>
      <t xml:space="preserve">)) </t>
    </r>
    <r>
      <rPr>
        <sz val="9"/>
        <color rgb="FF800080"/>
        <rFont val="Segoe UI"/>
        <family val="2"/>
      </rPr>
      <t>OR</t>
    </r>
    <r>
      <rPr>
        <sz val="9"/>
        <color rgb="FF000000"/>
        <rFont val="Segoe UI"/>
        <family val="2"/>
      </rPr>
      <t xml:space="preserve"> (((Psam_h25_2022_5yr.ten)</t>
    </r>
    <r>
      <rPr>
        <sz val="9"/>
        <color rgb="FF800080"/>
        <rFont val="Segoe UI"/>
        <family val="2"/>
      </rPr>
      <t>=</t>
    </r>
    <r>
      <rPr>
        <sz val="9"/>
        <color rgb="FF000000"/>
        <rFont val="Segoe UI"/>
        <family val="2"/>
      </rPr>
      <t xml:space="preserve">"3") </t>
    </r>
    <r>
      <rPr>
        <sz val="9"/>
        <color rgb="FF0088FF"/>
        <rFont val="Segoe UI"/>
        <family val="2"/>
      </rPr>
      <t>AND</t>
    </r>
    <r>
      <rPr>
        <sz val="9"/>
        <color rgb="FF000000"/>
        <rFont val="Segoe UI"/>
        <family val="2"/>
      </rPr>
      <t xml:space="preserve"> (([Household Income Stub].PUMA10)</t>
    </r>
    <r>
      <rPr>
        <sz val="9"/>
        <color rgb="FF800080"/>
        <rFont val="Segoe UI"/>
        <family val="2"/>
      </rPr>
      <t>=</t>
    </r>
    <r>
      <rPr>
        <sz val="9"/>
        <color rgb="FF098658"/>
        <rFont val="Segoe UI"/>
        <family val="2"/>
      </rPr>
      <t>3301</t>
    </r>
    <r>
      <rPr>
        <sz val="9"/>
        <color rgb="FF000000"/>
        <rFont val="Segoe UI"/>
        <family val="2"/>
      </rPr>
      <t xml:space="preserve">)) </t>
    </r>
    <r>
      <rPr>
        <sz val="9"/>
        <color rgb="FF800080"/>
        <rFont val="Segoe UI"/>
        <family val="2"/>
      </rPr>
      <t>OR</t>
    </r>
    <r>
      <rPr>
        <sz val="9"/>
        <color rgb="FF000000"/>
        <rFont val="Segoe UI"/>
        <family val="2"/>
      </rPr>
      <t xml:space="preserve"> (((Psam_h25_2022_5yr.ten)</t>
    </r>
    <r>
      <rPr>
        <sz val="9"/>
        <color rgb="FF800080"/>
        <rFont val="Segoe UI"/>
        <family val="2"/>
      </rPr>
      <t>=</t>
    </r>
    <r>
      <rPr>
        <sz val="9"/>
        <color rgb="FF000000"/>
        <rFont val="Segoe UI"/>
        <family val="2"/>
      </rPr>
      <t xml:space="preserve">"3") </t>
    </r>
    <r>
      <rPr>
        <sz val="9"/>
        <color rgb="FF0088FF"/>
        <rFont val="Segoe UI"/>
        <family val="2"/>
      </rPr>
      <t>AND</t>
    </r>
    <r>
      <rPr>
        <sz val="9"/>
        <color rgb="FF000000"/>
        <rFont val="Segoe UI"/>
        <family val="2"/>
      </rPr>
      <t xml:space="preserve"> (([Household Income Stub].PUMA10)</t>
    </r>
    <r>
      <rPr>
        <sz val="9"/>
        <color rgb="FF800080"/>
        <rFont val="Segoe UI"/>
        <family val="2"/>
      </rPr>
      <t>=</t>
    </r>
    <r>
      <rPr>
        <sz val="9"/>
        <color rgb="FF098658"/>
        <rFont val="Segoe UI"/>
        <family val="2"/>
      </rPr>
      <t>3302</t>
    </r>
    <r>
      <rPr>
        <sz val="9"/>
        <color rgb="FF000000"/>
        <rFont val="Segoe UI"/>
        <family val="2"/>
      </rPr>
      <t xml:space="preserve">)) </t>
    </r>
    <r>
      <rPr>
        <sz val="9"/>
        <color rgb="FF800080"/>
        <rFont val="Segoe UI"/>
        <family val="2"/>
      </rPr>
      <t>OR</t>
    </r>
    <r>
      <rPr>
        <sz val="9"/>
        <color rgb="FF000000"/>
        <rFont val="Segoe UI"/>
        <family val="2"/>
      </rPr>
      <t xml:space="preserve"> (((Psam_h25_2022_5yr.ten)</t>
    </r>
    <r>
      <rPr>
        <sz val="9"/>
        <color rgb="FF800080"/>
        <rFont val="Segoe UI"/>
        <family val="2"/>
      </rPr>
      <t>=</t>
    </r>
    <r>
      <rPr>
        <sz val="9"/>
        <color rgb="FF000000"/>
        <rFont val="Segoe UI"/>
        <family val="2"/>
      </rPr>
      <t xml:space="preserve">"3") </t>
    </r>
    <r>
      <rPr>
        <sz val="9"/>
        <color rgb="FF0088FF"/>
        <rFont val="Segoe UI"/>
        <family val="2"/>
      </rPr>
      <t>AND</t>
    </r>
    <r>
      <rPr>
        <sz val="9"/>
        <color rgb="FF000000"/>
        <rFont val="Segoe UI"/>
        <family val="2"/>
      </rPr>
      <t xml:space="preserve"> (([Household Income Stub].PUMA10)</t>
    </r>
    <r>
      <rPr>
        <sz val="9"/>
        <color rgb="FF800080"/>
        <rFont val="Segoe UI"/>
        <family val="2"/>
      </rPr>
      <t>=</t>
    </r>
    <r>
      <rPr>
        <sz val="9"/>
        <color rgb="FF098658"/>
        <rFont val="Segoe UI"/>
        <family val="2"/>
      </rPr>
      <t>3303</t>
    </r>
    <r>
      <rPr>
        <sz val="9"/>
        <color rgb="FF000000"/>
        <rFont val="Segoe UI"/>
        <family val="2"/>
      </rPr>
      <t xml:space="preserve">)) </t>
    </r>
    <r>
      <rPr>
        <sz val="9"/>
        <color rgb="FF800080"/>
        <rFont val="Segoe UI"/>
        <family val="2"/>
      </rPr>
      <t>OR</t>
    </r>
    <r>
      <rPr>
        <sz val="9"/>
        <color rgb="FF000000"/>
        <rFont val="Segoe UI"/>
        <family val="2"/>
      </rPr>
      <t xml:space="preserve"> (((Psam_h25_2022_5yr.ten)</t>
    </r>
    <r>
      <rPr>
        <sz val="9"/>
        <color rgb="FF800080"/>
        <rFont val="Segoe UI"/>
        <family val="2"/>
      </rPr>
      <t>=</t>
    </r>
    <r>
      <rPr>
        <sz val="9"/>
        <color rgb="FF000000"/>
        <rFont val="Segoe UI"/>
        <family val="2"/>
      </rPr>
      <t xml:space="preserve">"3") </t>
    </r>
    <r>
      <rPr>
        <sz val="9"/>
        <color rgb="FF0088FF"/>
        <rFont val="Segoe UI"/>
        <family val="2"/>
      </rPr>
      <t>AND</t>
    </r>
    <r>
      <rPr>
        <sz val="9"/>
        <color rgb="FF000000"/>
        <rFont val="Segoe UI"/>
        <family val="2"/>
      </rPr>
      <t xml:space="preserve"> (([Household Income Stub].PUMA10)</t>
    </r>
    <r>
      <rPr>
        <sz val="9"/>
        <color rgb="FF800080"/>
        <rFont val="Segoe UI"/>
        <family val="2"/>
      </rPr>
      <t>=</t>
    </r>
    <r>
      <rPr>
        <sz val="9"/>
        <color rgb="FF098658"/>
        <rFont val="Segoe UI"/>
        <family val="2"/>
      </rPr>
      <t>3304</t>
    </r>
    <r>
      <rPr>
        <sz val="9"/>
        <color rgb="FF000000"/>
        <rFont val="Segoe UI"/>
        <family val="2"/>
      </rPr>
      <t xml:space="preserve">)) </t>
    </r>
    <r>
      <rPr>
        <sz val="9"/>
        <color rgb="FF800080"/>
        <rFont val="Segoe UI"/>
        <family val="2"/>
      </rPr>
      <t>OR</t>
    </r>
    <r>
      <rPr>
        <sz val="9"/>
        <color rgb="FF000000"/>
        <rFont val="Segoe UI"/>
        <family val="2"/>
      </rPr>
      <t xml:space="preserve"> (((Psam_h25_2022_5yr.ten)</t>
    </r>
    <r>
      <rPr>
        <sz val="9"/>
        <color rgb="FF800080"/>
        <rFont val="Segoe UI"/>
        <family val="2"/>
      </rPr>
      <t>=</t>
    </r>
    <r>
      <rPr>
        <sz val="9"/>
        <color rgb="FF000000"/>
        <rFont val="Segoe UI"/>
        <family val="2"/>
      </rPr>
      <t xml:space="preserve">"3") </t>
    </r>
    <r>
      <rPr>
        <sz val="9"/>
        <color rgb="FF0088FF"/>
        <rFont val="Segoe UI"/>
        <family val="2"/>
      </rPr>
      <t>AND</t>
    </r>
    <r>
      <rPr>
        <sz val="9"/>
        <color rgb="FF000000"/>
        <rFont val="Segoe UI"/>
        <family val="2"/>
      </rPr>
      <t xml:space="preserve"> (([Household Income Stub].PUMA10)</t>
    </r>
    <r>
      <rPr>
        <sz val="9"/>
        <color rgb="FF800080"/>
        <rFont val="Segoe UI"/>
        <family val="2"/>
      </rPr>
      <t>=</t>
    </r>
    <r>
      <rPr>
        <sz val="9"/>
        <color rgb="FF098658"/>
        <rFont val="Segoe UI"/>
        <family val="2"/>
      </rPr>
      <t>3305</t>
    </r>
    <r>
      <rPr>
        <sz val="9"/>
        <color rgb="FF000000"/>
        <rFont val="Segoe UI"/>
        <family val="2"/>
      </rPr>
      <t>))</t>
    </r>
  </si>
  <si>
    <r>
      <t>SELECT</t>
    </r>
    <r>
      <rPr>
        <sz val="9"/>
        <color rgb="FF000000"/>
        <rFont val="Segoe UI"/>
        <family val="2"/>
      </rPr>
      <t xml:space="preserve"> </t>
    </r>
    <r>
      <rPr>
        <sz val="9"/>
        <color rgb="FFC700C7"/>
        <rFont val="Segoe UI"/>
        <family val="2"/>
      </rPr>
      <t>IIf</t>
    </r>
    <r>
      <rPr>
        <sz val="9"/>
        <color rgb="FF000000"/>
        <rFont val="Segoe UI"/>
        <family val="2"/>
      </rPr>
      <t>([ADJ_GRNTP]</t>
    </r>
    <r>
      <rPr>
        <sz val="9"/>
        <color rgb="FF800080"/>
        <rFont val="Segoe UI"/>
        <family val="2"/>
      </rPr>
      <t>/</t>
    </r>
    <r>
      <rPr>
        <sz val="9"/>
        <color rgb="FF000000"/>
        <rFont val="Segoe UI"/>
        <family val="2"/>
      </rPr>
      <t>[2-BDR_PCT]</t>
    </r>
    <r>
      <rPr>
        <sz val="9"/>
        <color rgb="FF800080"/>
        <rFont val="Segoe UI"/>
        <family val="2"/>
      </rPr>
      <t>&gt;</t>
    </r>
    <r>
      <rPr>
        <sz val="9"/>
        <color rgb="FF098658"/>
        <rFont val="Segoe UI"/>
        <family val="2"/>
      </rPr>
      <t>850</t>
    </r>
    <r>
      <rPr>
        <sz val="9"/>
        <color rgb="FF000000"/>
        <rFont val="Segoe UI"/>
        <family val="2"/>
      </rPr>
      <t xml:space="preserve">,"2-High","1-low") </t>
    </r>
    <r>
      <rPr>
        <sz val="9"/>
        <color rgb="FF0088FF"/>
        <rFont val="Segoe UI"/>
        <family val="2"/>
      </rPr>
      <t>AS</t>
    </r>
    <r>
      <rPr>
        <sz val="9"/>
        <color rgb="FF000000"/>
        <rFont val="Segoe UI"/>
        <family val="2"/>
      </rPr>
      <t xml:space="preserve"> size_rent</t>
    </r>
  </si>
  <si>
    <r>
      <t>GROUP</t>
    </r>
    <r>
      <rPr>
        <sz val="9"/>
        <color rgb="FF000000"/>
        <rFont val="Segoe UI"/>
        <family val="2"/>
      </rPr>
      <t xml:space="preserve"> </t>
    </r>
    <r>
      <rPr>
        <sz val="9"/>
        <color rgb="FF0088FF"/>
        <rFont val="Segoe UI"/>
        <family val="2"/>
      </rPr>
      <t>BY</t>
    </r>
    <r>
      <rPr>
        <sz val="9"/>
        <color rgb="FF000000"/>
        <rFont val="Segoe UI"/>
        <family val="2"/>
      </rPr>
      <t xml:space="preserve"> </t>
    </r>
    <r>
      <rPr>
        <sz val="9"/>
        <color rgb="FFC700C7"/>
        <rFont val="Segoe UI"/>
        <family val="2"/>
      </rPr>
      <t>IIf</t>
    </r>
    <r>
      <rPr>
        <sz val="9"/>
        <color rgb="FF000000"/>
        <rFont val="Segoe UI"/>
        <family val="2"/>
      </rPr>
      <t>([ADJ_GRNTP]</t>
    </r>
    <r>
      <rPr>
        <sz val="9"/>
        <color rgb="FF800080"/>
        <rFont val="Segoe UI"/>
        <family val="2"/>
      </rPr>
      <t>/</t>
    </r>
    <r>
      <rPr>
        <sz val="9"/>
        <color rgb="FF000000"/>
        <rFont val="Segoe UI"/>
        <family val="2"/>
      </rPr>
      <t>[2-BDR_PCT]</t>
    </r>
    <r>
      <rPr>
        <sz val="9"/>
        <color rgb="FF800080"/>
        <rFont val="Segoe UI"/>
        <family val="2"/>
      </rPr>
      <t>&gt;</t>
    </r>
    <r>
      <rPr>
        <sz val="9"/>
        <color rgb="FF098658"/>
        <rFont val="Segoe UI"/>
        <family val="2"/>
      </rPr>
      <t>850</t>
    </r>
    <r>
      <rPr>
        <sz val="9"/>
        <color rgb="FF000000"/>
        <rFont val="Segoe UI"/>
        <family val="2"/>
      </rPr>
      <t>,"2-High","1-low")</t>
    </r>
  </si>
  <si>
    <t>size_rent 850</t>
  </si>
  <si>
    <t>Sum(IIf([level_majority]="not" And [adj_grntp]/[2-bdr_pct]&lt;850,[psam_h25_2022_5yr]![wgtp</t>
  </si>
  <si>
    <t>],0))/Sum(IIf([adj_grntp]/[2-bdr_pct]&lt;850,[psam_h25_2022_5yr]![wgtp</t>
  </si>
  <si>
    <t>expr</t>
  </si>
  <si>
    <t>NOTE:  Calculates &lt; 850 while above is &lt;= 850 for the low category</t>
  </si>
  <si>
    <t>DISTRIBUTION OF LOW NOT LI HH'S BY MARKET AREA</t>
  </si>
  <si>
    <t>eli threshold</t>
  </si>
  <si>
    <t>share of low not LI HH's vers share of all</t>
  </si>
  <si>
    <t>No Rent households, Ten 4</t>
  </si>
  <si>
    <t>Non-zero Rent Households, Ten 3</t>
  </si>
  <si>
    <t>Zero rent</t>
  </si>
  <si>
    <t>Estimated Counts</t>
  </si>
  <si>
    <t>Estimated counts with state at high income</t>
  </si>
  <si>
    <t>Rent &gt; 863</t>
  </si>
  <si>
    <t>Level_Majority-a</t>
  </si>
  <si>
    <t>1-Zero Rent</t>
  </si>
  <si>
    <t>2-Not Rent Burdened</t>
  </si>
  <si>
    <t>3-Rent Burdened</t>
  </si>
  <si>
    <t>4-Severely Rent Burdened</t>
  </si>
  <si>
    <t>5-Unsustainably Rent Burdened</t>
  </si>
  <si>
    <t>All rents</t>
  </si>
  <si>
    <t>Low rent set</t>
  </si>
  <si>
    <t>Higher rents</t>
  </si>
  <si>
    <t>All Non Zero Burdens</t>
  </si>
  <si>
    <t>All Levels</t>
  </si>
  <si>
    <t>All, including zero burdens</t>
  </si>
  <si>
    <t>Extremely Low Income</t>
  </si>
  <si>
    <t>Zero Rent</t>
  </si>
  <si>
    <t>Very Low Income</t>
  </si>
  <si>
    <t>Low Income</t>
  </si>
  <si>
    <t>Not Low Income</t>
  </si>
  <si>
    <t>Memo: 60% of mobile reporting contract rent</t>
  </si>
  <si>
    <t>Memo: Mobile vouchers reporting contract rent (60%)</t>
  </si>
  <si>
    <t>All "Unsustainably burdened"</t>
  </si>
  <si>
    <t>Burdened or Severe</t>
  </si>
  <si>
    <t>Unsustainable</t>
  </si>
  <si>
    <t>Not: RBI/TTP</t>
  </si>
  <si>
    <t>Not: Market</t>
  </si>
  <si>
    <t>Not: Voucher @ Contract Rent</t>
  </si>
  <si>
    <t>Does_RIB_Sort_out_all</t>
  </si>
  <si>
    <t>Does_RIB_Sort_out_all -- target total is with TTP @ 40% of vouchers</t>
  </si>
  <si>
    <t>constrained Does_RIB_Sort_out_all</t>
  </si>
  <si>
    <t>Level-Majority-split</t>
  </si>
  <si>
    <t>4-ELI-OVER</t>
  </si>
  <si>
    <t>5-VLI-OVER</t>
  </si>
  <si>
    <t>6-LI-OVER</t>
  </si>
  <si>
    <t>7-NOT LI</t>
  </si>
  <si>
    <t>Target at TTP %</t>
  </si>
  <si>
    <t>Does_RIB_Sort_out_all -- target total is with TTP @ 60% of vouchers</t>
  </si>
  <si>
    <t>Cutoff is 920</t>
  </si>
  <si>
    <t>Does_RIB_Sort_out_all -- target total is with TTP @ 20% of vouchers</t>
  </si>
  <si>
    <t>Cutoff is 795</t>
  </si>
  <si>
    <t>% reporting TTP</t>
  </si>
  <si>
    <t>Does_RIB_Sort_out_all -- target total is with TTP @ 0% of vouchers</t>
  </si>
  <si>
    <t>Size of rent</t>
  </si>
  <si>
    <t>Cut off is 863</t>
  </si>
  <si>
    <t>Cut off is 730</t>
  </si>
  <si>
    <t>Crossover</t>
  </si>
  <si>
    <t>Crossover as % of total</t>
  </si>
  <si>
    <t>Does_RIB_Sort_out_all -- target total is with TTP @ 80% of vouchers</t>
  </si>
  <si>
    <t>Cutoff is 980</t>
  </si>
  <si>
    <t>Expected income Mix</t>
  </si>
  <si>
    <t>All levels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</si>
</sst>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_(&quot;$&quot;* #,##0_);_(&quot;$&quot;* \(#,##0\);_(&quot;$&quot;* &quot;-&quot;??_);_(@_)"/>
    <numFmt numFmtId="167" formatCode="0.0000%"/>
    <numFmt numFmtId="168" formatCode="0.000000%"/>
    <numFmt numFmtId="169" formatCode="_(* #,##0.0_);_(* \(#,##0.0\);_(* &quot;-&quot;?_);_(@_)"/>
  </numFmts>
  <fonts count="29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rgb="FF000000"/>
      <name val="Segoe UI"/>
      <family val="2"/>
    </font>
    <font>
      <sz val="9"/>
      <color rgb="FF0088FF"/>
      <name val="Segoe UI"/>
      <family val="2"/>
    </font>
    <font>
      <sz val="9"/>
      <color rgb="FFC700C7"/>
      <name val="Segoe UI"/>
      <family val="2"/>
    </font>
    <font>
      <sz val="9"/>
      <color rgb="FF800080"/>
      <name val="Segoe UI"/>
      <family val="2"/>
    </font>
    <font>
      <sz val="9"/>
      <color rgb="FF098658"/>
      <name val="Segoe UI"/>
      <family val="2"/>
    </font>
    <font>
      <sz val="11"/>
      <color indexed="8"/>
      <name val="Aptos"/>
      <family val="2"/>
    </font>
    <font>
      <b/>
      <sz val="11"/>
      <color rgb="FF000000"/>
      <name val="Calibri"/>
      <charset val="1"/>
    </font>
    <font>
      <sz val="11"/>
      <color rgb="FF000000"/>
      <name val="Calibri"/>
      <charset val="1"/>
    </font>
  </fonts>
  <fills count="3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2">
    <xf numFmtId="0" fontId="0" fillId="0" borderId="0"/>
    <xf numFmtId="0" fontId="1" fillId="0" borderId="0" applyNumberForma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5" applyNumberFormat="0" applyFill="0" applyAlignment="0" applyProtection="0"/>
    <xf numFmtId="0" fontId="8" fillId="0" borderId="6" applyNumberFormat="0" applyFill="0" applyAlignment="0" applyProtection="0"/>
    <xf numFmtId="0" fontId="9" fillId="0" borderId="7" applyNumberFormat="0" applyFill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0" applyNumberFormat="0" applyBorder="0" applyAlignment="0" applyProtection="0"/>
    <xf numFmtId="0" fontId="13" fillId="7" borderId="8" applyNumberFormat="0" applyAlignment="0" applyProtection="0"/>
    <xf numFmtId="0" fontId="14" fillId="8" borderId="9" applyNumberFormat="0" applyAlignment="0" applyProtection="0"/>
    <xf numFmtId="0" fontId="15" fillId="8" borderId="8" applyNumberFormat="0" applyAlignment="0" applyProtection="0"/>
    <xf numFmtId="0" fontId="16" fillId="0" borderId="10" applyNumberFormat="0" applyFill="0" applyAlignment="0" applyProtection="0"/>
    <xf numFmtId="0" fontId="17" fillId="9" borderId="11" applyNumberFormat="0" applyAlignment="0" applyProtection="0"/>
    <xf numFmtId="0" fontId="18" fillId="0" borderId="0" applyNumberFormat="0" applyFill="0" applyBorder="0" applyAlignment="0" applyProtection="0"/>
    <xf numFmtId="0" fontId="3" fillId="10" borderId="12" applyNumberFormat="0" applyFont="0" applyAlignment="0" applyProtection="0"/>
    <xf numFmtId="0" fontId="19" fillId="0" borderId="0" applyNumberFormat="0" applyFill="0" applyBorder="0" applyAlignment="0" applyProtection="0"/>
    <xf numFmtId="0" fontId="2" fillId="0" borderId="13" applyNumberFormat="0" applyFill="0" applyAlignment="0" applyProtection="0"/>
    <xf numFmtId="0" fontId="20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20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20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20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20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20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92">
    <xf numFmtId="0" fontId="0" fillId="0" borderId="0" xfId="0"/>
    <xf numFmtId="9" fontId="0" fillId="0" borderId="0" xfId="2" applyFont="1"/>
    <xf numFmtId="6" fontId="0" fillId="0" borderId="0" xfId="0" applyNumberFormat="1"/>
    <xf numFmtId="166" fontId="0" fillId="0" borderId="0" xfId="4" applyNumberFormat="1" applyFont="1"/>
    <xf numFmtId="10" fontId="0" fillId="0" borderId="0" xfId="2" applyNumberFormat="1" applyFont="1"/>
    <xf numFmtId="0" fontId="5" fillId="3" borderId="1" xfId="46" applyFont="1" applyFill="1" applyBorder="1" applyAlignment="1">
      <alignment horizontal="center"/>
    </xf>
    <xf numFmtId="0" fontId="5" fillId="0" borderId="4" xfId="46" applyFont="1" applyBorder="1" applyAlignment="1">
      <alignment horizontal="right" wrapText="1"/>
    </xf>
    <xf numFmtId="0" fontId="5" fillId="0" borderId="0" xfId="46" applyFont="1" applyAlignment="1">
      <alignment horizontal="right" wrapText="1"/>
    </xf>
    <xf numFmtId="0" fontId="5" fillId="3" borderId="1" xfId="46" applyFont="1" applyFill="1" applyBorder="1" applyAlignment="1">
      <alignment horizontal="center" wrapText="1"/>
    </xf>
    <xf numFmtId="0" fontId="5" fillId="0" borderId="4" xfId="46" applyFont="1" applyBorder="1"/>
    <xf numFmtId="164" fontId="5" fillId="3" borderId="1" xfId="3" applyNumberFormat="1" applyFont="1" applyFill="1" applyBorder="1" applyAlignment="1">
      <alignment horizontal="center"/>
    </xf>
    <xf numFmtId="164" fontId="5" fillId="0" borderId="4" xfId="3" applyNumberFormat="1" applyFont="1" applyFill="1" applyBorder="1" applyAlignment="1">
      <alignment wrapText="1"/>
    </xf>
    <xf numFmtId="164" fontId="5" fillId="0" borderId="4" xfId="3" applyNumberFormat="1" applyFont="1" applyFill="1" applyBorder="1" applyAlignment="1">
      <alignment horizontal="right" wrapText="1"/>
    </xf>
    <xf numFmtId="164" fontId="0" fillId="0" borderId="0" xfId="3" applyNumberFormat="1" applyFont="1"/>
    <xf numFmtId="0" fontId="5" fillId="0" borderId="4" xfId="47" applyFont="1" applyBorder="1" applyAlignment="1">
      <alignment horizontal="right" wrapText="1"/>
    </xf>
    <xf numFmtId="0" fontId="5" fillId="3" borderId="1" xfId="47" applyFont="1" applyFill="1" applyBorder="1" applyAlignment="1">
      <alignment horizontal="center" wrapText="1"/>
    </xf>
    <xf numFmtId="0" fontId="22" fillId="0" borderId="0" xfId="0" applyFont="1" applyAlignment="1">
      <alignment vertical="center"/>
    </xf>
    <xf numFmtId="0" fontId="5" fillId="3" borderId="1" xfId="47" applyFont="1" applyFill="1" applyBorder="1" applyAlignment="1">
      <alignment horizontal="center"/>
    </xf>
    <xf numFmtId="0" fontId="5" fillId="0" borderId="4" xfId="47" applyFont="1" applyBorder="1" applyAlignment="1">
      <alignment wrapText="1"/>
    </xf>
    <xf numFmtId="0" fontId="5" fillId="0" borderId="4" xfId="47" applyFont="1" applyBorder="1"/>
    <xf numFmtId="166" fontId="5" fillId="0" borderId="4" xfId="4" applyNumberFormat="1" applyFont="1" applyFill="1" applyBorder="1" applyAlignment="1">
      <alignment horizontal="right"/>
    </xf>
    <xf numFmtId="0" fontId="5" fillId="0" borderId="4" xfId="48" applyFont="1" applyBorder="1" applyAlignment="1">
      <alignment wrapText="1"/>
    </xf>
    <xf numFmtId="0" fontId="5" fillId="3" borderId="1" xfId="48" applyFont="1" applyFill="1" applyBorder="1" applyAlignment="1">
      <alignment horizontal="center"/>
    </xf>
    <xf numFmtId="164" fontId="5" fillId="3" borderId="1" xfId="3" applyNumberFormat="1" applyFont="1" applyFill="1" applyBorder="1" applyAlignment="1">
      <alignment horizontal="center" wrapText="1"/>
    </xf>
    <xf numFmtId="166" fontId="5" fillId="0" borderId="4" xfId="4" applyNumberFormat="1" applyFont="1" applyFill="1" applyBorder="1" applyAlignment="1">
      <alignment horizontal="right" wrapText="1"/>
    </xf>
    <xf numFmtId="9" fontId="5" fillId="0" borderId="4" xfId="2" applyFont="1" applyFill="1" applyBorder="1" applyAlignment="1">
      <alignment horizontal="right" wrapText="1"/>
    </xf>
    <xf numFmtId="0" fontId="5" fillId="0" borderId="4" xfId="48" applyFont="1" applyBorder="1" applyAlignment="1">
      <alignment horizontal="right" wrapText="1"/>
    </xf>
    <xf numFmtId="0" fontId="2" fillId="0" borderId="0" xfId="0" applyFont="1"/>
    <xf numFmtId="0" fontId="0" fillId="0" borderId="14" xfId="0" applyBorder="1"/>
    <xf numFmtId="9" fontId="0" fillId="0" borderId="0" xfId="0" applyNumberFormat="1"/>
    <xf numFmtId="165" fontId="0" fillId="0" borderId="0" xfId="2" applyNumberFormat="1" applyFont="1"/>
    <xf numFmtId="164" fontId="0" fillId="0" borderId="0" xfId="0" applyNumberFormat="1"/>
    <xf numFmtId="0" fontId="1" fillId="0" borderId="0" xfId="1"/>
    <xf numFmtId="0" fontId="0" fillId="0" borderId="0" xfId="0" applyAlignment="1">
      <alignment wrapText="1"/>
    </xf>
    <xf numFmtId="164" fontId="0" fillId="0" borderId="14" xfId="3" applyNumberFormat="1" applyFont="1" applyBorder="1"/>
    <xf numFmtId="0" fontId="26" fillId="3" borderId="1" xfId="48" applyFont="1" applyFill="1" applyBorder="1" applyAlignment="1">
      <alignment horizontal="center"/>
    </xf>
    <xf numFmtId="0" fontId="26" fillId="0" borderId="4" xfId="48" applyFont="1" applyBorder="1" applyAlignment="1">
      <alignment wrapText="1"/>
    </xf>
    <xf numFmtId="0" fontId="26" fillId="0" borderId="4" xfId="48" applyFont="1" applyBorder="1" applyAlignment="1">
      <alignment horizontal="right" wrapText="1"/>
    </xf>
    <xf numFmtId="9" fontId="26" fillId="0" borderId="4" xfId="48" applyNumberFormat="1" applyFont="1" applyBorder="1" applyAlignment="1">
      <alignment horizontal="right" wrapText="1"/>
    </xf>
    <xf numFmtId="0" fontId="26" fillId="0" borderId="4" xfId="48" applyFont="1" applyBorder="1"/>
    <xf numFmtId="0" fontId="5" fillId="3" borderId="14" xfId="46" applyFont="1" applyFill="1" applyBorder="1" applyAlignment="1">
      <alignment horizontal="center"/>
    </xf>
    <xf numFmtId="0" fontId="5" fillId="0" borderId="14" xfId="46" applyFont="1" applyBorder="1" applyAlignment="1">
      <alignment wrapText="1"/>
    </xf>
    <xf numFmtId="164" fontId="5" fillId="0" borderId="14" xfId="3" applyNumberFormat="1" applyFont="1" applyFill="1" applyBorder="1" applyAlignment="1">
      <alignment horizontal="right" wrapText="1"/>
    </xf>
    <xf numFmtId="164" fontId="0" fillId="0" borderId="14" xfId="0" applyNumberFormat="1" applyBorder="1"/>
    <xf numFmtId="9" fontId="0" fillId="0" borderId="14" xfId="2" applyFont="1" applyBorder="1"/>
    <xf numFmtId="0" fontId="5" fillId="3" borderId="1" xfId="49" applyFont="1" applyFill="1" applyBorder="1" applyAlignment="1">
      <alignment horizontal="center"/>
    </xf>
    <xf numFmtId="0" fontId="5" fillId="0" borderId="4" xfId="49" applyFont="1" applyBorder="1" applyAlignment="1">
      <alignment horizontal="right" wrapText="1"/>
    </xf>
    <xf numFmtId="0" fontId="5" fillId="0" borderId="4" xfId="49" applyFont="1" applyBorder="1" applyAlignment="1">
      <alignment wrapText="1"/>
    </xf>
    <xf numFmtId="0" fontId="5" fillId="0" borderId="14" xfId="46" applyFont="1" applyBorder="1"/>
    <xf numFmtId="0" fontId="5" fillId="3" borderId="16" xfId="46" applyFont="1" applyFill="1" applyBorder="1" applyAlignment="1">
      <alignment horizontal="center"/>
    </xf>
    <xf numFmtId="0" fontId="5" fillId="0" borderId="0" xfId="49" applyFont="1" applyAlignment="1">
      <alignment horizontal="right" wrapText="1"/>
    </xf>
    <xf numFmtId="0" fontId="5" fillId="0" borderId="4" xfId="46" applyFont="1" applyBorder="1" applyAlignment="1">
      <alignment horizontal="right"/>
    </xf>
    <xf numFmtId="0" fontId="5" fillId="0" borderId="0" xfId="46" applyFont="1"/>
    <xf numFmtId="164" fontId="5" fillId="0" borderId="15" xfId="3" applyNumberFormat="1" applyFont="1" applyFill="1" applyBorder="1" applyAlignment="1">
      <alignment horizontal="right"/>
    </xf>
    <xf numFmtId="0" fontId="5" fillId="3" borderId="1" xfId="50" applyFont="1" applyFill="1" applyBorder="1" applyAlignment="1">
      <alignment horizontal="center"/>
    </xf>
    <xf numFmtId="0" fontId="5" fillId="0" borderId="4" xfId="50" applyFont="1" applyBorder="1" applyAlignment="1">
      <alignment horizontal="right" wrapText="1"/>
    </xf>
    <xf numFmtId="0" fontId="5" fillId="3" borderId="2" xfId="50" applyFont="1" applyFill="1" applyBorder="1" applyAlignment="1">
      <alignment horizontal="center"/>
    </xf>
    <xf numFmtId="167" fontId="0" fillId="0" borderId="14" xfId="2" applyNumberFormat="1" applyFont="1" applyBorder="1"/>
    <xf numFmtId="9" fontId="0" fillId="0" borderId="0" xfId="2" applyFont="1" applyBorder="1"/>
    <xf numFmtId="10" fontId="5" fillId="0" borderId="4" xfId="46" applyNumberFormat="1" applyFont="1" applyBorder="1" applyAlignment="1">
      <alignment horizontal="right" wrapText="1"/>
    </xf>
    <xf numFmtId="168" fontId="0" fillId="0" borderId="0" xfId="0" applyNumberFormat="1"/>
    <xf numFmtId="10" fontId="5" fillId="0" borderId="0" xfId="46" applyNumberFormat="1" applyFont="1" applyAlignment="1">
      <alignment horizontal="right" wrapText="1"/>
    </xf>
    <xf numFmtId="165" fontId="5" fillId="0" borderId="4" xfId="2" applyNumberFormat="1" applyFont="1" applyFill="1" applyBorder="1" applyAlignment="1">
      <alignment horizontal="right" wrapText="1"/>
    </xf>
    <xf numFmtId="164" fontId="0" fillId="0" borderId="14" xfId="3" applyNumberFormat="1" applyFont="1" applyBorder="1" applyAlignment="1"/>
    <xf numFmtId="2" fontId="0" fillId="0" borderId="0" xfId="0" applyNumberFormat="1"/>
    <xf numFmtId="0" fontId="5" fillId="3" borderId="3" xfId="46" applyFont="1" applyFill="1" applyBorder="1" applyAlignment="1">
      <alignment horizontal="left"/>
    </xf>
    <xf numFmtId="2" fontId="11" fillId="5" borderId="0" xfId="11" applyNumberFormat="1"/>
    <xf numFmtId="0" fontId="13" fillId="7" borderId="8" xfId="13"/>
    <xf numFmtId="0" fontId="13" fillId="7" borderId="8" xfId="13" applyAlignment="1">
      <alignment horizontal="center"/>
    </xf>
    <xf numFmtId="0" fontId="13" fillId="7" borderId="8" xfId="13" applyAlignment="1">
      <alignment wrapText="1"/>
    </xf>
    <xf numFmtId="0" fontId="13" fillId="7" borderId="8" xfId="13" applyAlignment="1">
      <alignment horizontal="right" wrapText="1"/>
    </xf>
    <xf numFmtId="164" fontId="13" fillId="7" borderId="8" xfId="13" applyNumberFormat="1"/>
    <xf numFmtId="9" fontId="13" fillId="7" borderId="8" xfId="13" applyNumberFormat="1"/>
    <xf numFmtId="0" fontId="5" fillId="0" borderId="17" xfId="51" applyFont="1" applyBorder="1" applyAlignment="1">
      <alignment wrapText="1"/>
    </xf>
    <xf numFmtId="0" fontId="5" fillId="3" borderId="14" xfId="51" applyFont="1" applyFill="1" applyBorder="1" applyAlignment="1">
      <alignment horizontal="center"/>
    </xf>
    <xf numFmtId="0" fontId="5" fillId="0" borderId="14" xfId="51" applyFont="1" applyBorder="1" applyAlignment="1">
      <alignment wrapText="1"/>
    </xf>
    <xf numFmtId="164" fontId="4" fillId="0" borderId="14" xfId="3" applyNumberFormat="1" applyFont="1" applyBorder="1"/>
    <xf numFmtId="164" fontId="5" fillId="2" borderId="14" xfId="3" applyNumberFormat="1" applyFont="1" applyFill="1" applyBorder="1" applyAlignment="1">
      <alignment horizontal="right" wrapText="1"/>
    </xf>
    <xf numFmtId="0" fontId="5" fillId="3" borderId="15" xfId="51" applyFont="1" applyFill="1" applyBorder="1" applyAlignment="1">
      <alignment horizontal="center" wrapText="1"/>
    </xf>
    <xf numFmtId="0" fontId="5" fillId="0" borderId="15" xfId="51" applyFont="1" applyBorder="1" applyAlignment="1">
      <alignment wrapText="1"/>
    </xf>
    <xf numFmtId="164" fontId="5" fillId="35" borderId="14" xfId="3" applyNumberFormat="1" applyFont="1" applyFill="1" applyBorder="1" applyAlignment="1">
      <alignment horizontal="right" wrapText="1"/>
    </xf>
    <xf numFmtId="169" fontId="0" fillId="0" borderId="0" xfId="0" applyNumberFormat="1"/>
    <xf numFmtId="164" fontId="11" fillId="5" borderId="0" xfId="11" applyNumberFormat="1"/>
    <xf numFmtId="164" fontId="11" fillId="5" borderId="0" xfId="3" applyNumberFormat="1" applyFont="1" applyFill="1"/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2" fillId="0" borderId="0" xfId="0" applyFont="1"/>
    <xf numFmtId="0" fontId="27" fillId="36" borderId="18" xfId="0" applyFont="1" applyFill="1" applyBorder="1"/>
    <xf numFmtId="0" fontId="28" fillId="37" borderId="18" xfId="0" applyFont="1" applyFill="1" applyBorder="1"/>
    <xf numFmtId="0" fontId="0" fillId="37" borderId="18" xfId="0" applyFill="1" applyBorder="1"/>
    <xf numFmtId="9" fontId="2" fillId="0" borderId="0" xfId="0" applyNumberFormat="1" applyFont="1"/>
  </cellXfs>
  <cellStyles count="52">
    <cellStyle name="20% - Accent1" xfId="23" builtinId="30" customBuiltin="1"/>
    <cellStyle name="20% - Accent2" xfId="27" builtinId="34" customBuiltin="1"/>
    <cellStyle name="20% - Accent3" xfId="31" builtinId="38" customBuiltin="1"/>
    <cellStyle name="20% - Accent4" xfId="35" builtinId="42" customBuiltin="1"/>
    <cellStyle name="20% - Accent5" xfId="39" builtinId="46" customBuiltin="1"/>
    <cellStyle name="20% - Accent6" xfId="43" builtinId="50" customBuiltin="1"/>
    <cellStyle name="40% - Accent1" xfId="24" builtinId="31" customBuiltin="1"/>
    <cellStyle name="40% - Accent2" xfId="28" builtinId="35" customBuiltin="1"/>
    <cellStyle name="40% - Accent3" xfId="32" builtinId="39" customBuiltin="1"/>
    <cellStyle name="40% - Accent4" xfId="36" builtinId="43" customBuiltin="1"/>
    <cellStyle name="40% - Accent5" xfId="40" builtinId="47" customBuiltin="1"/>
    <cellStyle name="40% - Accent6" xfId="44" builtinId="51" customBuiltin="1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1" builtinId="27" customBuiltin="1"/>
    <cellStyle name="Calculation" xfId="15" builtinId="22" customBuiltin="1"/>
    <cellStyle name="Check Cell" xfId="17" builtinId="23" customBuiltin="1"/>
    <cellStyle name="Comma" xfId="3" builtinId="3"/>
    <cellStyle name="Currency" xfId="4" builtinId="4"/>
    <cellStyle name="Explanatory Text" xfId="20" builtinId="53" customBuiltin="1"/>
    <cellStyle name="Good" xfId="10" builtinId="26" customBuiltin="1"/>
    <cellStyle name="Heading 1" xfId="6" builtinId="16" customBuiltin="1"/>
    <cellStyle name="Heading 2" xfId="7" builtinId="17" customBuiltin="1"/>
    <cellStyle name="Heading 3" xfId="8" builtinId="18" customBuiltin="1"/>
    <cellStyle name="Heading 4" xfId="9" builtinId="19" customBuiltin="1"/>
    <cellStyle name="Hyperlink" xfId="1" builtinId="8"/>
    <cellStyle name="Input" xfId="13" builtinId="20" customBuiltin="1"/>
    <cellStyle name="Linked Cell" xfId="16" builtinId="24" customBuiltin="1"/>
    <cellStyle name="Neutral" xfId="12" builtinId="28" customBuiltin="1"/>
    <cellStyle name="Normal" xfId="0" builtinId="0"/>
    <cellStyle name="Normal_2022 all" xfId="46" xr:uid="{195C8D9C-F784-4A3D-8BCA-55FB285CBA5F}"/>
    <cellStyle name="Normal_2022 Particular markets" xfId="50" xr:uid="{85F1B57F-82D5-4903-B53C-3A17AC30839E}"/>
    <cellStyle name="Normal_2023 particular markets" xfId="49" xr:uid="{99AE0118-B2E2-45EE-98E0-5599E30ED551}"/>
    <cellStyle name="Normal_Comparison to URB" xfId="51" xr:uid="{BBD4B02D-D0B6-4800-8CEC-C9F3C02DE5F0}"/>
    <cellStyle name="Normal_ELI Income Distribution" xfId="47" xr:uid="{2F02C58A-1B76-4C2A-878E-BF74713C1F93}"/>
    <cellStyle name="Normal_Rent Averages for Bedrooms" xfId="48" xr:uid="{6D5E7004-0CDF-4965-AF9B-C449022BB116}"/>
    <cellStyle name="Note" xfId="19" builtinId="10" customBuiltin="1"/>
    <cellStyle name="Output" xfId="14" builtinId="21" customBuiltin="1"/>
    <cellStyle name="Percent" xfId="2" builtinId="5"/>
    <cellStyle name="Title" xfId="5" builtinId="15" customBuiltin="1"/>
    <cellStyle name="Total" xfId="21" builtinId="25" customBuiltin="1"/>
    <cellStyle name="Warning Text" xfId="18" builtinId="11" customBuiltin="1"/>
  </cellStyles>
  <dxfs count="0"/>
  <tableStyles count="0" defaultTableStyle="TableStyleMedium2" defaultPivotStyle="PivotStyleMedium9"/>
  <colors>
    <mruColors>
      <color rgb="FF55FD75"/>
      <color rgb="FFB2F8C3"/>
      <color rgb="FFFFE8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2.xml"/><Relationship Id="rId1" Type="http://schemas.microsoft.com/office/2011/relationships/chartStyle" Target="style2.xml"/><Relationship Id="rId4" Type="http://schemas.openxmlformats.org/officeDocument/2006/relationships/image" Target="../media/image1.jpeg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3.xml"/><Relationship Id="rId1" Type="http://schemas.microsoft.com/office/2011/relationships/chartStyle" Target="style3.xml"/><Relationship Id="rId4" Type="http://schemas.openxmlformats.org/officeDocument/2006/relationships/image" Target="../media/image1.jpeg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4.xml"/><Relationship Id="rId1" Type="http://schemas.microsoft.com/office/2011/relationships/chartStyle" Target="style4.xml"/><Relationship Id="rId4" Type="http://schemas.openxmlformats.org/officeDocument/2006/relationships/image" Target="../media/image1.jpeg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5.xml"/><Relationship Id="rId1" Type="http://schemas.microsoft.com/office/2011/relationships/chartStyle" Target="style5.xml"/><Relationship Id="rId4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'Comparison to URB'!$B$22</c:f>
              <c:strCache>
                <c:ptCount val="1"/>
                <c:pt idx="0">
                  <c:v>Extremely Low Income</c:v>
                </c:pt>
              </c:strCache>
            </c:strRef>
          </c:tx>
          <c:spPr>
            <a:solidFill>
              <a:srgbClr val="55FD75"/>
            </a:solidFill>
          </c:spPr>
          <c:dPt>
            <c:idx val="0"/>
            <c:bubble3D val="0"/>
            <c:spPr>
              <a:solidFill>
                <a:schemeClr val="bg1">
                  <a:lumMod val="8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368B-4833-98F1-BF626FC5F623}"/>
              </c:ext>
            </c:extLst>
          </c:dPt>
          <c:dPt>
            <c:idx val="1"/>
            <c:bubble3D val="0"/>
            <c:explosion val="1"/>
            <c:spPr>
              <a:solidFill>
                <a:srgbClr val="55FD7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68B-4833-98F1-BF626FC5F623}"/>
              </c:ext>
            </c:extLst>
          </c:dPt>
          <c:dPt>
            <c:idx val="2"/>
            <c:bubble3D val="0"/>
            <c:spPr>
              <a:solidFill>
                <a:srgbClr val="55FD7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68B-4833-98F1-BF626FC5F623}"/>
              </c:ext>
            </c:extLst>
          </c:dPt>
          <c:dPt>
            <c:idx val="3"/>
            <c:bubble3D val="0"/>
            <c:spPr>
              <a:solidFill>
                <a:srgbClr val="55FD7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368B-4833-98F1-BF626FC5F623}"/>
              </c:ext>
            </c:extLst>
          </c:dPt>
          <c:dPt>
            <c:idx val="4"/>
            <c:bubble3D val="0"/>
            <c:spPr>
              <a:solidFill>
                <a:srgbClr val="FFC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368B-4833-98F1-BF626FC5F623}"/>
              </c:ext>
            </c:extLst>
          </c:dPt>
          <c:dPt>
            <c:idx val="5"/>
            <c:bubble3D val="0"/>
            <c:spPr>
              <a:solidFill>
                <a:schemeClr val="bg1">
                  <a:lumMod val="8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68B-4833-98F1-BF626FC5F623}"/>
              </c:ext>
            </c:extLst>
          </c:dPt>
          <c:dLbls>
            <c:dLbl>
              <c:idx val="0"/>
              <c:layout>
                <c:manualLayout>
                  <c:x val="-2.3768347875434491E-2"/>
                  <c:y val="6.8578822013445506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68B-4833-98F1-BF626FC5F623}"/>
                </c:ext>
              </c:extLst>
            </c:dLbl>
            <c:dLbl>
              <c:idx val="2"/>
              <c:layout>
                <c:manualLayout>
                  <c:x val="-4.6814726537561184E-2"/>
                  <c:y val="-7.6883347328062868E-3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68B-4833-98F1-BF626FC5F623}"/>
                </c:ext>
              </c:extLst>
            </c:dLbl>
            <c:spPr>
              <a:blipFill dpi="0" rotWithShape="1">
                <a:blip xmlns:r="http://schemas.openxmlformats.org/officeDocument/2006/relationships" r:embed="rId3"/>
                <a:srcRect/>
                <a:tile tx="0" ty="0" sx="100000" sy="100000" flip="none" algn="tl"/>
              </a:blip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'Comparison to URB'!$C$21:$H$21</c:f>
              <c:strCache>
                <c:ptCount val="6"/>
                <c:pt idx="0">
                  <c:v>Zero Rent</c:v>
                </c:pt>
                <c:pt idx="1">
                  <c:v>Not: RBI/TTP</c:v>
                </c:pt>
                <c:pt idx="2">
                  <c:v>Not: Market</c:v>
                </c:pt>
                <c:pt idx="3">
                  <c:v>Not: Voucher @ Contract Rent</c:v>
                </c:pt>
                <c:pt idx="4">
                  <c:v>Burdened or Severe</c:v>
                </c:pt>
                <c:pt idx="5">
                  <c:v>Unsustainable</c:v>
                </c:pt>
              </c:strCache>
            </c:strRef>
          </c:cat>
          <c:val>
            <c:numRef>
              <c:f>'Comparison to URB'!$C$22:$H$22</c:f>
              <c:numCache>
                <c:formatCode>_(* #,##0_);_(* \(#,##0\);_(* "-"??_);_(@_)</c:formatCode>
                <c:ptCount val="6"/>
                <c:pt idx="0">
                  <c:v>13046</c:v>
                </c:pt>
                <c:pt idx="1">
                  <c:v>128717</c:v>
                </c:pt>
                <c:pt idx="2">
                  <c:v>597</c:v>
                </c:pt>
                <c:pt idx="3">
                  <c:v>39794.04</c:v>
                </c:pt>
                <c:pt idx="4">
                  <c:v>43597</c:v>
                </c:pt>
                <c:pt idx="5">
                  <c:v>82330.959999999992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8B-4833-98F1-BF626FC5F62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pieChart>
        <c:varyColors val="1"/>
        <c:ser>
          <c:idx val="0"/>
          <c:order val="0"/>
          <c:tx>
            <c:strRef>
              <c:f>'Comparison to URB'!$B$23</c:f>
              <c:strCache>
                <c:ptCount val="1"/>
                <c:pt idx="0">
                  <c:v>Very Low Income</c:v>
                </c:pt>
              </c:strCache>
            </c:strRef>
          </c:tx>
          <c:dPt>
            <c:idx val="0"/>
            <c:bubble3D val="0"/>
            <c:spPr>
              <a:solidFill>
                <a:sysClr val="window" lastClr="FFFFFF">
                  <a:lumMod val="85000"/>
                </a:sys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758-46DF-8FC6-D3B7CF673FBF}"/>
              </c:ext>
            </c:extLst>
          </c:dPt>
          <c:dPt>
            <c:idx val="1"/>
            <c:bubble3D val="0"/>
            <c:spPr>
              <a:solidFill>
                <a:srgbClr val="55FD7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758-46DF-8FC6-D3B7CF673FBF}"/>
              </c:ext>
            </c:extLst>
          </c:dPt>
          <c:dPt>
            <c:idx val="2"/>
            <c:bubble3D val="0"/>
            <c:spPr>
              <a:solidFill>
                <a:srgbClr val="55FD7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758-46DF-8FC6-D3B7CF673FBF}"/>
              </c:ext>
            </c:extLst>
          </c:dPt>
          <c:dPt>
            <c:idx val="3"/>
            <c:bubble3D val="0"/>
            <c:spPr>
              <a:solidFill>
                <a:srgbClr val="55FD7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758-46DF-8FC6-D3B7CF673FBF}"/>
              </c:ext>
            </c:extLst>
          </c:dPt>
          <c:dPt>
            <c:idx val="4"/>
            <c:bubble3D val="0"/>
            <c:spPr>
              <a:solidFill>
                <a:srgbClr val="FFC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4758-46DF-8FC6-D3B7CF673FBF}"/>
              </c:ext>
            </c:extLst>
          </c:dPt>
          <c:dPt>
            <c:idx val="5"/>
            <c:bubble3D val="0"/>
            <c:spPr>
              <a:solidFill>
                <a:sysClr val="window" lastClr="FFFFFF">
                  <a:lumMod val="85000"/>
                </a:sys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4758-46DF-8FC6-D3B7CF673FBF}"/>
              </c:ext>
            </c:extLst>
          </c:dPt>
          <c:dLbls>
            <c:spPr>
              <a:blipFill dpi="0" rotWithShape="1">
                <a:blip xmlns:r="http://schemas.openxmlformats.org/officeDocument/2006/relationships" r:embed="rId4"/>
                <a:srcRect/>
                <a:tile tx="0" ty="0" sx="100000" sy="100000" flip="none" algn="tl"/>
              </a:blip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'Comparison to URB'!$C$21:$H$21</c:f>
              <c:strCache>
                <c:ptCount val="6"/>
                <c:pt idx="0">
                  <c:v>Zero Rent</c:v>
                </c:pt>
                <c:pt idx="1">
                  <c:v>Not: RBI/TTP</c:v>
                </c:pt>
                <c:pt idx="2">
                  <c:v>Not: Market</c:v>
                </c:pt>
                <c:pt idx="3">
                  <c:v>Not: Voucher @ Contract Rent</c:v>
                </c:pt>
                <c:pt idx="4">
                  <c:v>Burdened or Severe</c:v>
                </c:pt>
                <c:pt idx="5">
                  <c:v>Unsustainable</c:v>
                </c:pt>
              </c:strCache>
            </c:strRef>
          </c:cat>
          <c:val>
            <c:numRef>
              <c:f>'Comparison to URB'!$C$23:$H$23</c:f>
              <c:numCache>
                <c:formatCode>_(* #,##0_);_(* \(#,##0\);_(* "-"??_);_(@_)</c:formatCode>
                <c:ptCount val="6"/>
                <c:pt idx="0">
                  <c:v>4959</c:v>
                </c:pt>
                <c:pt idx="1">
                  <c:v>27297</c:v>
                </c:pt>
                <c:pt idx="2">
                  <c:v>12518</c:v>
                </c:pt>
                <c:pt idx="3">
                  <c:v>8162.88</c:v>
                </c:pt>
                <c:pt idx="4">
                  <c:v>108722</c:v>
                </c:pt>
                <c:pt idx="5">
                  <c:v>1859.12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4758-46DF-8FC6-D3B7CF673FB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pieChart>
        <c:varyColors val="1"/>
        <c:ser>
          <c:idx val="0"/>
          <c:order val="0"/>
          <c:tx>
            <c:strRef>
              <c:f>'Comparison to URB'!$G$21</c:f>
              <c:strCache>
                <c:ptCount val="1"/>
                <c:pt idx="0">
                  <c:v>Burdened or Severe</c:v>
                </c:pt>
              </c:strCache>
            </c:strRef>
          </c:tx>
          <c:dPt>
            <c:idx val="0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CF2-494F-BBEE-D909C534F9C0}"/>
              </c:ext>
            </c:extLst>
          </c:dPt>
          <c:dPt>
            <c:idx val="1"/>
            <c:bubble3D val="0"/>
            <c:spPr>
              <a:solidFill>
                <a:srgbClr val="FFC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CF2-494F-BBEE-D909C534F9C0}"/>
              </c:ext>
            </c:extLst>
          </c:dPt>
          <c:dPt>
            <c:idx val="2"/>
            <c:bubble3D val="0"/>
            <c:spPr>
              <a:solidFill>
                <a:srgbClr val="FFE89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CF2-494F-BBEE-D909C534F9C0}"/>
              </c:ext>
            </c:extLst>
          </c:dPt>
          <c:dPt>
            <c:idx val="3"/>
            <c:bubble3D val="0"/>
            <c:spPr>
              <a:solidFill>
                <a:srgbClr val="B2F8C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CF2-494F-BBEE-D909C534F9C0}"/>
              </c:ext>
            </c:extLst>
          </c:dPt>
          <c:dLbls>
            <c:dLbl>
              <c:idx val="0"/>
              <c:showLegendKey val="0"/>
              <c:showVal val="1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14702702702702702"/>
                      <c:h val="0.1267605633802816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5CF2-494F-BBEE-D909C534F9C0}"/>
                </c:ext>
              </c:extLst>
            </c:dLbl>
            <c:dLbl>
              <c:idx val="1"/>
              <c:layout>
                <c:manualLayout>
                  <c:x val="-0.11963963963963964"/>
                  <c:y val="-0.20039248615049879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26234234234234233"/>
                      <c:h val="8.65191146881287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5CF2-494F-BBEE-D909C534F9C0}"/>
                </c:ext>
              </c:extLst>
            </c:dLbl>
            <c:dLbl>
              <c:idx val="2"/>
              <c:layout>
                <c:manualLayout>
                  <c:x val="0.16898097467546289"/>
                  <c:y val="-0.11533431560491558"/>
                </c:manualLayout>
              </c:layout>
              <c:spPr>
                <a:blipFill dpi="0" rotWithShape="1">
                  <a:blip xmlns:r="http://schemas.openxmlformats.org/officeDocument/2006/relationships" r:embed="rId4"/>
                  <a:srcRect/>
                  <a:tile tx="0" ty="0" sx="100000" sy="100000" flip="none" algn="tl"/>
                </a:blip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22702702702702704"/>
                      <c:h val="0.1019450033534540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5CF2-494F-BBEE-D909C534F9C0}"/>
                </c:ext>
              </c:extLst>
            </c:dLbl>
            <c:dLbl>
              <c:idx val="3"/>
              <c:layout>
                <c:manualLayout>
                  <c:x val="7.9577215010285876E-2"/>
                  <c:y val="7.5146733418886016E-2"/>
                </c:manualLayout>
              </c:layout>
              <c:spPr>
                <a:blipFill dpi="0" rotWithShape="1">
                  <a:blip xmlns:r="http://schemas.openxmlformats.org/officeDocument/2006/relationships" r:embed="rId4"/>
                  <a:srcRect/>
                  <a:tile tx="0" ty="0" sx="100000" sy="100000" flip="none" algn="tl"/>
                </a:blip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14436751081790453"/>
                      <c:h val="0.1295774647887323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5CF2-494F-BBEE-D909C534F9C0}"/>
                </c:ext>
              </c:extLst>
            </c:dLbl>
            <c:spPr>
              <a:blipFill dpi="0" rotWithShape="1">
                <a:blip xmlns:r="http://schemas.openxmlformats.org/officeDocument/2006/relationships" r:embed="rId4"/>
                <a:srcRect/>
                <a:tile tx="0" ty="0" sx="100000" sy="100000" flip="none" algn="tl"/>
              </a:blip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 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'Comparison to URB'!$B$22:$B$25</c:f>
              <c:strCache>
                <c:ptCount val="4"/>
                <c:pt idx="0">
                  <c:v>Extremely Low Income</c:v>
                </c:pt>
                <c:pt idx="1">
                  <c:v>Very Low Income</c:v>
                </c:pt>
                <c:pt idx="2">
                  <c:v>Low Income</c:v>
                </c:pt>
                <c:pt idx="3">
                  <c:v>Not Low Income</c:v>
                </c:pt>
              </c:strCache>
            </c:strRef>
          </c:cat>
          <c:val>
            <c:numRef>
              <c:f>'Comparison to URB'!$G$22:$G$25</c:f>
              <c:numCache>
                <c:formatCode>_(* #,##0_);_(* \(#,##0\);_(* "-"??_);_(@_)</c:formatCode>
                <c:ptCount val="4"/>
                <c:pt idx="0">
                  <c:v>43597</c:v>
                </c:pt>
                <c:pt idx="1">
                  <c:v>108722</c:v>
                </c:pt>
                <c:pt idx="2">
                  <c:v>92151</c:v>
                </c:pt>
                <c:pt idx="3">
                  <c:v>34564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CF2-494F-BBEE-D909C534F9C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pieChart>
        <c:varyColors val="1"/>
        <c:ser>
          <c:idx val="0"/>
          <c:order val="0"/>
          <c:tx>
            <c:strRef>
              <c:f>'Comparison to URB'!$B$17</c:f>
              <c:strCache>
                <c:ptCount val="1"/>
                <c:pt idx="0">
                  <c:v>All Levels</c:v>
                </c:pt>
              </c:strCache>
            </c:strRef>
          </c:tx>
          <c:dPt>
            <c:idx val="0"/>
            <c:bubble3D val="0"/>
            <c:spPr>
              <a:solidFill>
                <a:sysClr val="window" lastClr="FFFFFF">
                  <a:lumMod val="85000"/>
                </a:sys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C7F-433D-A6B1-4402C44CE1C4}"/>
              </c:ext>
            </c:extLst>
          </c:dPt>
          <c:dPt>
            <c:idx val="1"/>
            <c:bubble3D val="0"/>
            <c:spPr>
              <a:solidFill>
                <a:srgbClr val="55FD7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C7F-433D-A6B1-4402C44CE1C4}"/>
              </c:ext>
            </c:extLst>
          </c:dPt>
          <c:dPt>
            <c:idx val="2"/>
            <c:bubble3D val="0"/>
            <c:spPr>
              <a:solidFill>
                <a:srgbClr val="55FD7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C7F-433D-A6B1-4402C44CE1C4}"/>
              </c:ext>
            </c:extLst>
          </c:dPt>
          <c:dPt>
            <c:idx val="3"/>
            <c:bubble3D val="0"/>
            <c:spPr>
              <a:solidFill>
                <a:srgbClr val="55FD7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C7F-433D-A6B1-4402C44CE1C4}"/>
              </c:ext>
            </c:extLst>
          </c:dPt>
          <c:dPt>
            <c:idx val="4"/>
            <c:bubble3D val="0"/>
            <c:spPr>
              <a:solidFill>
                <a:srgbClr val="FFC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C7F-433D-A6B1-4402C44CE1C4}"/>
              </c:ext>
            </c:extLst>
          </c:dPt>
          <c:dPt>
            <c:idx val="5"/>
            <c:bubble3D val="0"/>
            <c:spPr>
              <a:solidFill>
                <a:sysClr val="window" lastClr="FFFFFF">
                  <a:lumMod val="85000"/>
                </a:sys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809C-42D1-BAD9-2CDCDEBD9680}"/>
              </c:ext>
            </c:extLst>
          </c:dPt>
          <c:dLbls>
            <c:spPr>
              <a:blipFill dpi="0" rotWithShape="1">
                <a:blip xmlns:r="http://schemas.openxmlformats.org/officeDocument/2006/relationships" r:embed="rId4"/>
                <a:srcRect/>
                <a:tile tx="0" ty="0" sx="100000" sy="100000" flip="none" algn="tl"/>
              </a:blip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 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'Comparison to URB'!$C$21:$H$21</c:f>
              <c:strCache>
                <c:ptCount val="6"/>
                <c:pt idx="0">
                  <c:v>Zero Rent</c:v>
                </c:pt>
                <c:pt idx="1">
                  <c:v>Not: RBI/TTP</c:v>
                </c:pt>
                <c:pt idx="2">
                  <c:v>Not: Market</c:v>
                </c:pt>
                <c:pt idx="3">
                  <c:v>Not: Voucher @ Contract Rent</c:v>
                </c:pt>
                <c:pt idx="4">
                  <c:v>Burdened or Severe</c:v>
                </c:pt>
                <c:pt idx="5">
                  <c:v>Unsustainable</c:v>
                </c:pt>
              </c:strCache>
            </c:strRef>
          </c:cat>
          <c:val>
            <c:numRef>
              <c:f>'Comparison to URB'!$C$26:$H$26</c:f>
              <c:numCache>
                <c:formatCode>_(* #,##0_);_(* \(#,##0\);_(* "-"??_);_(@_)</c:formatCode>
                <c:ptCount val="6"/>
                <c:pt idx="0">
                  <c:v>36298</c:v>
                </c:pt>
                <c:pt idx="1">
                  <c:v>182226</c:v>
                </c:pt>
                <c:pt idx="2">
                  <c:v>401780</c:v>
                </c:pt>
                <c:pt idx="3">
                  <c:v>51018</c:v>
                </c:pt>
                <c:pt idx="4">
                  <c:v>279034</c:v>
                </c:pt>
                <c:pt idx="5">
                  <c:v>83054.999999999985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C7F-433D-A6B1-4402C44CE1C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pieChart>
        <c:varyColors val="1"/>
        <c:ser>
          <c:idx val="0"/>
          <c:order val="0"/>
          <c:tx>
            <c:strRef>
              <c:f>'Comparison to URB'!$B$24</c:f>
              <c:strCache>
                <c:ptCount val="1"/>
                <c:pt idx="0">
                  <c:v>Low Income</c:v>
                </c:pt>
              </c:strCache>
            </c:strRef>
          </c:tx>
          <c:spPr>
            <a:solidFill>
              <a:sysClr val="window" lastClr="FFFFFF">
                <a:lumMod val="85000"/>
              </a:sysClr>
            </a:solidFill>
          </c:spPr>
          <c:dPt>
            <c:idx val="0"/>
            <c:bubble3D val="0"/>
            <c:spPr>
              <a:solidFill>
                <a:sysClr val="window" lastClr="FFFFFF">
                  <a:lumMod val="85000"/>
                </a:sys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9AA-4C1E-AF8E-4520FDDB5369}"/>
              </c:ext>
            </c:extLst>
          </c:dPt>
          <c:dPt>
            <c:idx val="1"/>
            <c:bubble3D val="0"/>
            <c:spPr>
              <a:solidFill>
                <a:srgbClr val="55FD7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9AA-4C1E-AF8E-4520FDDB5369}"/>
              </c:ext>
            </c:extLst>
          </c:dPt>
          <c:dPt>
            <c:idx val="2"/>
            <c:bubble3D val="0"/>
            <c:spPr>
              <a:solidFill>
                <a:srgbClr val="55FD7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9AA-4C1E-AF8E-4520FDDB5369}"/>
              </c:ext>
            </c:extLst>
          </c:dPt>
          <c:dPt>
            <c:idx val="3"/>
            <c:bubble3D val="0"/>
            <c:spPr>
              <a:solidFill>
                <a:srgbClr val="55FD7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9AA-4C1E-AF8E-4520FDDB5369}"/>
              </c:ext>
            </c:extLst>
          </c:dPt>
          <c:dPt>
            <c:idx val="4"/>
            <c:bubble3D val="0"/>
            <c:spPr>
              <a:solidFill>
                <a:srgbClr val="FFC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9AA-4C1E-AF8E-4520FDDB5369}"/>
              </c:ext>
            </c:extLst>
          </c:dPt>
          <c:dLbls>
            <c:spPr>
              <a:blipFill dpi="0" rotWithShape="1">
                <a:blip xmlns:r="http://schemas.openxmlformats.org/officeDocument/2006/relationships" r:embed="rId4"/>
                <a:srcRect/>
                <a:tile tx="0" ty="0" sx="100000" sy="100000" flip="none" algn="tl"/>
              </a:blip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'Comparison to URB'!$C$21:$H$21</c:f>
              <c:strCache>
                <c:ptCount val="6"/>
                <c:pt idx="0">
                  <c:v>Zero Rent</c:v>
                </c:pt>
                <c:pt idx="1">
                  <c:v>Not: RBI/TTP</c:v>
                </c:pt>
                <c:pt idx="2">
                  <c:v>Not: Market</c:v>
                </c:pt>
                <c:pt idx="3">
                  <c:v>Not: Voucher @ Contract Rent</c:v>
                </c:pt>
                <c:pt idx="4">
                  <c:v>Burdened or Severe</c:v>
                </c:pt>
                <c:pt idx="5">
                  <c:v>Unsustainable</c:v>
                </c:pt>
              </c:strCache>
            </c:strRef>
          </c:cat>
          <c:val>
            <c:numRef>
              <c:f>'Comparison to URB'!$C$24:$G$24</c:f>
              <c:numCache>
                <c:formatCode>_(* #,##0_);_(* \(#,##0\);_(* "-"??_);_(@_)</c:formatCode>
                <c:ptCount val="5"/>
                <c:pt idx="0">
                  <c:v>7203</c:v>
                </c:pt>
                <c:pt idx="1">
                  <c:v>12728</c:v>
                </c:pt>
                <c:pt idx="2">
                  <c:v>77845</c:v>
                </c:pt>
                <c:pt idx="3">
                  <c:v>3061.08</c:v>
                </c:pt>
                <c:pt idx="4">
                  <c:v>92151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69AA-4C1E-AF8E-4520FDDB536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285750</xdr:colOff>
      <xdr:row>3</xdr:row>
      <xdr:rowOff>295275</xdr:rowOff>
    </xdr:from>
    <xdr:to>
      <xdr:col>24</xdr:col>
      <xdr:colOff>561975</xdr:colOff>
      <xdr:row>26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8C6D5E5-B297-CA9C-C076-84DBFBCC1AC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209550</xdr:colOff>
      <xdr:row>4</xdr:row>
      <xdr:rowOff>85725</xdr:rowOff>
    </xdr:from>
    <xdr:to>
      <xdr:col>25</xdr:col>
      <xdr:colOff>485775</xdr:colOff>
      <xdr:row>29</xdr:row>
      <xdr:rowOff>57150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19811B1-DDCD-4C28-97C4-53568F30C7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47625</xdr:colOff>
      <xdr:row>10</xdr:row>
      <xdr:rowOff>38100</xdr:rowOff>
    </xdr:from>
    <xdr:to>
      <xdr:col>27</xdr:col>
      <xdr:colOff>323850</xdr:colOff>
      <xdr:row>35</xdr:row>
      <xdr:rowOff>9525</xdr:rowOff>
    </xdr:to>
    <xdr:graphicFrame macro="">
      <xdr:nvGraphicFramePr>
        <xdr:cNvPr id="5" name="Chart 5">
          <a:extLst>
            <a:ext uri="{FF2B5EF4-FFF2-40B4-BE49-F238E27FC236}">
              <a16:creationId xmlns:a16="http://schemas.microsoft.com/office/drawing/2014/main" id="{649EE398-872B-42FF-8156-05B7B9345173}"/>
            </a:ext>
            <a:ext uri="{147F2762-F138-4A5C-976F-8EAC2B608ADB}">
              <a16:predDERef xmlns:a16="http://schemas.microsoft.com/office/drawing/2014/main" pred="{72939C0B-4DFC-474E-ADB0-96D4443857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1228725</xdr:colOff>
      <xdr:row>25</xdr:row>
      <xdr:rowOff>180975</xdr:rowOff>
    </xdr:from>
    <xdr:to>
      <xdr:col>12</xdr:col>
      <xdr:colOff>457200</xdr:colOff>
      <xdr:row>50</xdr:row>
      <xdr:rowOff>152400</xdr:rowOff>
    </xdr:to>
    <xdr:graphicFrame macro="">
      <xdr:nvGraphicFramePr>
        <xdr:cNvPr id="9" name="Chart 4">
          <a:extLst>
            <a:ext uri="{FF2B5EF4-FFF2-40B4-BE49-F238E27FC236}">
              <a16:creationId xmlns:a16="http://schemas.microsoft.com/office/drawing/2014/main" id="{2C8DC286-B0A2-467E-B52D-423D9FD13993}"/>
            </a:ext>
            <a:ext uri="{147F2762-F138-4A5C-976F-8EAC2B608ADB}">
              <a16:predDERef xmlns:a16="http://schemas.microsoft.com/office/drawing/2014/main" pred="{649EE398-872B-42FF-8156-05B7B93451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152400</xdr:colOff>
      <xdr:row>7</xdr:row>
      <xdr:rowOff>38100</xdr:rowOff>
    </xdr:from>
    <xdr:to>
      <xdr:col>26</xdr:col>
      <xdr:colOff>428625</xdr:colOff>
      <xdr:row>32</xdr:row>
      <xdr:rowOff>9525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2939C0B-4DFC-474E-ADB0-96D4443857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 2013 - 2022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 2013 - 2022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 2013 - 2022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 2013 - 2022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 2013 - 2022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 2013 - 2022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 2013 - 2022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 2013 - 2022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 2013 - 2022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 2013 - 2022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 2013 - 2022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 2013 - 2022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willbrownsberger.com/counting-subsidized-housing-units-in-ma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8DB6EA-50B8-4788-9C87-0E36A5726017}">
  <dimension ref="A2:C19"/>
  <sheetViews>
    <sheetView workbookViewId="0">
      <selection activeCell="C12" sqref="C12"/>
    </sheetView>
  </sheetViews>
  <sheetFormatPr defaultRowHeight="15" x14ac:dyDescent="0.25"/>
  <cols>
    <col min="1" max="1" width="40.5703125" customWidth="1"/>
    <col min="2" max="2" width="10.5703125" bestFit="1" customWidth="1"/>
    <col min="3" max="3" width="11.5703125" bestFit="1" customWidth="1"/>
  </cols>
  <sheetData>
    <row r="2" spans="1:3" x14ac:dyDescent="0.25">
      <c r="A2" t="s">
        <v>49</v>
      </c>
      <c r="B2" s="13"/>
      <c r="C2" s="13">
        <v>148236</v>
      </c>
    </row>
    <row r="3" spans="1:3" x14ac:dyDescent="0.25">
      <c r="A3" t="s">
        <v>50</v>
      </c>
      <c r="B3" s="13">
        <v>99530</v>
      </c>
      <c r="C3" s="13"/>
    </row>
    <row r="4" spans="1:3" x14ac:dyDescent="0.25">
      <c r="A4" t="s">
        <v>51</v>
      </c>
      <c r="B4" s="13">
        <v>20000</v>
      </c>
      <c r="C4" s="13"/>
    </row>
    <row r="5" spans="1:3" x14ac:dyDescent="0.25">
      <c r="A5" t="s">
        <v>52</v>
      </c>
      <c r="B5" s="13">
        <f>B3-B4</f>
        <v>79530</v>
      </c>
      <c r="C5" s="13"/>
    </row>
    <row r="6" spans="1:3" x14ac:dyDescent="0.25">
      <c r="A6" t="s">
        <v>55</v>
      </c>
      <c r="B6" s="13">
        <v>11000</v>
      </c>
      <c r="C6" s="13"/>
    </row>
    <row r="7" spans="1:3" x14ac:dyDescent="0.25">
      <c r="A7" t="s">
        <v>57</v>
      </c>
      <c r="B7" s="13">
        <v>5500</v>
      </c>
      <c r="C7" s="13"/>
    </row>
    <row r="8" spans="1:3" x14ac:dyDescent="0.25">
      <c r="A8" t="s">
        <v>53</v>
      </c>
      <c r="B8" s="13">
        <v>5500</v>
      </c>
      <c r="C8" s="13"/>
    </row>
    <row r="9" spans="1:3" x14ac:dyDescent="0.25">
      <c r="A9" t="s">
        <v>54</v>
      </c>
      <c r="B9" s="13">
        <f>B8+B5</f>
        <v>85030</v>
      </c>
      <c r="C9" s="13"/>
    </row>
    <row r="10" spans="1:3" x14ac:dyDescent="0.25">
      <c r="A10" t="s">
        <v>58</v>
      </c>
      <c r="B10" s="13"/>
      <c r="C10" s="13">
        <f>40%*B9</f>
        <v>34012</v>
      </c>
    </row>
    <row r="11" spans="1:3" x14ac:dyDescent="0.25">
      <c r="A11" t="s">
        <v>56</v>
      </c>
      <c r="B11" s="13"/>
      <c r="C11" s="13">
        <f>C10+C2</f>
        <v>182248</v>
      </c>
    </row>
    <row r="12" spans="1:3" x14ac:dyDescent="0.25">
      <c r="A12" t="s">
        <v>270</v>
      </c>
      <c r="C12" s="81">
        <f>0.6*B9</f>
        <v>51018</v>
      </c>
    </row>
    <row r="13" spans="1:3" x14ac:dyDescent="0.25">
      <c r="A13" t="s">
        <v>70</v>
      </c>
    </row>
    <row r="15" spans="1:3" x14ac:dyDescent="0.25">
      <c r="A15" t="s">
        <v>286</v>
      </c>
      <c r="B15" s="29">
        <v>0</v>
      </c>
      <c r="C15" s="31">
        <f>C$2+B15*B$9</f>
        <v>148236</v>
      </c>
    </row>
    <row r="16" spans="1:3" x14ac:dyDescent="0.25">
      <c r="A16" t="s">
        <v>286</v>
      </c>
      <c r="B16" s="29">
        <v>0.2</v>
      </c>
      <c r="C16" s="31">
        <f>C$2+B16*B$9</f>
        <v>165242</v>
      </c>
    </row>
    <row r="17" spans="1:3" x14ac:dyDescent="0.25">
      <c r="A17" t="s">
        <v>286</v>
      </c>
      <c r="B17" s="29">
        <v>0.4</v>
      </c>
      <c r="C17" s="31">
        <f>C$2+B17*B$9</f>
        <v>182248</v>
      </c>
    </row>
    <row r="18" spans="1:3" x14ac:dyDescent="0.25">
      <c r="A18" t="s">
        <v>286</v>
      </c>
      <c r="B18" s="29">
        <v>0.6</v>
      </c>
      <c r="C18" s="31">
        <f>C$2+B18*B$9</f>
        <v>199254</v>
      </c>
    </row>
    <row r="19" spans="1:3" x14ac:dyDescent="0.25">
      <c r="A19" t="s">
        <v>286</v>
      </c>
      <c r="B19" s="29">
        <v>0.8</v>
      </c>
      <c r="C19" s="31">
        <f>C$2+B19*B$9</f>
        <v>216260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FABC34-335E-40F9-A1C8-044E5DD389D6}">
  <dimension ref="A6:H25"/>
  <sheetViews>
    <sheetView workbookViewId="0">
      <selection activeCell="C21" sqref="C21:E21"/>
    </sheetView>
  </sheetViews>
  <sheetFormatPr defaultRowHeight="15" x14ac:dyDescent="0.25"/>
  <cols>
    <col min="1" max="1" width="69.28515625" customWidth="1"/>
    <col min="2" max="2" width="10.5703125" bestFit="1" customWidth="1"/>
  </cols>
  <sheetData>
    <row r="6" spans="1:8" x14ac:dyDescent="0.25">
      <c r="C6" t="s">
        <v>61</v>
      </c>
    </row>
    <row r="7" spans="1:8" x14ac:dyDescent="0.25">
      <c r="A7" t="s">
        <v>62</v>
      </c>
      <c r="B7" t="s">
        <v>59</v>
      </c>
      <c r="C7" t="s">
        <v>40</v>
      </c>
      <c r="D7" t="s">
        <v>42</v>
      </c>
      <c r="E7" t="s">
        <v>41</v>
      </c>
      <c r="F7" t="s">
        <v>60</v>
      </c>
    </row>
    <row r="8" spans="1:8" x14ac:dyDescent="0.25">
      <c r="A8" t="s">
        <v>65</v>
      </c>
      <c r="B8" s="13">
        <v>29957</v>
      </c>
      <c r="C8">
        <v>78</v>
      </c>
      <c r="D8">
        <f t="shared" ref="D8:D15" si="0">F8-C8</f>
        <v>15</v>
      </c>
      <c r="E8">
        <f t="shared" ref="E8:E15" si="1">100-F8</f>
        <v>7</v>
      </c>
      <c r="F8">
        <v>93</v>
      </c>
    </row>
    <row r="9" spans="1:8" x14ac:dyDescent="0.25">
      <c r="A9" t="s">
        <v>66</v>
      </c>
      <c r="B9" s="13">
        <v>1662</v>
      </c>
      <c r="C9">
        <v>87</v>
      </c>
      <c r="D9">
        <f t="shared" si="0"/>
        <v>10</v>
      </c>
      <c r="E9">
        <f t="shared" si="1"/>
        <v>3</v>
      </c>
      <c r="F9">
        <v>97</v>
      </c>
    </row>
    <row r="10" spans="1:8" x14ac:dyDescent="0.25">
      <c r="A10" t="s">
        <v>67</v>
      </c>
      <c r="B10" s="13">
        <v>59394</v>
      </c>
      <c r="C10">
        <v>79</v>
      </c>
      <c r="D10">
        <f t="shared" si="0"/>
        <v>16</v>
      </c>
      <c r="E10">
        <f t="shared" si="1"/>
        <v>5</v>
      </c>
      <c r="F10">
        <v>95</v>
      </c>
    </row>
    <row r="11" spans="1:8" x14ac:dyDescent="0.25">
      <c r="A11" t="s">
        <v>68</v>
      </c>
      <c r="B11" s="13">
        <v>3752</v>
      </c>
      <c r="C11">
        <v>80</v>
      </c>
      <c r="D11">
        <f t="shared" si="0"/>
        <v>19</v>
      </c>
      <c r="E11">
        <f t="shared" si="1"/>
        <v>1</v>
      </c>
      <c r="F11">
        <v>99</v>
      </c>
    </row>
    <row r="12" spans="1:8" x14ac:dyDescent="0.25">
      <c r="A12" t="s">
        <v>69</v>
      </c>
      <c r="B12" s="13">
        <v>967</v>
      </c>
      <c r="C12">
        <v>94</v>
      </c>
      <c r="D12">
        <f t="shared" si="0"/>
        <v>5</v>
      </c>
      <c r="E12">
        <f t="shared" si="1"/>
        <v>1</v>
      </c>
      <c r="F12">
        <v>99</v>
      </c>
    </row>
    <row r="13" spans="1:8" x14ac:dyDescent="0.25">
      <c r="A13" t="s">
        <v>64</v>
      </c>
      <c r="B13" s="13">
        <v>12752</v>
      </c>
      <c r="C13">
        <v>79</v>
      </c>
      <c r="D13">
        <f t="shared" si="0"/>
        <v>16</v>
      </c>
      <c r="E13">
        <f t="shared" si="1"/>
        <v>5</v>
      </c>
      <c r="F13">
        <v>95</v>
      </c>
    </row>
    <row r="14" spans="1:8" x14ac:dyDescent="0.25">
      <c r="A14" t="s">
        <v>71</v>
      </c>
      <c r="B14" s="13">
        <f>G14*'RBI-TTP Units'!B9</f>
        <v>34012</v>
      </c>
      <c r="C14">
        <v>78</v>
      </c>
      <c r="D14">
        <f t="shared" si="0"/>
        <v>16</v>
      </c>
      <c r="E14">
        <f t="shared" si="1"/>
        <v>6</v>
      </c>
      <c r="F14">
        <v>94</v>
      </c>
      <c r="G14" s="91">
        <v>0.4</v>
      </c>
      <c r="H14" s="27" t="s">
        <v>291</v>
      </c>
    </row>
    <row r="15" spans="1:8" x14ac:dyDescent="0.25">
      <c r="A15" t="s">
        <v>72</v>
      </c>
      <c r="B15" s="13">
        <v>41500</v>
      </c>
      <c r="C15">
        <v>78</v>
      </c>
      <c r="D15">
        <f t="shared" si="0"/>
        <v>15</v>
      </c>
      <c r="E15">
        <f t="shared" si="1"/>
        <v>7</v>
      </c>
      <c r="F15">
        <v>93</v>
      </c>
    </row>
    <row r="16" spans="1:8" x14ac:dyDescent="0.25">
      <c r="A16" t="s">
        <v>73</v>
      </c>
      <c r="B16" s="13">
        <v>41500</v>
      </c>
      <c r="C16">
        <v>60</v>
      </c>
      <c r="D16">
        <v>30</v>
      </c>
      <c r="E16">
        <v>10</v>
      </c>
    </row>
    <row r="17" spans="1:5" x14ac:dyDescent="0.25">
      <c r="A17" t="s">
        <v>75</v>
      </c>
      <c r="B17" s="31">
        <f>SUM(B8:B15)</f>
        <v>183996</v>
      </c>
      <c r="C17" s="13" cm="1">
        <f t="array" ref="C17">SUMPRODUCT(C8:C15*$B8:$B15)/SUM($B8:$B15)</f>
        <v>78.598273875519027</v>
      </c>
      <c r="D17" s="13" cm="1">
        <f t="array" ref="D17">SUMPRODUCT(D8:D15*$B8:$B15)/SUM($B8:$B15)</f>
        <v>15.560805669688472</v>
      </c>
      <c r="E17" s="13" cm="1">
        <f t="array" ref="E17">SUMPRODUCT(E8:E15*$B8:$B15)/SUM($B8:$B15)</f>
        <v>5.8409204547924958</v>
      </c>
    </row>
    <row r="18" spans="1:5" x14ac:dyDescent="0.25">
      <c r="A18" t="s">
        <v>76</v>
      </c>
      <c r="C18" s="13" cm="1">
        <f t="array" ref="C18">(SUMPRODUCT(C8:C14*$B8:$B14)+C16*$B16)/SUM($B8:$B15)</f>
        <v>74.538403008761065</v>
      </c>
      <c r="D18" s="13" cm="1">
        <f t="array" ref="D18">(SUMPRODUCT(D8:D14*$B8:$B14)+D16*$B16)/SUM($B8:$B15)</f>
        <v>18.944031391986783</v>
      </c>
      <c r="E18" s="13" cm="1">
        <f t="array" ref="E18">(SUMPRODUCT(E8:E14*$B8:$B14)+E16*$B16)/SUM($B8:$B15)</f>
        <v>6.5175655992521575</v>
      </c>
    </row>
    <row r="19" spans="1:5" x14ac:dyDescent="0.25">
      <c r="A19" t="s">
        <v>250</v>
      </c>
      <c r="C19" s="13">
        <f t="shared" ref="C19:E20" si="2">C17/100*$B$17</f>
        <v>144617.68</v>
      </c>
      <c r="D19" s="13">
        <f t="shared" si="2"/>
        <v>28631.26</v>
      </c>
      <c r="E19" s="13">
        <f t="shared" si="2"/>
        <v>10747.06</v>
      </c>
    </row>
    <row r="20" spans="1:5" x14ac:dyDescent="0.25">
      <c r="A20" t="s">
        <v>251</v>
      </c>
      <c r="C20" s="13">
        <f t="shared" si="2"/>
        <v>137147.68000000002</v>
      </c>
      <c r="D20" s="13">
        <f t="shared" si="2"/>
        <v>34856.26</v>
      </c>
      <c r="E20" s="13">
        <f t="shared" si="2"/>
        <v>11992.06</v>
      </c>
    </row>
    <row r="21" spans="1:5" x14ac:dyDescent="0.25">
      <c r="A21" t="s">
        <v>271</v>
      </c>
      <c r="B21">
        <f>'RBI-TTP Units'!C12</f>
        <v>51018</v>
      </c>
      <c r="C21" s="13">
        <f>C14/100*$B21</f>
        <v>39794.04</v>
      </c>
      <c r="D21" s="13">
        <f>D14/100*$B21</f>
        <v>8162.88</v>
      </c>
      <c r="E21" s="13">
        <f>E14/100*$B21</f>
        <v>3061.08</v>
      </c>
    </row>
    <row r="22" spans="1:5" x14ac:dyDescent="0.25">
      <c r="A22" t="s">
        <v>63</v>
      </c>
    </row>
    <row r="23" spans="1:5" x14ac:dyDescent="0.25">
      <c r="A23" s="32" t="s">
        <v>70</v>
      </c>
    </row>
    <row r="25" spans="1:5" x14ac:dyDescent="0.25">
      <c r="A25" t="s">
        <v>74</v>
      </c>
    </row>
  </sheetData>
  <hyperlinks>
    <hyperlink ref="A23" r:id="rId1" location="table_4" xr:uid="{72F80291-080A-4346-AE14-8BD5F67C32C8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DD2D3-E183-4051-91D9-B8E50926F26A}">
  <dimension ref="A4:I26"/>
  <sheetViews>
    <sheetView tabSelected="1" topLeftCell="B6" workbookViewId="0">
      <selection activeCell="Q39" sqref="Q39"/>
    </sheetView>
  </sheetViews>
  <sheetFormatPr defaultRowHeight="15" x14ac:dyDescent="0.25"/>
  <cols>
    <col min="1" max="1" width="14.28515625" bestFit="1" customWidth="1"/>
    <col min="2" max="2" width="32.42578125" customWidth="1"/>
    <col min="3" max="3" width="23.42578125" customWidth="1"/>
    <col min="4" max="4" width="29.140625" bestFit="1" customWidth="1"/>
    <col min="5" max="5" width="29.85546875" bestFit="1" customWidth="1"/>
    <col min="6" max="6" width="24.7109375" bestFit="1" customWidth="1"/>
    <col min="7" max="7" width="29.5703125" bestFit="1" customWidth="1"/>
    <col min="8" max="8" width="15.42578125" customWidth="1"/>
    <col min="9" max="9" width="16.7109375" customWidth="1"/>
  </cols>
  <sheetData>
    <row r="4" spans="1:9" ht="30" x14ac:dyDescent="0.25">
      <c r="A4" s="74" t="s">
        <v>77</v>
      </c>
      <c r="B4" s="74" t="s">
        <v>253</v>
      </c>
      <c r="C4" s="74" t="s">
        <v>254</v>
      </c>
      <c r="D4" s="74" t="s">
        <v>255</v>
      </c>
      <c r="E4" s="74" t="s">
        <v>256</v>
      </c>
      <c r="F4" s="74" t="s">
        <v>257</v>
      </c>
      <c r="G4" s="74" t="s">
        <v>258</v>
      </c>
      <c r="H4" s="78" t="s">
        <v>262</v>
      </c>
      <c r="I4" s="78" t="s">
        <v>264</v>
      </c>
    </row>
    <row r="5" spans="1:9" x14ac:dyDescent="0.25">
      <c r="A5" s="75" t="s">
        <v>259</v>
      </c>
      <c r="B5" s="75" t="s">
        <v>43</v>
      </c>
      <c r="C5" s="42">
        <v>13046</v>
      </c>
      <c r="D5" s="42">
        <v>56575</v>
      </c>
      <c r="E5" s="42">
        <v>51685</v>
      </c>
      <c r="F5" s="42">
        <v>46435</v>
      </c>
      <c r="G5" s="42">
        <v>140341</v>
      </c>
      <c r="H5" s="31">
        <f t="shared" ref="H5:H16" si="0">SUM(D5:G5)</f>
        <v>295036</v>
      </c>
      <c r="I5" s="31">
        <f t="shared" ref="I5:I17" si="1">SUM(C5:G5)</f>
        <v>308082</v>
      </c>
    </row>
    <row r="6" spans="1:9" x14ac:dyDescent="0.25">
      <c r="A6" s="75" t="s">
        <v>259</v>
      </c>
      <c r="B6" s="75" t="s">
        <v>46</v>
      </c>
      <c r="C6" s="42">
        <v>4959</v>
      </c>
      <c r="D6" s="42">
        <v>35875</v>
      </c>
      <c r="E6" s="42">
        <v>68549</v>
      </c>
      <c r="F6" s="42">
        <v>44113</v>
      </c>
      <c r="G6" s="42">
        <v>10022</v>
      </c>
      <c r="H6" s="31">
        <f t="shared" si="0"/>
        <v>158559</v>
      </c>
      <c r="I6" s="31">
        <f t="shared" si="1"/>
        <v>163518</v>
      </c>
    </row>
    <row r="7" spans="1:9" x14ac:dyDescent="0.25">
      <c r="A7" s="75" t="s">
        <v>259</v>
      </c>
      <c r="B7" s="75" t="s">
        <v>44</v>
      </c>
      <c r="C7" s="42">
        <v>7203</v>
      </c>
      <c r="D7" s="42">
        <v>90568</v>
      </c>
      <c r="E7" s="42">
        <v>79099</v>
      </c>
      <c r="F7" s="42">
        <v>13057</v>
      </c>
      <c r="G7" s="42">
        <v>1634</v>
      </c>
      <c r="H7" s="31">
        <f t="shared" si="0"/>
        <v>184358</v>
      </c>
      <c r="I7" s="31">
        <f t="shared" si="1"/>
        <v>191561</v>
      </c>
    </row>
    <row r="8" spans="1:9" x14ac:dyDescent="0.25">
      <c r="A8" s="75" t="s">
        <v>259</v>
      </c>
      <c r="B8" s="75" t="s">
        <v>45</v>
      </c>
      <c r="C8" s="42">
        <v>11090</v>
      </c>
      <c r="D8" s="42">
        <v>324304</v>
      </c>
      <c r="E8" s="42">
        <v>32298</v>
      </c>
      <c r="F8" s="42">
        <v>2266</v>
      </c>
      <c r="G8" s="42">
        <v>292</v>
      </c>
      <c r="H8" s="31">
        <f t="shared" si="0"/>
        <v>359160</v>
      </c>
      <c r="I8" s="31">
        <f t="shared" si="1"/>
        <v>370250</v>
      </c>
    </row>
    <row r="9" spans="1:9" x14ac:dyDescent="0.25">
      <c r="A9" s="75" t="s">
        <v>260</v>
      </c>
      <c r="B9" s="75" t="s">
        <v>43</v>
      </c>
      <c r="C9" s="80">
        <v>13046</v>
      </c>
      <c r="D9" s="77">
        <v>55978</v>
      </c>
      <c r="E9" s="77">
        <v>41845</v>
      </c>
      <c r="F9" s="77">
        <v>12678</v>
      </c>
      <c r="G9" s="77">
        <v>18216</v>
      </c>
      <c r="H9" s="31">
        <f t="shared" si="0"/>
        <v>128717</v>
      </c>
      <c r="I9" s="31">
        <f t="shared" si="1"/>
        <v>141763</v>
      </c>
    </row>
    <row r="10" spans="1:9" x14ac:dyDescent="0.25">
      <c r="A10" s="75" t="s">
        <v>260</v>
      </c>
      <c r="B10" s="75" t="s">
        <v>46</v>
      </c>
      <c r="C10" s="42">
        <v>4959</v>
      </c>
      <c r="D10" s="42">
        <v>23357</v>
      </c>
      <c r="E10" s="42">
        <v>3940</v>
      </c>
      <c r="F10" s="76"/>
      <c r="G10" s="76"/>
      <c r="H10" s="31">
        <f t="shared" si="0"/>
        <v>27297</v>
      </c>
      <c r="I10" s="31">
        <f t="shared" si="1"/>
        <v>32256</v>
      </c>
    </row>
    <row r="11" spans="1:9" x14ac:dyDescent="0.25">
      <c r="A11" s="75" t="s">
        <v>260</v>
      </c>
      <c r="B11" s="75" t="s">
        <v>44</v>
      </c>
      <c r="C11" s="42">
        <v>7203</v>
      </c>
      <c r="D11" s="42">
        <v>12723</v>
      </c>
      <c r="E11" s="42">
        <v>5</v>
      </c>
      <c r="F11" s="76"/>
      <c r="G11" s="76"/>
      <c r="H11" s="31">
        <f t="shared" si="0"/>
        <v>12728</v>
      </c>
      <c r="I11" s="31">
        <f t="shared" si="1"/>
        <v>19931</v>
      </c>
    </row>
    <row r="12" spans="1:9" x14ac:dyDescent="0.25">
      <c r="A12" s="75" t="s">
        <v>260</v>
      </c>
      <c r="B12" s="75" t="s">
        <v>45</v>
      </c>
      <c r="C12" s="42">
        <v>11090</v>
      </c>
      <c r="D12" s="42">
        <v>13484</v>
      </c>
      <c r="E12" s="76"/>
      <c r="F12" s="76"/>
      <c r="G12" s="76"/>
      <c r="H12" s="31">
        <f t="shared" si="0"/>
        <v>13484</v>
      </c>
      <c r="I12" s="31">
        <f t="shared" si="1"/>
        <v>24574</v>
      </c>
    </row>
    <row r="13" spans="1:9" x14ac:dyDescent="0.25">
      <c r="A13" s="75" t="s">
        <v>261</v>
      </c>
      <c r="B13" s="75" t="s">
        <v>43</v>
      </c>
      <c r="C13" s="76"/>
      <c r="D13" s="77">
        <v>597</v>
      </c>
      <c r="E13" s="80">
        <v>9840</v>
      </c>
      <c r="F13" s="80">
        <v>33757</v>
      </c>
      <c r="G13" s="42">
        <v>122125</v>
      </c>
      <c r="H13" s="31">
        <f t="shared" si="0"/>
        <v>166319</v>
      </c>
      <c r="I13" s="31">
        <f t="shared" si="1"/>
        <v>166319</v>
      </c>
    </row>
    <row r="14" spans="1:9" x14ac:dyDescent="0.25">
      <c r="A14" s="75" t="s">
        <v>261</v>
      </c>
      <c r="B14" s="75" t="s">
        <v>46</v>
      </c>
      <c r="C14" s="76"/>
      <c r="D14" s="42">
        <v>12518</v>
      </c>
      <c r="E14" s="42">
        <v>64609</v>
      </c>
      <c r="F14" s="42">
        <v>44113</v>
      </c>
      <c r="G14" s="42">
        <v>10022</v>
      </c>
      <c r="H14" s="31">
        <f t="shared" si="0"/>
        <v>131262</v>
      </c>
      <c r="I14" s="31">
        <f t="shared" si="1"/>
        <v>131262</v>
      </c>
    </row>
    <row r="15" spans="1:9" x14ac:dyDescent="0.25">
      <c r="A15" s="75" t="s">
        <v>261</v>
      </c>
      <c r="B15" s="75" t="s">
        <v>44</v>
      </c>
      <c r="C15" s="76"/>
      <c r="D15" s="42">
        <v>77845</v>
      </c>
      <c r="E15" s="42">
        <v>79094</v>
      </c>
      <c r="F15" s="42">
        <v>13057</v>
      </c>
      <c r="G15" s="42">
        <v>1634</v>
      </c>
      <c r="H15" s="31">
        <f t="shared" si="0"/>
        <v>171630</v>
      </c>
      <c r="I15" s="31">
        <f t="shared" si="1"/>
        <v>171630</v>
      </c>
    </row>
    <row r="16" spans="1:9" x14ac:dyDescent="0.25">
      <c r="A16" s="75" t="s">
        <v>261</v>
      </c>
      <c r="B16" s="75" t="s">
        <v>45</v>
      </c>
      <c r="C16" s="76"/>
      <c r="D16" s="42">
        <v>310820</v>
      </c>
      <c r="E16" s="42">
        <v>32298</v>
      </c>
      <c r="F16" s="42">
        <v>2266</v>
      </c>
      <c r="G16" s="42">
        <v>292</v>
      </c>
      <c r="H16" s="31">
        <f t="shared" si="0"/>
        <v>345676</v>
      </c>
      <c r="I16" s="31">
        <f t="shared" si="1"/>
        <v>345676</v>
      </c>
    </row>
    <row r="17" spans="1:9" x14ac:dyDescent="0.25">
      <c r="A17" s="73" t="s">
        <v>259</v>
      </c>
      <c r="B17" s="79" t="s">
        <v>263</v>
      </c>
      <c r="C17" s="31">
        <f t="shared" ref="C17:H17" si="2">SUM(C5:C8)</f>
        <v>36298</v>
      </c>
      <c r="D17" s="31">
        <f t="shared" si="2"/>
        <v>507322</v>
      </c>
      <c r="E17" s="31">
        <f t="shared" si="2"/>
        <v>231631</v>
      </c>
      <c r="F17" s="31">
        <f t="shared" si="2"/>
        <v>105871</v>
      </c>
      <c r="G17" s="31">
        <f t="shared" si="2"/>
        <v>152289</v>
      </c>
      <c r="H17" s="31">
        <f t="shared" si="2"/>
        <v>997113</v>
      </c>
      <c r="I17" s="31">
        <f t="shared" si="1"/>
        <v>1033411</v>
      </c>
    </row>
    <row r="21" spans="1:9" x14ac:dyDescent="0.25">
      <c r="C21" t="s">
        <v>266</v>
      </c>
      <c r="D21" t="s">
        <v>275</v>
      </c>
      <c r="E21" t="s">
        <v>276</v>
      </c>
      <c r="F21" t="s">
        <v>277</v>
      </c>
      <c r="G21" t="s">
        <v>273</v>
      </c>
      <c r="H21" t="s">
        <v>274</v>
      </c>
      <c r="I21" t="s">
        <v>272</v>
      </c>
    </row>
    <row r="22" spans="1:9" x14ac:dyDescent="0.25">
      <c r="B22" t="s">
        <v>265</v>
      </c>
      <c r="C22" s="13">
        <f>C9</f>
        <v>13046</v>
      </c>
      <c r="D22" s="13">
        <f>SUM(D9:G9)</f>
        <v>128717</v>
      </c>
      <c r="E22" s="13">
        <f>D13</f>
        <v>597</v>
      </c>
      <c r="F22" s="13">
        <f>'Population served'!C21</f>
        <v>39794.04</v>
      </c>
      <c r="G22" s="13">
        <f>E13+F13</f>
        <v>43597</v>
      </c>
      <c r="H22" s="13">
        <f>I22-F22</f>
        <v>82330.959999999992</v>
      </c>
      <c r="I22" s="31">
        <f>G13</f>
        <v>122125</v>
      </c>
    </row>
    <row r="23" spans="1:9" x14ac:dyDescent="0.25">
      <c r="B23" t="s">
        <v>267</v>
      </c>
      <c r="C23" s="13">
        <f>C10</f>
        <v>4959</v>
      </c>
      <c r="D23" s="13">
        <f>SUM(D10:G10)</f>
        <v>27297</v>
      </c>
      <c r="E23" s="13">
        <f>D14</f>
        <v>12518</v>
      </c>
      <c r="F23" s="13">
        <f>'Population served'!D21</f>
        <v>8162.88</v>
      </c>
      <c r="G23" s="13">
        <f>E14+F14</f>
        <v>108722</v>
      </c>
      <c r="H23" s="13">
        <f>I23-F23</f>
        <v>1859.12</v>
      </c>
      <c r="I23" s="31">
        <f>G14</f>
        <v>10022</v>
      </c>
    </row>
    <row r="24" spans="1:9" x14ac:dyDescent="0.25">
      <c r="B24" t="s">
        <v>268</v>
      </c>
      <c r="C24" s="13">
        <f>C11</f>
        <v>7203</v>
      </c>
      <c r="D24" s="13">
        <f>SUM(D11:G11)</f>
        <v>12728</v>
      </c>
      <c r="E24" s="13">
        <f>D15</f>
        <v>77845</v>
      </c>
      <c r="F24" s="83">
        <f>'Population served'!E21</f>
        <v>3061.08</v>
      </c>
      <c r="G24" s="13">
        <f>E15+F15</f>
        <v>92151</v>
      </c>
      <c r="H24" s="83">
        <f>I24-F24</f>
        <v>-1427.08</v>
      </c>
      <c r="I24" s="82">
        <f>G15</f>
        <v>1634</v>
      </c>
    </row>
    <row r="25" spans="1:9" x14ac:dyDescent="0.25">
      <c r="B25" t="s">
        <v>269</v>
      </c>
      <c r="C25" s="13">
        <f>C12</f>
        <v>11090</v>
      </c>
      <c r="D25" s="13">
        <f>SUM(D12:G12)</f>
        <v>13484</v>
      </c>
      <c r="E25" s="13">
        <f>D16</f>
        <v>310820</v>
      </c>
      <c r="F25" s="13">
        <v>0</v>
      </c>
      <c r="G25" s="13">
        <f>E16+F16</f>
        <v>34564</v>
      </c>
      <c r="H25" s="13">
        <f>I25-F25</f>
        <v>292</v>
      </c>
      <c r="I25" s="31">
        <f>G16</f>
        <v>292</v>
      </c>
    </row>
    <row r="26" spans="1:9" x14ac:dyDescent="0.25">
      <c r="B26" t="s">
        <v>301</v>
      </c>
      <c r="C26" s="31">
        <f>SUM(C22:C25)</f>
        <v>36298</v>
      </c>
      <c r="D26" s="31">
        <f>SUM(D22:D25)</f>
        <v>182226</v>
      </c>
      <c r="E26" s="31">
        <f>SUM(E22:E25)</f>
        <v>401780</v>
      </c>
      <c r="F26" s="31">
        <f>SUM(F22:F25)</f>
        <v>51018</v>
      </c>
      <c r="G26" s="31">
        <f>SUM(G22:G25)</f>
        <v>279034</v>
      </c>
      <c r="H26" s="31">
        <f>SUM(H22:H25)</f>
        <v>83054.999999999985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1C1B12-66EB-4AE7-AD84-DFB3A47588B8}">
  <dimension ref="A1:K26"/>
  <sheetViews>
    <sheetView workbookViewId="0">
      <selection activeCell="D6" sqref="D6:E18"/>
    </sheetView>
  </sheetViews>
  <sheetFormatPr defaultRowHeight="15" x14ac:dyDescent="0.25"/>
  <cols>
    <col min="4" max="4" width="57.140625" customWidth="1"/>
    <col min="5" max="5" width="13.7109375" bestFit="1" customWidth="1"/>
    <col min="6" max="6" width="11.5703125" bestFit="1" customWidth="1"/>
    <col min="7" max="7" width="11.7109375" bestFit="1" customWidth="1"/>
    <col min="8" max="8" width="11.5703125" bestFit="1" customWidth="1"/>
  </cols>
  <sheetData>
    <row r="1" spans="1:11" x14ac:dyDescent="0.25">
      <c r="A1" s="19" t="s">
        <v>81</v>
      </c>
      <c r="B1" s="14"/>
      <c r="C1" s="14"/>
    </row>
    <row r="2" spans="1:11" x14ac:dyDescent="0.25">
      <c r="A2" s="18"/>
      <c r="B2" s="14"/>
      <c r="C2" s="14"/>
    </row>
    <row r="3" spans="1:11" x14ac:dyDescent="0.25">
      <c r="A3" s="18"/>
      <c r="B3" s="14"/>
      <c r="C3" s="14"/>
    </row>
    <row r="4" spans="1:11" x14ac:dyDescent="0.25">
      <c r="A4" s="18"/>
      <c r="B4" s="14"/>
      <c r="C4" s="14"/>
      <c r="G4" s="13"/>
    </row>
    <row r="5" spans="1:11" s="33" customFormat="1" ht="45" x14ac:dyDescent="0.25">
      <c r="A5" s="15" t="s">
        <v>30</v>
      </c>
      <c r="B5" s="15" t="s">
        <v>79</v>
      </c>
      <c r="C5" s="15" t="s">
        <v>77</v>
      </c>
      <c r="D5" s="15" t="s">
        <v>84</v>
      </c>
      <c r="E5" s="15" t="s">
        <v>80</v>
      </c>
      <c r="F5" s="15" t="s">
        <v>82</v>
      </c>
      <c r="G5" s="23" t="s">
        <v>83</v>
      </c>
      <c r="H5" s="23" t="s">
        <v>85</v>
      </c>
      <c r="I5" s="15" t="s">
        <v>86</v>
      </c>
      <c r="J5" s="15" t="s">
        <v>87</v>
      </c>
      <c r="K5" s="15" t="s">
        <v>88</v>
      </c>
    </row>
    <row r="6" spans="1:11" x14ac:dyDescent="0.25">
      <c r="A6" s="18" t="s">
        <v>31</v>
      </c>
      <c r="B6" s="14">
        <v>1</v>
      </c>
      <c r="C6" s="18" t="s">
        <v>40</v>
      </c>
      <c r="D6" s="18" t="s">
        <v>0</v>
      </c>
      <c r="E6" s="24">
        <v>22850</v>
      </c>
      <c r="F6" s="24">
        <v>12849.53469249041</v>
      </c>
      <c r="G6" s="12">
        <v>3389</v>
      </c>
      <c r="H6" s="12">
        <v>2983</v>
      </c>
      <c r="I6" s="25">
        <v>0.88020064915904395</v>
      </c>
      <c r="J6" s="14">
        <v>119</v>
      </c>
      <c r="K6" s="1">
        <f>J6/H6</f>
        <v>3.9892725444183708E-2</v>
      </c>
    </row>
    <row r="7" spans="1:11" x14ac:dyDescent="0.25">
      <c r="A7" s="18" t="s">
        <v>31</v>
      </c>
      <c r="B7" s="14">
        <v>1</v>
      </c>
      <c r="C7" s="18" t="s">
        <v>40</v>
      </c>
      <c r="D7" s="18" t="s">
        <v>1</v>
      </c>
      <c r="E7" s="24">
        <v>29450</v>
      </c>
      <c r="F7" s="24">
        <v>13300.886929247234</v>
      </c>
      <c r="G7" s="12">
        <v>97151</v>
      </c>
      <c r="H7" s="12">
        <v>74996</v>
      </c>
      <c r="I7" s="25">
        <v>0.77195293923891672</v>
      </c>
      <c r="J7" s="14">
        <v>7520</v>
      </c>
      <c r="K7" s="1">
        <f t="shared" ref="K7:K19" si="0">J7/H7</f>
        <v>0.1002720145074404</v>
      </c>
    </row>
    <row r="8" spans="1:11" x14ac:dyDescent="0.25">
      <c r="A8" s="18" t="s">
        <v>31</v>
      </c>
      <c r="B8" s="14">
        <v>1</v>
      </c>
      <c r="C8" s="18" t="s">
        <v>40</v>
      </c>
      <c r="D8" s="18" t="s">
        <v>3</v>
      </c>
      <c r="E8" s="24">
        <v>23450</v>
      </c>
      <c r="F8" s="24">
        <v>12304.108600811736</v>
      </c>
      <c r="G8" s="12">
        <v>5556</v>
      </c>
      <c r="H8" s="12">
        <v>4797</v>
      </c>
      <c r="I8" s="25">
        <v>0.86339092872570189</v>
      </c>
      <c r="J8" s="14">
        <v>118</v>
      </c>
      <c r="K8" s="1">
        <f t="shared" si="0"/>
        <v>2.4598707525536796E-2</v>
      </c>
    </row>
    <row r="9" spans="1:11" x14ac:dyDescent="0.25">
      <c r="A9" s="18" t="s">
        <v>31</v>
      </c>
      <c r="B9" s="14">
        <v>1</v>
      </c>
      <c r="C9" s="18" t="s">
        <v>40</v>
      </c>
      <c r="D9" s="18" t="s">
        <v>4</v>
      </c>
      <c r="E9" s="24">
        <v>21050</v>
      </c>
      <c r="F9" s="24">
        <v>11773.183417674471</v>
      </c>
      <c r="G9" s="12">
        <v>4571</v>
      </c>
      <c r="H9" s="12">
        <v>4325</v>
      </c>
      <c r="I9" s="25">
        <v>0.94618245460511918</v>
      </c>
      <c r="J9" s="14">
        <v>56</v>
      </c>
      <c r="K9" s="1">
        <f t="shared" si="0"/>
        <v>1.2947976878612717E-2</v>
      </c>
    </row>
    <row r="10" spans="1:11" x14ac:dyDescent="0.25">
      <c r="A10" s="18" t="s">
        <v>31</v>
      </c>
      <c r="B10" s="14">
        <v>1</v>
      </c>
      <c r="C10" s="18" t="s">
        <v>40</v>
      </c>
      <c r="D10" s="18" t="s">
        <v>5</v>
      </c>
      <c r="E10" s="24">
        <v>19800</v>
      </c>
      <c r="F10" s="24">
        <v>12282.483318027185</v>
      </c>
      <c r="G10" s="12">
        <v>3016</v>
      </c>
      <c r="H10" s="12">
        <v>3016</v>
      </c>
      <c r="I10" s="25">
        <v>1</v>
      </c>
      <c r="J10" s="14">
        <v>0</v>
      </c>
      <c r="K10" s="1">
        <f t="shared" si="0"/>
        <v>0</v>
      </c>
    </row>
    <row r="11" spans="1:11" x14ac:dyDescent="0.25">
      <c r="A11" s="18" t="s">
        <v>31</v>
      </c>
      <c r="B11" s="14">
        <v>1</v>
      </c>
      <c r="C11" s="18" t="s">
        <v>40</v>
      </c>
      <c r="D11" s="18" t="s">
        <v>6</v>
      </c>
      <c r="E11" s="24">
        <v>24200</v>
      </c>
      <c r="F11" s="24">
        <v>12376.013896385206</v>
      </c>
      <c r="G11" s="12">
        <v>7513</v>
      </c>
      <c r="H11" s="12">
        <v>6685</v>
      </c>
      <c r="I11" s="25">
        <v>0.889791028883269</v>
      </c>
      <c r="J11" s="14">
        <v>100</v>
      </c>
      <c r="K11" s="1">
        <f t="shared" si="0"/>
        <v>1.4958863126402393E-2</v>
      </c>
    </row>
    <row r="12" spans="1:11" x14ac:dyDescent="0.25">
      <c r="A12" s="18" t="s">
        <v>31</v>
      </c>
      <c r="B12" s="14">
        <v>1</v>
      </c>
      <c r="C12" s="18" t="s">
        <v>40</v>
      </c>
      <c r="D12" s="18" t="s">
        <v>7</v>
      </c>
      <c r="E12" s="24">
        <v>26550</v>
      </c>
      <c r="F12" s="24">
        <v>12668.035370650641</v>
      </c>
      <c r="G12" s="12">
        <v>6578</v>
      </c>
      <c r="H12" s="12">
        <v>5541</v>
      </c>
      <c r="I12" s="25">
        <v>0.84235329887503796</v>
      </c>
      <c r="J12" s="14">
        <v>275</v>
      </c>
      <c r="K12" s="1">
        <f t="shared" si="0"/>
        <v>4.9630030680382603E-2</v>
      </c>
    </row>
    <row r="13" spans="1:11" x14ac:dyDescent="0.25">
      <c r="A13" s="18" t="s">
        <v>31</v>
      </c>
      <c r="B13" s="14">
        <v>1</v>
      </c>
      <c r="C13" s="18" t="s">
        <v>40</v>
      </c>
      <c r="D13" s="18" t="s">
        <v>8</v>
      </c>
      <c r="E13" s="24">
        <v>19800</v>
      </c>
      <c r="F13" s="24">
        <v>10893.935059702899</v>
      </c>
      <c r="G13" s="12">
        <v>5621</v>
      </c>
      <c r="H13" s="12">
        <v>5621</v>
      </c>
      <c r="I13" s="25">
        <v>1</v>
      </c>
      <c r="J13" s="14">
        <v>0</v>
      </c>
      <c r="K13" s="1">
        <f t="shared" si="0"/>
        <v>0</v>
      </c>
    </row>
    <row r="14" spans="1:11" x14ac:dyDescent="0.25">
      <c r="A14" s="18" t="s">
        <v>31</v>
      </c>
      <c r="B14" s="14">
        <v>1</v>
      </c>
      <c r="C14" s="18" t="s">
        <v>40</v>
      </c>
      <c r="D14" s="18" t="s">
        <v>9</v>
      </c>
      <c r="E14" s="24">
        <v>20300</v>
      </c>
      <c r="F14" s="24">
        <v>11635.529366566763</v>
      </c>
      <c r="G14" s="12">
        <v>3303</v>
      </c>
      <c r="H14" s="12">
        <v>3085</v>
      </c>
      <c r="I14" s="25">
        <v>0.93399939448985769</v>
      </c>
      <c r="J14" s="14">
        <v>0</v>
      </c>
      <c r="K14" s="1">
        <f t="shared" si="0"/>
        <v>0</v>
      </c>
    </row>
    <row r="15" spans="1:11" x14ac:dyDescent="0.25">
      <c r="A15" s="18" t="s">
        <v>31</v>
      </c>
      <c r="B15" s="14">
        <v>1</v>
      </c>
      <c r="C15" s="18" t="s">
        <v>40</v>
      </c>
      <c r="D15" s="18" t="s">
        <v>10</v>
      </c>
      <c r="E15" s="24">
        <v>20300</v>
      </c>
      <c r="F15" s="24">
        <v>11110.952021770179</v>
      </c>
      <c r="G15" s="12">
        <v>6666</v>
      </c>
      <c r="H15" s="12">
        <v>6552</v>
      </c>
      <c r="I15" s="25">
        <v>0.98289828982898286</v>
      </c>
      <c r="J15" s="14">
        <v>0</v>
      </c>
      <c r="K15" s="1">
        <f t="shared" si="0"/>
        <v>0</v>
      </c>
    </row>
    <row r="16" spans="1:11" x14ac:dyDescent="0.25">
      <c r="A16" s="18" t="s">
        <v>31</v>
      </c>
      <c r="B16" s="14">
        <v>1</v>
      </c>
      <c r="C16" s="18" t="s">
        <v>40</v>
      </c>
      <c r="D16" s="18" t="s">
        <v>11</v>
      </c>
      <c r="E16" s="24">
        <v>19800</v>
      </c>
      <c r="F16" s="24">
        <v>10779.452301324149</v>
      </c>
      <c r="G16" s="12">
        <v>15980</v>
      </c>
      <c r="H16" s="12">
        <v>15980</v>
      </c>
      <c r="I16" s="25">
        <v>1</v>
      </c>
      <c r="J16" s="14">
        <v>0</v>
      </c>
      <c r="K16" s="1">
        <f t="shared" si="0"/>
        <v>0</v>
      </c>
    </row>
    <row r="17" spans="1:11" x14ac:dyDescent="0.25">
      <c r="A17" s="18" t="s">
        <v>31</v>
      </c>
      <c r="B17" s="14">
        <v>1</v>
      </c>
      <c r="C17" s="18" t="s">
        <v>40</v>
      </c>
      <c r="D17" s="18" t="s">
        <v>13</v>
      </c>
      <c r="E17" s="24">
        <v>23450</v>
      </c>
      <c r="F17" s="24">
        <v>10637.355737944015</v>
      </c>
      <c r="G17" s="12">
        <v>2572</v>
      </c>
      <c r="H17" s="12">
        <v>2238</v>
      </c>
      <c r="I17" s="25">
        <v>0.87013996889580092</v>
      </c>
      <c r="J17" s="14">
        <v>134</v>
      </c>
      <c r="K17" s="1">
        <f t="shared" si="0"/>
        <v>5.9874888293118857E-2</v>
      </c>
    </row>
    <row r="18" spans="1:11" x14ac:dyDescent="0.25">
      <c r="A18" s="18" t="s">
        <v>31</v>
      </c>
      <c r="B18" s="14">
        <v>1</v>
      </c>
      <c r="C18" s="18" t="s">
        <v>40</v>
      </c>
      <c r="D18" s="18" t="s">
        <v>14</v>
      </c>
      <c r="E18" s="24">
        <v>23250</v>
      </c>
      <c r="F18" s="24">
        <v>12713.626909108136</v>
      </c>
      <c r="G18" s="12">
        <v>13668</v>
      </c>
      <c r="H18" s="12">
        <v>11589</v>
      </c>
      <c r="I18" s="25">
        <v>0.84789288849868305</v>
      </c>
      <c r="J18" s="14">
        <v>174</v>
      </c>
      <c r="K18" s="1">
        <f t="shared" si="0"/>
        <v>1.5014237639140565E-2</v>
      </c>
    </row>
    <row r="19" spans="1:11" x14ac:dyDescent="0.25">
      <c r="D19" s="17" t="s">
        <v>82</v>
      </c>
      <c r="F19" s="24">
        <v>12634.357542006179</v>
      </c>
      <c r="G19" s="10">
        <f>SUM(G6:G18)</f>
        <v>175584</v>
      </c>
      <c r="H19" s="10">
        <f>SUM(H6:H18)</f>
        <v>147408</v>
      </c>
      <c r="I19" s="1">
        <f>H19/G19</f>
        <v>0.83952979770366321</v>
      </c>
      <c r="J19" s="10">
        <f>SUM(J6:J18)</f>
        <v>8496</v>
      </c>
      <c r="K19" s="1">
        <f t="shared" si="0"/>
        <v>5.7635949202214265E-2</v>
      </c>
    </row>
    <row r="20" spans="1:11" x14ac:dyDescent="0.25">
      <c r="E20" s="14"/>
      <c r="F20" s="14"/>
      <c r="G20" s="14"/>
    </row>
    <row r="23" spans="1:11" x14ac:dyDescent="0.25">
      <c r="A23" s="16" t="s">
        <v>89</v>
      </c>
    </row>
    <row r="24" spans="1:11" x14ac:dyDescent="0.25">
      <c r="A24" s="16" t="s">
        <v>90</v>
      </c>
    </row>
    <row r="25" spans="1:11" x14ac:dyDescent="0.25">
      <c r="A25" s="16" t="s">
        <v>91</v>
      </c>
    </row>
    <row r="26" spans="1:11" x14ac:dyDescent="0.25">
      <c r="A26" s="16" t="s">
        <v>92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68422-8EEA-480D-A6A5-9F3D4B4FB478}">
  <dimension ref="A1:M22"/>
  <sheetViews>
    <sheetView workbookViewId="0">
      <selection activeCell="I50" sqref="I50"/>
    </sheetView>
  </sheetViews>
  <sheetFormatPr defaultRowHeight="15" x14ac:dyDescent="0.25"/>
  <cols>
    <col min="1" max="1" width="64.5703125" customWidth="1"/>
    <col min="2" max="6" width="11.5703125" bestFit="1" customWidth="1"/>
  </cols>
  <sheetData>
    <row r="1" spans="1:13" x14ac:dyDescent="0.25">
      <c r="A1" t="s">
        <v>24</v>
      </c>
    </row>
    <row r="2" spans="1:13" x14ac:dyDescent="0.25">
      <c r="A2" t="s">
        <v>27</v>
      </c>
    </row>
    <row r="3" spans="1:13" x14ac:dyDescent="0.25">
      <c r="B3">
        <v>0</v>
      </c>
      <c r="C3">
        <v>1</v>
      </c>
      <c r="D3">
        <v>2</v>
      </c>
      <c r="E3">
        <v>3</v>
      </c>
      <c r="F3">
        <v>4</v>
      </c>
    </row>
    <row r="4" spans="1:13" x14ac:dyDescent="0.25">
      <c r="A4" t="s">
        <v>0</v>
      </c>
      <c r="B4" s="2">
        <v>1486</v>
      </c>
      <c r="C4" s="2">
        <v>1585</v>
      </c>
      <c r="D4" s="2">
        <v>2082</v>
      </c>
      <c r="E4" s="2">
        <v>2541</v>
      </c>
      <c r="F4" s="2">
        <v>2897</v>
      </c>
      <c r="G4">
        <v>40</v>
      </c>
      <c r="H4" s="4">
        <f t="shared" ref="H4:H20" si="0">B4/$D4</f>
        <v>0.71373679154658987</v>
      </c>
      <c r="I4" s="4">
        <f t="shared" ref="I4:I20" si="1">C4/$D4</f>
        <v>0.76128722382324687</v>
      </c>
      <c r="J4" s="4">
        <f t="shared" ref="J4:J20" si="2">D4/$D4</f>
        <v>1</v>
      </c>
      <c r="K4" s="4">
        <f t="shared" ref="K4:K20" si="3">E4/$D4</f>
        <v>1.2204610951008645</v>
      </c>
      <c r="L4" s="4">
        <f t="shared" ref="L4:L20" si="4">F4/$D4</f>
        <v>1.3914505283381364</v>
      </c>
      <c r="M4" s="1"/>
    </row>
    <row r="5" spans="1:13" x14ac:dyDescent="0.25">
      <c r="A5" t="s">
        <v>20</v>
      </c>
      <c r="B5" s="2">
        <v>983</v>
      </c>
      <c r="C5" s="2">
        <v>1104</v>
      </c>
      <c r="D5" s="2">
        <v>1451</v>
      </c>
      <c r="E5" s="2">
        <v>1754</v>
      </c>
      <c r="F5" s="2">
        <v>2396</v>
      </c>
      <c r="G5">
        <v>40</v>
      </c>
      <c r="H5" s="4">
        <f t="shared" si="0"/>
        <v>0.67746381805651279</v>
      </c>
      <c r="I5" s="4">
        <f t="shared" si="1"/>
        <v>0.76085458304617504</v>
      </c>
      <c r="J5" s="4">
        <f t="shared" si="2"/>
        <v>1</v>
      </c>
      <c r="K5" s="4">
        <f t="shared" si="3"/>
        <v>1.2088215024121296</v>
      </c>
      <c r="L5" s="4">
        <f t="shared" si="4"/>
        <v>1.6512749827705031</v>
      </c>
    </row>
    <row r="6" spans="1:13" x14ac:dyDescent="0.25">
      <c r="A6" t="s">
        <v>1</v>
      </c>
      <c r="B6" s="2">
        <v>2212</v>
      </c>
      <c r="C6" s="2">
        <v>2377</v>
      </c>
      <c r="D6" s="2">
        <v>2827</v>
      </c>
      <c r="E6" s="2">
        <v>3418</v>
      </c>
      <c r="F6" s="2">
        <v>3765</v>
      </c>
      <c r="G6">
        <v>40</v>
      </c>
      <c r="H6" s="4">
        <f t="shared" si="0"/>
        <v>0.78245489918641664</v>
      </c>
      <c r="I6" s="4">
        <f t="shared" si="1"/>
        <v>0.84082065794128047</v>
      </c>
      <c r="J6" s="4">
        <f t="shared" si="2"/>
        <v>1</v>
      </c>
      <c r="K6" s="4">
        <f t="shared" si="3"/>
        <v>1.2090555359037849</v>
      </c>
      <c r="L6" s="4">
        <f t="shared" si="4"/>
        <v>1.3318004952246196</v>
      </c>
    </row>
    <row r="7" spans="1:13" x14ac:dyDescent="0.25">
      <c r="A7" t="s">
        <v>3</v>
      </c>
      <c r="B7" s="2">
        <v>1393</v>
      </c>
      <c r="C7" s="2">
        <v>1488</v>
      </c>
      <c r="D7" s="2">
        <v>1955</v>
      </c>
      <c r="E7" s="2">
        <v>2479</v>
      </c>
      <c r="F7" s="2">
        <v>2778</v>
      </c>
      <c r="G7">
        <v>40</v>
      </c>
      <c r="H7" s="4">
        <f t="shared" si="0"/>
        <v>0.71253196930946294</v>
      </c>
      <c r="I7" s="4">
        <f t="shared" si="1"/>
        <v>0.7611253196930946</v>
      </c>
      <c r="J7" s="4">
        <f t="shared" si="2"/>
        <v>1</v>
      </c>
      <c r="K7" s="4">
        <f t="shared" si="3"/>
        <v>1.2680306905370844</v>
      </c>
      <c r="L7" s="4">
        <f t="shared" si="4"/>
        <v>1.4209718670076725</v>
      </c>
    </row>
    <row r="8" spans="1:13" x14ac:dyDescent="0.25">
      <c r="A8" t="s">
        <v>21</v>
      </c>
      <c r="B8" s="2">
        <v>1280</v>
      </c>
      <c r="C8" s="2">
        <v>1438</v>
      </c>
      <c r="D8" s="2">
        <v>1889</v>
      </c>
      <c r="E8" s="2">
        <v>2662</v>
      </c>
      <c r="F8" s="2">
        <v>2935</v>
      </c>
      <c r="G8">
        <v>40</v>
      </c>
      <c r="H8" s="4">
        <f t="shared" si="0"/>
        <v>0.67760719957649551</v>
      </c>
      <c r="I8" s="4">
        <f t="shared" si="1"/>
        <v>0.76124933827421915</v>
      </c>
      <c r="J8" s="4">
        <f t="shared" si="2"/>
        <v>1</v>
      </c>
      <c r="K8" s="4">
        <f t="shared" si="3"/>
        <v>1.4092112228692431</v>
      </c>
      <c r="L8" s="4">
        <f t="shared" si="4"/>
        <v>1.5537321334039174</v>
      </c>
    </row>
    <row r="9" spans="1:13" x14ac:dyDescent="0.25">
      <c r="A9" t="s">
        <v>22</v>
      </c>
      <c r="B9" s="2">
        <v>1890</v>
      </c>
      <c r="C9" s="2">
        <v>1903</v>
      </c>
      <c r="D9" s="2">
        <v>2500</v>
      </c>
      <c r="E9" s="2">
        <v>3023</v>
      </c>
      <c r="F9" s="2">
        <v>3747</v>
      </c>
      <c r="G9">
        <v>40</v>
      </c>
      <c r="H9" s="4">
        <f t="shared" si="0"/>
        <v>0.75600000000000001</v>
      </c>
      <c r="I9" s="4">
        <f t="shared" si="1"/>
        <v>0.76119999999999999</v>
      </c>
      <c r="J9" s="4">
        <f t="shared" si="2"/>
        <v>1</v>
      </c>
      <c r="K9" s="4">
        <f t="shared" si="3"/>
        <v>1.2092000000000001</v>
      </c>
      <c r="L9" s="4">
        <f t="shared" si="4"/>
        <v>1.4987999999999999</v>
      </c>
    </row>
    <row r="10" spans="1:13" x14ac:dyDescent="0.25">
      <c r="A10" t="s">
        <v>4</v>
      </c>
      <c r="B10" s="2">
        <v>1072</v>
      </c>
      <c r="C10" s="2">
        <v>1238</v>
      </c>
      <c r="D10" s="2">
        <v>1582</v>
      </c>
      <c r="E10" s="2">
        <v>2055</v>
      </c>
      <c r="F10" s="2">
        <v>2373</v>
      </c>
      <c r="G10">
        <v>40</v>
      </c>
      <c r="H10" s="4">
        <f t="shared" si="0"/>
        <v>0.67762326169405818</v>
      </c>
      <c r="I10" s="4">
        <f t="shared" si="1"/>
        <v>0.78255372945638435</v>
      </c>
      <c r="J10" s="4">
        <f t="shared" si="2"/>
        <v>1</v>
      </c>
      <c r="K10" s="4">
        <f t="shared" si="3"/>
        <v>1.2989886219974716</v>
      </c>
      <c r="L10" s="4">
        <f t="shared" si="4"/>
        <v>1.5</v>
      </c>
    </row>
    <row r="11" spans="1:13" x14ac:dyDescent="0.25">
      <c r="A11" t="s">
        <v>5</v>
      </c>
      <c r="B11" s="2">
        <v>986</v>
      </c>
      <c r="C11" s="2">
        <v>1107</v>
      </c>
      <c r="D11" s="2">
        <v>1454</v>
      </c>
      <c r="E11" s="2">
        <v>1766</v>
      </c>
      <c r="F11" s="2">
        <v>2052</v>
      </c>
      <c r="G11">
        <v>40</v>
      </c>
      <c r="H11" s="4">
        <f t="shared" si="0"/>
        <v>0.6781292984869326</v>
      </c>
      <c r="I11" s="4">
        <f t="shared" si="1"/>
        <v>0.76134800550206327</v>
      </c>
      <c r="J11" s="4">
        <f t="shared" si="2"/>
        <v>1</v>
      </c>
      <c r="K11" s="4">
        <f t="shared" si="3"/>
        <v>1.2145804676753782</v>
      </c>
      <c r="L11" s="4">
        <f t="shared" si="4"/>
        <v>1.4112792297111416</v>
      </c>
    </row>
    <row r="12" spans="1:13" x14ac:dyDescent="0.25">
      <c r="A12" t="s">
        <v>6</v>
      </c>
      <c r="B12" s="2">
        <v>1299</v>
      </c>
      <c r="C12" s="2">
        <v>1483</v>
      </c>
      <c r="D12" s="2">
        <v>1917</v>
      </c>
      <c r="E12" s="2">
        <v>2329</v>
      </c>
      <c r="F12" s="2">
        <v>2553</v>
      </c>
      <c r="G12">
        <v>40</v>
      </c>
      <c r="H12" s="4">
        <f t="shared" si="0"/>
        <v>0.67762128325508608</v>
      </c>
      <c r="I12" s="4">
        <f t="shared" si="1"/>
        <v>0.77360459050599895</v>
      </c>
      <c r="J12" s="4">
        <f t="shared" si="2"/>
        <v>1</v>
      </c>
      <c r="K12" s="4">
        <f t="shared" si="3"/>
        <v>1.2149191444966092</v>
      </c>
      <c r="L12" s="4">
        <f t="shared" si="4"/>
        <v>1.3317683881064162</v>
      </c>
    </row>
    <row r="13" spans="1:13" x14ac:dyDescent="0.25">
      <c r="A13" t="s">
        <v>7</v>
      </c>
      <c r="B13" s="2">
        <v>1369</v>
      </c>
      <c r="C13" s="2">
        <v>1518</v>
      </c>
      <c r="D13" s="2">
        <v>1995</v>
      </c>
      <c r="E13" s="2">
        <v>2412</v>
      </c>
      <c r="F13" s="2">
        <v>2657</v>
      </c>
      <c r="G13">
        <v>40</v>
      </c>
      <c r="H13" s="4">
        <f t="shared" si="0"/>
        <v>0.68621553884711783</v>
      </c>
      <c r="I13" s="4">
        <f t="shared" si="1"/>
        <v>0.76090225563909775</v>
      </c>
      <c r="J13" s="4">
        <f t="shared" si="2"/>
        <v>1</v>
      </c>
      <c r="K13" s="4">
        <f t="shared" si="3"/>
        <v>1.2090225563909776</v>
      </c>
      <c r="L13" s="4">
        <f t="shared" si="4"/>
        <v>1.3318295739348371</v>
      </c>
    </row>
    <row r="14" spans="1:13" x14ac:dyDescent="0.25">
      <c r="A14" t="s">
        <v>8</v>
      </c>
      <c r="B14" s="2">
        <v>1027</v>
      </c>
      <c r="C14" s="2">
        <v>1205</v>
      </c>
      <c r="D14" s="2">
        <v>1463</v>
      </c>
      <c r="E14" s="2">
        <v>1769</v>
      </c>
      <c r="F14" s="2">
        <v>2049</v>
      </c>
      <c r="G14">
        <v>40</v>
      </c>
      <c r="H14" s="4">
        <f t="shared" si="0"/>
        <v>0.70198222829801782</v>
      </c>
      <c r="I14" s="4">
        <f t="shared" si="1"/>
        <v>0.82365003417634997</v>
      </c>
      <c r="J14" s="4">
        <f t="shared" si="2"/>
        <v>1</v>
      </c>
      <c r="K14" s="4">
        <f t="shared" si="3"/>
        <v>1.2091592617908407</v>
      </c>
      <c r="L14" s="4">
        <f t="shared" si="4"/>
        <v>1.4005468215994532</v>
      </c>
    </row>
    <row r="15" spans="1:13" x14ac:dyDescent="0.25">
      <c r="A15" t="s">
        <v>9</v>
      </c>
      <c r="B15" s="2">
        <v>950</v>
      </c>
      <c r="C15" s="2">
        <v>1100</v>
      </c>
      <c r="D15" s="2">
        <v>1402</v>
      </c>
      <c r="E15" s="2">
        <v>1807</v>
      </c>
      <c r="F15" s="2">
        <v>1867</v>
      </c>
      <c r="G15">
        <v>40</v>
      </c>
      <c r="H15" s="4">
        <f t="shared" si="0"/>
        <v>0.67760342368045645</v>
      </c>
      <c r="I15" s="4">
        <f t="shared" si="1"/>
        <v>0.78459343794579173</v>
      </c>
      <c r="J15" s="4">
        <f t="shared" si="2"/>
        <v>1</v>
      </c>
      <c r="K15" s="4">
        <f t="shared" si="3"/>
        <v>1.2888730385164051</v>
      </c>
      <c r="L15" s="4">
        <f t="shared" si="4"/>
        <v>1.3316690442225392</v>
      </c>
    </row>
    <row r="16" spans="1:13" x14ac:dyDescent="0.25">
      <c r="A16" t="s">
        <v>10</v>
      </c>
      <c r="B16" s="2">
        <v>1289</v>
      </c>
      <c r="C16" s="2">
        <v>1398</v>
      </c>
      <c r="D16" s="2">
        <v>1693</v>
      </c>
      <c r="E16" s="2">
        <v>2047</v>
      </c>
      <c r="F16" s="2">
        <v>2536</v>
      </c>
      <c r="G16">
        <v>40</v>
      </c>
      <c r="H16" s="4">
        <f t="shared" si="0"/>
        <v>0.76137034849379803</v>
      </c>
      <c r="I16" s="4">
        <f t="shared" si="1"/>
        <v>0.82575310100413468</v>
      </c>
      <c r="J16" s="4">
        <f t="shared" si="2"/>
        <v>1</v>
      </c>
      <c r="K16" s="4">
        <f t="shared" si="3"/>
        <v>1.2090962787950383</v>
      </c>
      <c r="L16" s="4">
        <f t="shared" si="4"/>
        <v>1.4979326639102186</v>
      </c>
    </row>
    <row r="17" spans="1:12" x14ac:dyDescent="0.25">
      <c r="A17" t="s">
        <v>11</v>
      </c>
      <c r="B17" s="2">
        <v>934</v>
      </c>
      <c r="C17" s="2">
        <v>1115</v>
      </c>
      <c r="D17" s="2">
        <v>1375</v>
      </c>
      <c r="E17" s="2">
        <v>1669</v>
      </c>
      <c r="F17" s="2">
        <v>1954</v>
      </c>
      <c r="G17">
        <v>40</v>
      </c>
      <c r="H17" s="4">
        <f t="shared" si="0"/>
        <v>0.67927272727272725</v>
      </c>
      <c r="I17" s="4">
        <f t="shared" si="1"/>
        <v>0.81090909090909091</v>
      </c>
      <c r="J17" s="4">
        <f t="shared" si="2"/>
        <v>1</v>
      </c>
      <c r="K17" s="4">
        <f t="shared" si="3"/>
        <v>1.2138181818181819</v>
      </c>
      <c r="L17" s="4">
        <f t="shared" si="4"/>
        <v>1.4210909090909092</v>
      </c>
    </row>
    <row r="18" spans="1:12" x14ac:dyDescent="0.25">
      <c r="A18" t="s">
        <v>13</v>
      </c>
      <c r="B18" s="2">
        <v>1245</v>
      </c>
      <c r="C18" s="2">
        <v>1398</v>
      </c>
      <c r="D18" s="2">
        <v>1837</v>
      </c>
      <c r="E18" s="2">
        <v>2319</v>
      </c>
      <c r="F18" s="2">
        <v>2482</v>
      </c>
      <c r="G18">
        <v>40</v>
      </c>
      <c r="H18" s="4">
        <f t="shared" si="0"/>
        <v>0.67773543821448012</v>
      </c>
      <c r="I18" s="4">
        <f t="shared" si="1"/>
        <v>0.76102340772999455</v>
      </c>
      <c r="J18" s="4">
        <f t="shared" si="2"/>
        <v>1</v>
      </c>
      <c r="K18" s="4">
        <f t="shared" si="3"/>
        <v>1.2623843222645619</v>
      </c>
      <c r="L18" s="4">
        <f t="shared" si="4"/>
        <v>1.3511159499183452</v>
      </c>
    </row>
    <row r="19" spans="1:12" x14ac:dyDescent="0.25">
      <c r="A19" t="s">
        <v>23</v>
      </c>
      <c r="B19" s="2">
        <v>998</v>
      </c>
      <c r="C19" s="2">
        <v>1065</v>
      </c>
      <c r="D19" s="2">
        <v>1399</v>
      </c>
      <c r="E19" s="2">
        <v>1947</v>
      </c>
      <c r="F19" s="2">
        <v>2318</v>
      </c>
      <c r="G19">
        <v>40</v>
      </c>
      <c r="H19" s="4">
        <f t="shared" si="0"/>
        <v>0.71336669049320944</v>
      </c>
      <c r="I19" s="4">
        <f t="shared" si="1"/>
        <v>0.76125804145818443</v>
      </c>
      <c r="J19" s="4">
        <f t="shared" si="2"/>
        <v>1</v>
      </c>
      <c r="K19" s="4">
        <f t="shared" si="3"/>
        <v>1.3917083631165117</v>
      </c>
      <c r="L19" s="4">
        <f t="shared" si="4"/>
        <v>1.6568977841315224</v>
      </c>
    </row>
    <row r="20" spans="1:12" x14ac:dyDescent="0.25">
      <c r="A20" t="s">
        <v>14</v>
      </c>
      <c r="B20" s="2">
        <v>1282</v>
      </c>
      <c r="C20" s="2">
        <v>1292</v>
      </c>
      <c r="D20" s="2">
        <v>1661</v>
      </c>
      <c r="E20" s="2">
        <v>2008</v>
      </c>
      <c r="F20" s="2">
        <v>2212</v>
      </c>
      <c r="G20">
        <v>40</v>
      </c>
      <c r="H20" s="4">
        <f t="shared" si="0"/>
        <v>0.77182420228777848</v>
      </c>
      <c r="I20" s="4">
        <f t="shared" si="1"/>
        <v>0.77784467188440698</v>
      </c>
      <c r="J20" s="4">
        <f t="shared" si="2"/>
        <v>1</v>
      </c>
      <c r="K20" s="4">
        <f t="shared" si="3"/>
        <v>1.2089102950030102</v>
      </c>
      <c r="L20" s="4">
        <f t="shared" si="4"/>
        <v>1.3317278747742325</v>
      </c>
    </row>
    <row r="22" spans="1:12" x14ac:dyDescent="0.25">
      <c r="A22" t="s">
        <v>29</v>
      </c>
      <c r="B22" s="3">
        <v>1609.07480038418</v>
      </c>
      <c r="C22" s="3">
        <v>1566.2407737947201</v>
      </c>
      <c r="D22" s="3">
        <v>2011.07713372889</v>
      </c>
      <c r="E22" s="3">
        <v>2088.9168789538498</v>
      </c>
      <c r="F22" s="3">
        <v>2648.8068838128902</v>
      </c>
      <c r="G22" t="s">
        <v>28</v>
      </c>
      <c r="H22" s="1">
        <f>B22/$D22</f>
        <v>0.8001059598349034</v>
      </c>
      <c r="I22" s="1">
        <f>C22/$D22</f>
        <v>0.77880691273667602</v>
      </c>
      <c r="J22" s="1">
        <f>D22/$D22</f>
        <v>1</v>
      </c>
      <c r="K22" s="1">
        <f>E22/$D22</f>
        <v>1.0387054996148415</v>
      </c>
      <c r="L22" s="1">
        <f>F22/$D22</f>
        <v>1.317108548144813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2A2A24-60B3-4CEA-A986-8CF87ECA182C}">
  <dimension ref="A1:E25"/>
  <sheetViews>
    <sheetView workbookViewId="0">
      <selection activeCell="E3" sqref="E3:E9"/>
    </sheetView>
  </sheetViews>
  <sheetFormatPr defaultRowHeight="15" x14ac:dyDescent="0.25"/>
  <cols>
    <col min="3" max="3" width="17.7109375" customWidth="1"/>
    <col min="5" max="5" width="9.5703125" bestFit="1" customWidth="1"/>
  </cols>
  <sheetData>
    <row r="1" spans="1:5" x14ac:dyDescent="0.25">
      <c r="A1" s="22" t="s">
        <v>30</v>
      </c>
      <c r="B1" s="22" t="s">
        <v>25</v>
      </c>
      <c r="C1" s="22" t="s">
        <v>26</v>
      </c>
      <c r="D1" s="22" t="s">
        <v>78</v>
      </c>
    </row>
    <row r="2" spans="1:5" x14ac:dyDescent="0.25">
      <c r="A2" s="21" t="s">
        <v>31</v>
      </c>
      <c r="B2" s="21" t="s">
        <v>32</v>
      </c>
      <c r="C2" s="24">
        <v>1440.291057510492</v>
      </c>
      <c r="D2" s="26">
        <v>65049</v>
      </c>
      <c r="E2" s="1">
        <f>C2/$C$4</f>
        <v>0.79969341816029249</v>
      </c>
    </row>
    <row r="3" spans="1:5" x14ac:dyDescent="0.25">
      <c r="A3" s="21" t="s">
        <v>31</v>
      </c>
      <c r="B3" s="21" t="s">
        <v>33</v>
      </c>
      <c r="C3" s="24">
        <v>1388.5509310971715</v>
      </c>
      <c r="D3" s="26">
        <v>305285</v>
      </c>
      <c r="E3" s="1">
        <f t="shared" ref="E3:E9" si="0">C3/$C$4</f>
        <v>0.77096572570413591</v>
      </c>
    </row>
    <row r="4" spans="1:5" x14ac:dyDescent="0.25">
      <c r="A4" s="21" t="s">
        <v>31</v>
      </c>
      <c r="B4" s="21" t="s">
        <v>34</v>
      </c>
      <c r="C4" s="24">
        <v>1801.0540349624293</v>
      </c>
      <c r="D4" s="26">
        <v>386472</v>
      </c>
      <c r="E4" s="1">
        <f t="shared" si="0"/>
        <v>1</v>
      </c>
    </row>
    <row r="5" spans="1:5" x14ac:dyDescent="0.25">
      <c r="A5" s="21" t="s">
        <v>31</v>
      </c>
      <c r="B5" s="21" t="s">
        <v>31</v>
      </c>
      <c r="C5" s="24">
        <v>1924.3446456108898</v>
      </c>
      <c r="D5" s="26">
        <v>187407</v>
      </c>
      <c r="E5" s="1">
        <f t="shared" si="0"/>
        <v>1.0684546983350405</v>
      </c>
    </row>
    <row r="6" spans="1:5" x14ac:dyDescent="0.25">
      <c r="A6" s="21" t="s">
        <v>31</v>
      </c>
      <c r="B6" s="21" t="s">
        <v>35</v>
      </c>
      <c r="C6" s="24">
        <v>2239.4914553276449</v>
      </c>
      <c r="D6" s="26">
        <v>42073</v>
      </c>
      <c r="E6" s="1">
        <f t="shared" si="0"/>
        <v>1.2434337959073847</v>
      </c>
    </row>
    <row r="7" spans="1:5" x14ac:dyDescent="0.25">
      <c r="A7" s="21" t="s">
        <v>31</v>
      </c>
      <c r="B7" s="21" t="s">
        <v>36</v>
      </c>
      <c r="C7" s="24">
        <v>2465.1464537087168</v>
      </c>
      <c r="D7" s="26">
        <v>7388</v>
      </c>
      <c r="E7" s="1">
        <f t="shared" si="0"/>
        <v>1.3687243169026524</v>
      </c>
    </row>
    <row r="8" spans="1:5" x14ac:dyDescent="0.25">
      <c r="A8" s="21" t="s">
        <v>31</v>
      </c>
      <c r="B8" s="21" t="s">
        <v>37</v>
      </c>
      <c r="C8" s="24">
        <v>1918.1312785388127</v>
      </c>
      <c r="D8" s="26">
        <v>1752</v>
      </c>
      <c r="E8" s="1">
        <f t="shared" si="0"/>
        <v>1.0650048478855469</v>
      </c>
    </row>
    <row r="9" spans="1:5" x14ac:dyDescent="0.25">
      <c r="A9" s="21" t="s">
        <v>31</v>
      </c>
      <c r="B9" s="21" t="s">
        <v>38</v>
      </c>
      <c r="C9" s="24">
        <v>1481.9508002371074</v>
      </c>
      <c r="D9" s="26">
        <v>1687</v>
      </c>
      <c r="E9" s="1">
        <f t="shared" si="0"/>
        <v>0.82282417488269388</v>
      </c>
    </row>
    <row r="10" spans="1:5" x14ac:dyDescent="0.25">
      <c r="D10">
        <f>SUM(D2:D9)</f>
        <v>997113</v>
      </c>
    </row>
    <row r="11" spans="1:5" x14ac:dyDescent="0.25">
      <c r="A11" s="16" t="s">
        <v>93</v>
      </c>
    </row>
    <row r="12" spans="1:5" x14ac:dyDescent="0.25">
      <c r="A12" s="16" t="s">
        <v>94</v>
      </c>
    </row>
    <row r="13" spans="1:5" x14ac:dyDescent="0.25">
      <c r="A13" s="16" t="s">
        <v>95</v>
      </c>
    </row>
    <row r="14" spans="1:5" x14ac:dyDescent="0.25">
      <c r="A14" s="16" t="s">
        <v>96</v>
      </c>
    </row>
    <row r="15" spans="1:5" x14ac:dyDescent="0.25">
      <c r="A15" s="16"/>
    </row>
    <row r="16" spans="1:5" x14ac:dyDescent="0.25">
      <c r="A16" s="39" t="s">
        <v>98</v>
      </c>
    </row>
    <row r="17" spans="1:3" x14ac:dyDescent="0.25">
      <c r="A17" s="35" t="s">
        <v>25</v>
      </c>
      <c r="B17" s="35" t="s">
        <v>39</v>
      </c>
      <c r="C17" s="35" t="s">
        <v>97</v>
      </c>
    </row>
    <row r="18" spans="1:3" x14ac:dyDescent="0.25">
      <c r="A18" s="36" t="s">
        <v>32</v>
      </c>
      <c r="B18" s="37">
        <v>1440.291057510492</v>
      </c>
      <c r="C18" s="38">
        <v>0.79969341816029249</v>
      </c>
    </row>
    <row r="19" spans="1:3" x14ac:dyDescent="0.25">
      <c r="A19" s="36" t="s">
        <v>33</v>
      </c>
      <c r="B19" s="37">
        <v>1388.5509310971715</v>
      </c>
      <c r="C19" s="38">
        <v>0.77096572570413591</v>
      </c>
    </row>
    <row r="20" spans="1:3" x14ac:dyDescent="0.25">
      <c r="A20" s="36" t="s">
        <v>34</v>
      </c>
      <c r="B20" s="37">
        <v>1801.0540349624293</v>
      </c>
      <c r="C20" s="38">
        <v>1</v>
      </c>
    </row>
    <row r="21" spans="1:3" x14ac:dyDescent="0.25">
      <c r="A21" s="36" t="s">
        <v>31</v>
      </c>
      <c r="B21" s="37">
        <v>1924.3446456108898</v>
      </c>
      <c r="C21" s="38">
        <v>1.0684546983350405</v>
      </c>
    </row>
    <row r="22" spans="1:3" x14ac:dyDescent="0.25">
      <c r="A22" s="36" t="s">
        <v>35</v>
      </c>
      <c r="B22" s="37">
        <v>2239.4914553276449</v>
      </c>
      <c r="C22" s="38">
        <v>1.2434337959073847</v>
      </c>
    </row>
    <row r="23" spans="1:3" x14ac:dyDescent="0.25">
      <c r="A23" s="36" t="s">
        <v>36</v>
      </c>
      <c r="B23" s="37">
        <v>2465.1464537087168</v>
      </c>
      <c r="C23" s="38">
        <v>1.3687243169026524</v>
      </c>
    </row>
    <row r="24" spans="1:3" x14ac:dyDescent="0.25">
      <c r="A24" s="36" t="s">
        <v>37</v>
      </c>
      <c r="B24" s="37">
        <v>1918.1312785388127</v>
      </c>
      <c r="C24" s="38">
        <v>1.0650048478855469</v>
      </c>
    </row>
    <row r="25" spans="1:3" x14ac:dyDescent="0.25">
      <c r="A25" s="36" t="s">
        <v>38</v>
      </c>
      <c r="B25" s="37">
        <v>1481.9508002371074</v>
      </c>
      <c r="C25" s="38">
        <v>0.82282417488269388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A4A57F-7A79-44AA-BD5C-22DFC40DF91A}">
  <dimension ref="A1:CC138"/>
  <sheetViews>
    <sheetView workbookViewId="0">
      <selection activeCell="B3" sqref="B3:E3"/>
    </sheetView>
  </sheetViews>
  <sheetFormatPr defaultRowHeight="15" x14ac:dyDescent="0.25"/>
  <cols>
    <col min="1" max="1" width="52.28515625" customWidth="1"/>
    <col min="2" max="2" width="11" bestFit="1" customWidth="1"/>
    <col min="3" max="5" width="11.140625" bestFit="1" customWidth="1"/>
    <col min="6" max="6" width="19" customWidth="1"/>
    <col min="7" max="7" width="13.85546875" bestFit="1" customWidth="1"/>
    <col min="8" max="8" width="16.5703125" customWidth="1"/>
    <col min="9" max="10" width="13.85546875" bestFit="1" customWidth="1"/>
    <col min="11" max="14" width="10.140625" bestFit="1" customWidth="1"/>
    <col min="15" max="15" width="11.140625" bestFit="1" customWidth="1"/>
    <col min="16" max="18" width="12.5703125" bestFit="1" customWidth="1"/>
    <col min="19" max="19" width="12.42578125" bestFit="1" customWidth="1"/>
    <col min="20" max="81" width="10.140625" bestFit="1" customWidth="1"/>
  </cols>
  <sheetData>
    <row r="1" spans="1:14" x14ac:dyDescent="0.25">
      <c r="A1" t="s">
        <v>248</v>
      </c>
      <c r="H1" s="67" t="s">
        <v>247</v>
      </c>
      <c r="I1" s="67"/>
      <c r="J1" s="67"/>
      <c r="K1" s="67"/>
      <c r="L1" s="67"/>
      <c r="M1" s="67"/>
      <c r="N1" s="67"/>
    </row>
    <row r="2" spans="1:14" x14ac:dyDescent="0.25">
      <c r="A2" s="40" t="s">
        <v>252</v>
      </c>
      <c r="B2" s="40" t="s">
        <v>40</v>
      </c>
      <c r="C2" s="40" t="s">
        <v>42</v>
      </c>
      <c r="D2" s="40" t="s">
        <v>41</v>
      </c>
      <c r="E2" s="40" t="s">
        <v>103</v>
      </c>
      <c r="F2" s="40" t="s">
        <v>99</v>
      </c>
      <c r="H2" s="68"/>
      <c r="I2" s="68" t="s">
        <v>43</v>
      </c>
      <c r="J2" s="68" t="s">
        <v>46</v>
      </c>
      <c r="K2" s="68" t="s">
        <v>44</v>
      </c>
      <c r="L2" s="68" t="s">
        <v>45</v>
      </c>
      <c r="M2" s="67"/>
      <c r="N2" s="67"/>
    </row>
    <row r="3" spans="1:14" x14ac:dyDescent="0.25">
      <c r="A3" s="41" t="s">
        <v>100</v>
      </c>
      <c r="B3" s="42">
        <v>128717</v>
      </c>
      <c r="C3" s="42">
        <v>27297</v>
      </c>
      <c r="D3" s="42">
        <v>12728</v>
      </c>
      <c r="E3" s="42">
        <v>13484</v>
      </c>
      <c r="F3" s="43">
        <f>SUM(B3:E3)</f>
        <v>182226</v>
      </c>
      <c r="H3" s="69" t="s">
        <v>249</v>
      </c>
      <c r="I3" s="70">
        <v>13046</v>
      </c>
      <c r="J3" s="70">
        <v>4959</v>
      </c>
      <c r="K3" s="70">
        <v>7203</v>
      </c>
      <c r="L3" s="70">
        <v>11090</v>
      </c>
      <c r="M3" s="71">
        <f>SUM(I3:L3)</f>
        <v>36298</v>
      </c>
      <c r="N3" s="67"/>
    </row>
    <row r="4" spans="1:14" x14ac:dyDescent="0.25">
      <c r="A4" s="41" t="s">
        <v>101</v>
      </c>
      <c r="B4" s="42">
        <v>166319</v>
      </c>
      <c r="C4" s="42">
        <v>131262</v>
      </c>
      <c r="D4" s="42">
        <v>171630</v>
      </c>
      <c r="E4" s="42">
        <v>345676</v>
      </c>
      <c r="F4" s="43">
        <f>SUM(B4:E4)</f>
        <v>814887</v>
      </c>
      <c r="H4" s="67"/>
      <c r="I4" s="72">
        <f>I3/$M$3</f>
        <v>0.35941374180395613</v>
      </c>
      <c r="J4" s="72">
        <f>J3/$M$3</f>
        <v>0.13661909747093504</v>
      </c>
      <c r="K4" s="72">
        <f>K3/$M$3</f>
        <v>0.19844068543721416</v>
      </c>
      <c r="L4" s="72">
        <f>L3/$M$3</f>
        <v>0.30552647528789467</v>
      </c>
      <c r="M4" s="67"/>
      <c r="N4" s="67"/>
    </row>
    <row r="5" spans="1:14" x14ac:dyDescent="0.25">
      <c r="A5" s="28" t="s">
        <v>102</v>
      </c>
      <c r="B5" s="43">
        <f>SUM(B3:B4)</f>
        <v>295036</v>
      </c>
      <c r="C5" s="43">
        <f>SUM(C3:C4)</f>
        <v>158559</v>
      </c>
      <c r="D5" s="43">
        <f>SUM(D3:D4)</f>
        <v>184358</v>
      </c>
      <c r="E5" s="43">
        <f>SUM(E3:E4)</f>
        <v>359160</v>
      </c>
      <c r="F5" s="43">
        <f>SUM(F3:F4)</f>
        <v>997113</v>
      </c>
      <c r="H5" s="67"/>
      <c r="I5" s="67"/>
      <c r="J5" s="67"/>
      <c r="K5" s="67"/>
      <c r="L5" s="67"/>
      <c r="M5" s="67"/>
      <c r="N5" s="67"/>
    </row>
    <row r="6" spans="1:14" x14ac:dyDescent="0.25">
      <c r="A6" s="41" t="s">
        <v>100</v>
      </c>
      <c r="B6" s="44">
        <f>B3/$F3</f>
        <v>0.70635913645692716</v>
      </c>
      <c r="C6" s="44">
        <f t="shared" ref="C6:F6" si="0">C3/$F3</f>
        <v>0.14979750419808369</v>
      </c>
      <c r="D6" s="44">
        <f t="shared" si="0"/>
        <v>6.9847332433351991E-2</v>
      </c>
      <c r="E6" s="57">
        <f t="shared" si="0"/>
        <v>7.3996026911637203E-2</v>
      </c>
      <c r="F6" s="44">
        <f t="shared" si="0"/>
        <v>1</v>
      </c>
    </row>
    <row r="7" spans="1:14" x14ac:dyDescent="0.25">
      <c r="A7" s="41" t="s">
        <v>101</v>
      </c>
      <c r="B7" s="44">
        <f>B4/$F4</f>
        <v>0.20410069126148778</v>
      </c>
      <c r="C7" s="44">
        <f t="shared" ref="C7:F7" si="1">C4/$F4</f>
        <v>0.16108000250341459</v>
      </c>
      <c r="D7" s="44">
        <f t="shared" si="1"/>
        <v>0.2106181593276123</v>
      </c>
      <c r="E7" s="44">
        <f t="shared" si="1"/>
        <v>0.42420114690748534</v>
      </c>
      <c r="F7" s="44">
        <f t="shared" si="1"/>
        <v>1</v>
      </c>
    </row>
    <row r="8" spans="1:14" x14ac:dyDescent="0.25">
      <c r="A8" s="28" t="s">
        <v>102</v>
      </c>
      <c r="B8" s="44">
        <f>B5/$F5</f>
        <v>0.295890235108759</v>
      </c>
      <c r="C8" s="44">
        <f t="shared" ref="C8:F8" si="2">C5/$F5</f>
        <v>0.15901808521200705</v>
      </c>
      <c r="D8" s="44">
        <f t="shared" si="2"/>
        <v>0.18489178257629776</v>
      </c>
      <c r="E8" s="44">
        <f t="shared" si="2"/>
        <v>0.36019989710293615</v>
      </c>
      <c r="F8" s="44">
        <f t="shared" si="2"/>
        <v>1</v>
      </c>
    </row>
    <row r="13" spans="1:14" x14ac:dyDescent="0.25">
      <c r="A13" s="16" t="s">
        <v>104</v>
      </c>
    </row>
    <row r="14" spans="1:14" x14ac:dyDescent="0.25">
      <c r="A14" s="16" t="s">
        <v>105</v>
      </c>
    </row>
    <row r="15" spans="1:14" x14ac:dyDescent="0.25">
      <c r="A15" s="16" t="s">
        <v>106</v>
      </c>
    </row>
    <row r="16" spans="1:14" x14ac:dyDescent="0.25">
      <c r="A16" s="16" t="s">
        <v>107</v>
      </c>
    </row>
    <row r="17" spans="1:7" x14ac:dyDescent="0.25">
      <c r="A17" s="16" t="s">
        <v>108</v>
      </c>
    </row>
    <row r="18" spans="1:7" x14ac:dyDescent="0.25">
      <c r="A18" s="16" t="s">
        <v>109</v>
      </c>
    </row>
    <row r="21" spans="1:7" x14ac:dyDescent="0.25">
      <c r="A21" s="27" t="s">
        <v>244</v>
      </c>
    </row>
    <row r="22" spans="1:7" ht="30" x14ac:dyDescent="0.25">
      <c r="A22" s="5" t="s">
        <v>84</v>
      </c>
      <c r="B22" s="8" t="s">
        <v>123</v>
      </c>
      <c r="C22" s="5" t="s">
        <v>125</v>
      </c>
      <c r="D22" s="5" t="s">
        <v>124</v>
      </c>
      <c r="E22" s="5" t="s">
        <v>125</v>
      </c>
      <c r="F22" s="27" t="s">
        <v>245</v>
      </c>
      <c r="G22" s="65" t="s">
        <v>246</v>
      </c>
    </row>
    <row r="23" spans="1:7" x14ac:dyDescent="0.25">
      <c r="A23" s="9" t="s">
        <v>5</v>
      </c>
      <c r="B23" s="51">
        <v>217</v>
      </c>
      <c r="C23" s="1">
        <f t="shared" ref="C23:C35" si="3">B23/$B$36</f>
        <v>1.6093147433995848E-2</v>
      </c>
      <c r="D23" s="6">
        <v>14006</v>
      </c>
      <c r="E23" s="1">
        <f t="shared" ref="E23:E35" si="4">D23/$D$36</f>
        <v>1.4046552396769474E-2</v>
      </c>
      <c r="F23" s="20">
        <v>19800</v>
      </c>
      <c r="G23" s="66">
        <f>C23/E23</f>
        <v>1.1457008794340926</v>
      </c>
    </row>
    <row r="24" spans="1:7" x14ac:dyDescent="0.25">
      <c r="A24" s="9" t="s">
        <v>8</v>
      </c>
      <c r="B24" s="51">
        <v>1803</v>
      </c>
      <c r="C24" s="1">
        <f t="shared" si="3"/>
        <v>0.13371403144467517</v>
      </c>
      <c r="D24" s="6">
        <v>33168</v>
      </c>
      <c r="E24" s="1">
        <f t="shared" si="4"/>
        <v>3.3264033264033266E-2</v>
      </c>
      <c r="F24" s="20">
        <v>19800</v>
      </c>
      <c r="G24" s="66">
        <f t="shared" ref="G24:G35" si="5">C24/E24</f>
        <v>4.0197780703055468</v>
      </c>
    </row>
    <row r="25" spans="1:7" x14ac:dyDescent="0.25">
      <c r="A25" s="9" t="s">
        <v>11</v>
      </c>
      <c r="B25" s="51">
        <v>1723</v>
      </c>
      <c r="C25" s="1">
        <f t="shared" si="3"/>
        <v>0.12778107386532186</v>
      </c>
      <c r="D25" s="6">
        <v>82168</v>
      </c>
      <c r="E25" s="1">
        <f t="shared" si="4"/>
        <v>8.2405905850189504E-2</v>
      </c>
      <c r="F25" s="20">
        <v>19800</v>
      </c>
      <c r="G25" s="66">
        <f t="shared" si="5"/>
        <v>1.5506300494726983</v>
      </c>
    </row>
    <row r="26" spans="1:7" x14ac:dyDescent="0.25">
      <c r="A26" s="9" t="s">
        <v>9</v>
      </c>
      <c r="B26" s="51">
        <v>663</v>
      </c>
      <c r="C26" s="1">
        <f t="shared" si="3"/>
        <v>4.9169385938890538E-2</v>
      </c>
      <c r="D26" s="6">
        <v>16112</v>
      </c>
      <c r="E26" s="1">
        <f t="shared" si="4"/>
        <v>1.6158650022615292E-2</v>
      </c>
      <c r="F26" s="20">
        <v>20300</v>
      </c>
      <c r="G26" s="66">
        <f t="shared" si="5"/>
        <v>3.0429142205613799</v>
      </c>
    </row>
    <row r="27" spans="1:7" x14ac:dyDescent="0.25">
      <c r="A27" s="9" t="s">
        <v>10</v>
      </c>
      <c r="B27" s="51">
        <v>1439</v>
      </c>
      <c r="C27" s="1">
        <f t="shared" si="3"/>
        <v>0.10671907445861763</v>
      </c>
      <c r="D27" s="6">
        <v>39250</v>
      </c>
      <c r="E27" s="1">
        <f t="shared" si="4"/>
        <v>3.9363642836870043E-2</v>
      </c>
      <c r="F27" s="20">
        <v>20300</v>
      </c>
      <c r="G27" s="66">
        <f t="shared" si="5"/>
        <v>2.7111076812905885</v>
      </c>
    </row>
    <row r="28" spans="1:7" x14ac:dyDescent="0.25">
      <c r="A28" s="9" t="s">
        <v>4</v>
      </c>
      <c r="B28" s="51">
        <v>422</v>
      </c>
      <c r="C28" s="1">
        <f t="shared" si="3"/>
        <v>3.1296351231088697E-2</v>
      </c>
      <c r="D28" s="6">
        <v>25972</v>
      </c>
      <c r="E28" s="1">
        <f t="shared" si="4"/>
        <v>2.6047198261380605E-2</v>
      </c>
      <c r="F28" s="20">
        <v>21050</v>
      </c>
      <c r="G28" s="66">
        <f t="shared" si="5"/>
        <v>1.2015246675298223</v>
      </c>
    </row>
    <row r="29" spans="1:7" x14ac:dyDescent="0.25">
      <c r="A29" s="9" t="s">
        <v>0</v>
      </c>
      <c r="B29" s="51">
        <v>182</v>
      </c>
      <c r="C29" s="1">
        <f t="shared" si="3"/>
        <v>1.3497478493028774E-2</v>
      </c>
      <c r="D29" s="6">
        <v>19529</v>
      </c>
      <c r="E29" s="1">
        <f t="shared" si="4"/>
        <v>1.9585543463980511E-2</v>
      </c>
      <c r="F29" s="20">
        <v>22850</v>
      </c>
      <c r="G29" s="64">
        <f t="shared" si="5"/>
        <v>0.68915516783344777</v>
      </c>
    </row>
    <row r="30" spans="1:7" x14ac:dyDescent="0.25">
      <c r="A30" s="9" t="s">
        <v>14</v>
      </c>
      <c r="B30" s="51">
        <v>1320</v>
      </c>
      <c r="C30" s="1">
        <f t="shared" si="3"/>
        <v>9.7893800059329572E-2</v>
      </c>
      <c r="D30" s="6">
        <v>82842</v>
      </c>
      <c r="E30" s="1">
        <f t="shared" si="4"/>
        <v>8.3081857322088865E-2</v>
      </c>
      <c r="F30" s="20">
        <v>23250</v>
      </c>
      <c r="G30" s="64">
        <f t="shared" si="5"/>
        <v>1.1782813145331872</v>
      </c>
    </row>
    <row r="31" spans="1:7" x14ac:dyDescent="0.25">
      <c r="A31" s="9" t="s">
        <v>3</v>
      </c>
      <c r="B31" s="51">
        <v>298</v>
      </c>
      <c r="C31" s="1">
        <f t="shared" si="3"/>
        <v>2.2100266983091071E-2</v>
      </c>
      <c r="D31" s="6">
        <v>30828</v>
      </c>
      <c r="E31" s="1">
        <f t="shared" si="4"/>
        <v>3.091725812420458E-2</v>
      </c>
      <c r="F31" s="20">
        <v>23450</v>
      </c>
      <c r="G31" s="64">
        <f t="shared" si="5"/>
        <v>0.71481975841153778</v>
      </c>
    </row>
    <row r="32" spans="1:7" x14ac:dyDescent="0.25">
      <c r="A32" s="9" t="s">
        <v>13</v>
      </c>
      <c r="B32" s="51">
        <v>421</v>
      </c>
      <c r="C32" s="1">
        <f t="shared" si="3"/>
        <v>3.1222189261346782E-2</v>
      </c>
      <c r="D32" s="6">
        <v>14035</v>
      </c>
      <c r="E32" s="1">
        <f t="shared" si="4"/>
        <v>1.4075636362177606E-2</v>
      </c>
      <c r="F32" s="20">
        <v>23450</v>
      </c>
      <c r="G32" s="64">
        <f t="shared" si="5"/>
        <v>2.2181724831456555</v>
      </c>
    </row>
    <row r="33" spans="1:81" x14ac:dyDescent="0.25">
      <c r="A33" s="9" t="s">
        <v>6</v>
      </c>
      <c r="B33" s="51">
        <v>344</v>
      </c>
      <c r="C33" s="1">
        <f t="shared" si="3"/>
        <v>2.5511717591219223E-2</v>
      </c>
      <c r="D33" s="6">
        <v>42429</v>
      </c>
      <c r="E33" s="1">
        <f t="shared" si="4"/>
        <v>4.2551847182816793E-2</v>
      </c>
      <c r="F33" s="20">
        <v>24200</v>
      </c>
      <c r="G33" s="64">
        <f t="shared" si="5"/>
        <v>0.59954430371994094</v>
      </c>
    </row>
    <row r="34" spans="1:81" x14ac:dyDescent="0.25">
      <c r="A34" s="9" t="s">
        <v>7</v>
      </c>
      <c r="B34" s="51">
        <v>534</v>
      </c>
      <c r="C34" s="1">
        <f t="shared" si="3"/>
        <v>3.9602491842183327E-2</v>
      </c>
      <c r="D34" s="6">
        <v>38791</v>
      </c>
      <c r="E34" s="1">
        <f t="shared" si="4"/>
        <v>3.8903313867134415E-2</v>
      </c>
      <c r="F34" s="20">
        <v>26550</v>
      </c>
      <c r="G34" s="64">
        <f t="shared" si="5"/>
        <v>1.0179721958246744</v>
      </c>
    </row>
    <row r="35" spans="1:81" x14ac:dyDescent="0.25">
      <c r="A35" s="9" t="s">
        <v>1</v>
      </c>
      <c r="B35" s="51">
        <v>4118</v>
      </c>
      <c r="C35" s="1">
        <f t="shared" si="3"/>
        <v>0.30539899139721149</v>
      </c>
      <c r="D35" s="6">
        <v>557983</v>
      </c>
      <c r="E35" s="1">
        <f t="shared" si="4"/>
        <v>0.55959856104573902</v>
      </c>
      <c r="F35" s="20">
        <v>29450</v>
      </c>
      <c r="G35" s="64">
        <f t="shared" si="5"/>
        <v>0.54574656308354874</v>
      </c>
    </row>
    <row r="36" spans="1:81" x14ac:dyDescent="0.25">
      <c r="B36">
        <f>SUM(B23:B35)</f>
        <v>13484</v>
      </c>
      <c r="C36" s="1">
        <f t="shared" ref="C36" si="6">B36/$B$36</f>
        <v>1</v>
      </c>
      <c r="D36">
        <f>SUM(D23:D35)</f>
        <v>997113</v>
      </c>
      <c r="E36" s="1">
        <f t="shared" ref="E36" si="7">D36/$D$36</f>
        <v>1</v>
      </c>
    </row>
    <row r="38" spans="1:81" x14ac:dyDescent="0.25">
      <c r="A38" s="52" t="s">
        <v>126</v>
      </c>
    </row>
    <row r="41" spans="1:81" x14ac:dyDescent="0.25">
      <c r="A41" t="s">
        <v>151</v>
      </c>
    </row>
    <row r="42" spans="1:81" x14ac:dyDescent="0.25">
      <c r="A42" s="5" t="s">
        <v>152</v>
      </c>
      <c r="B42" s="5" t="s">
        <v>153</v>
      </c>
      <c r="C42" s="5" t="s">
        <v>154</v>
      </c>
      <c r="D42" s="5" t="s">
        <v>155</v>
      </c>
      <c r="E42" s="5" t="s">
        <v>156</v>
      </c>
      <c r="F42" s="5" t="s">
        <v>157</v>
      </c>
      <c r="G42" s="5" t="s">
        <v>158</v>
      </c>
      <c r="H42" s="5" t="s">
        <v>159</v>
      </c>
      <c r="I42" s="5" t="s">
        <v>160</v>
      </c>
      <c r="J42" s="5" t="s">
        <v>161</v>
      </c>
      <c r="K42" s="5" t="s">
        <v>162</v>
      </c>
      <c r="L42" s="5" t="s">
        <v>163</v>
      </c>
      <c r="M42" s="5" t="s">
        <v>164</v>
      </c>
      <c r="N42" s="5" t="s">
        <v>165</v>
      </c>
      <c r="O42" s="5" t="s">
        <v>166</v>
      </c>
      <c r="P42" s="5" t="s">
        <v>167</v>
      </c>
      <c r="Q42" s="5" t="s">
        <v>168</v>
      </c>
      <c r="R42" s="5" t="s">
        <v>169</v>
      </c>
      <c r="S42" s="5" t="s">
        <v>170</v>
      </c>
      <c r="T42" s="5" t="s">
        <v>171</v>
      </c>
      <c r="U42" s="5" t="s">
        <v>172</v>
      </c>
      <c r="V42" s="5" t="s">
        <v>173</v>
      </c>
      <c r="W42" s="5" t="s">
        <v>174</v>
      </c>
      <c r="X42" s="5" t="s">
        <v>175</v>
      </c>
      <c r="Y42" s="5" t="s">
        <v>176</v>
      </c>
      <c r="Z42" s="5" t="s">
        <v>177</v>
      </c>
      <c r="AA42" s="5" t="s">
        <v>178</v>
      </c>
      <c r="AB42" s="5" t="s">
        <v>179</v>
      </c>
      <c r="AC42" s="5" t="s">
        <v>180</v>
      </c>
      <c r="AD42" s="5" t="s">
        <v>181</v>
      </c>
      <c r="AE42" s="5" t="s">
        <v>182</v>
      </c>
      <c r="AF42" s="5" t="s">
        <v>183</v>
      </c>
      <c r="AG42" s="5" t="s">
        <v>184</v>
      </c>
      <c r="AH42" s="5" t="s">
        <v>185</v>
      </c>
      <c r="AI42" s="5" t="s">
        <v>186</v>
      </c>
      <c r="AJ42" s="5" t="s">
        <v>187</v>
      </c>
      <c r="AK42" s="5" t="s">
        <v>188</v>
      </c>
      <c r="AL42" s="5" t="s">
        <v>189</v>
      </c>
      <c r="AM42" s="5" t="s">
        <v>190</v>
      </c>
      <c r="AN42" s="5" t="s">
        <v>191</v>
      </c>
      <c r="AO42" s="5" t="s">
        <v>192</v>
      </c>
      <c r="AP42" s="5" t="s">
        <v>193</v>
      </c>
      <c r="AQ42" s="5" t="s">
        <v>194</v>
      </c>
      <c r="AR42" s="5" t="s">
        <v>195</v>
      </c>
      <c r="AS42" s="5" t="s">
        <v>196</v>
      </c>
      <c r="AT42" s="5" t="s">
        <v>197</v>
      </c>
      <c r="AU42" s="5" t="s">
        <v>198</v>
      </c>
      <c r="AV42" s="5" t="s">
        <v>199</v>
      </c>
      <c r="AW42" s="5" t="s">
        <v>200</v>
      </c>
      <c r="AX42" s="5" t="s">
        <v>201</v>
      </c>
      <c r="AY42" s="5" t="s">
        <v>202</v>
      </c>
      <c r="AZ42" s="5" t="s">
        <v>203</v>
      </c>
      <c r="BA42" s="5" t="s">
        <v>204</v>
      </c>
      <c r="BB42" s="5" t="s">
        <v>205</v>
      </c>
      <c r="BC42" s="5" t="s">
        <v>206</v>
      </c>
      <c r="BD42" s="5" t="s">
        <v>207</v>
      </c>
      <c r="BE42" s="5" t="s">
        <v>208</v>
      </c>
      <c r="BF42" s="5" t="s">
        <v>209</v>
      </c>
      <c r="BG42" s="5" t="s">
        <v>210</v>
      </c>
      <c r="BH42" s="5" t="s">
        <v>211</v>
      </c>
      <c r="BI42" s="5" t="s">
        <v>212</v>
      </c>
      <c r="BJ42" s="5" t="s">
        <v>213</v>
      </c>
      <c r="BK42" s="5" t="s">
        <v>214</v>
      </c>
      <c r="BL42" s="5" t="s">
        <v>215</v>
      </c>
      <c r="BM42" s="5" t="s">
        <v>216</v>
      </c>
      <c r="BN42" s="5" t="s">
        <v>217</v>
      </c>
      <c r="BO42" s="5" t="s">
        <v>218</v>
      </c>
      <c r="BP42" s="5" t="s">
        <v>219</v>
      </c>
      <c r="BQ42" s="5" t="s">
        <v>220</v>
      </c>
      <c r="BR42" s="5" t="s">
        <v>221</v>
      </c>
      <c r="BS42" s="5" t="s">
        <v>222</v>
      </c>
      <c r="BT42" s="5" t="s">
        <v>223</v>
      </c>
      <c r="BU42" s="5" t="s">
        <v>224</v>
      </c>
      <c r="BV42" s="5" t="s">
        <v>225</v>
      </c>
      <c r="BW42" s="5" t="s">
        <v>226</v>
      </c>
      <c r="BX42" s="5" t="s">
        <v>227</v>
      </c>
      <c r="BY42" s="5" t="s">
        <v>228</v>
      </c>
      <c r="BZ42" s="5" t="s">
        <v>229</v>
      </c>
      <c r="CA42" s="5" t="s">
        <v>230</v>
      </c>
      <c r="CB42" s="5" t="s">
        <v>231</v>
      </c>
      <c r="CC42" s="5" t="s">
        <v>232</v>
      </c>
    </row>
    <row r="43" spans="1:81" x14ac:dyDescent="0.25">
      <c r="A43" s="62">
        <v>7.3996026911637203E-2</v>
      </c>
      <c r="B43" s="59">
        <v>7.4162771833597277E-2</v>
      </c>
      <c r="C43" s="6">
        <v>7.79112317447061E-2</v>
      </c>
      <c r="D43" s="6">
        <v>7.3770670980293579E-2</v>
      </c>
      <c r="E43" s="6">
        <v>7.4128956059578754E-2</v>
      </c>
      <c r="F43" s="6">
        <v>7.4956000728263805E-2</v>
      </c>
      <c r="G43" s="6">
        <v>7.116511054346869E-2</v>
      </c>
      <c r="H43" s="6">
        <v>7.4812845028585151E-2</v>
      </c>
      <c r="I43" s="6">
        <v>7.3902686125790637E-2</v>
      </c>
      <c r="J43" s="6">
        <v>7.5037886749040383E-2</v>
      </c>
      <c r="K43" s="6">
        <v>7.3769452544886246E-2</v>
      </c>
      <c r="L43" s="6">
        <v>7.4297112770086549E-2</v>
      </c>
      <c r="M43" s="6">
        <v>7.3745877830920084E-2</v>
      </c>
      <c r="N43" s="6">
        <v>7.1866617694525139E-2</v>
      </c>
      <c r="O43" s="6">
        <v>7.6329420553355343E-2</v>
      </c>
      <c r="P43" s="6">
        <v>7.9885618942030098E-2</v>
      </c>
      <c r="Q43" s="6">
        <v>7.3344717417649002E-2</v>
      </c>
      <c r="R43" s="6">
        <v>7.3734562242704041E-2</v>
      </c>
      <c r="S43" s="6">
        <v>7.6306028997487466E-2</v>
      </c>
      <c r="T43" s="6">
        <v>7.3150461705594791E-2</v>
      </c>
      <c r="U43" s="6">
        <v>7.5439644448341434E-2</v>
      </c>
      <c r="V43" s="6">
        <v>7.3074162018885641E-2</v>
      </c>
      <c r="W43" s="6">
        <v>7.3640973122798034E-2</v>
      </c>
      <c r="X43" s="6">
        <v>7.3354968046341118E-2</v>
      </c>
      <c r="Y43" s="6">
        <v>7.2221188675735126E-2</v>
      </c>
      <c r="Z43" s="6">
        <v>7.5615926389351815E-2</v>
      </c>
      <c r="AA43" s="6">
        <v>7.38614155716181E-2</v>
      </c>
      <c r="AB43" s="6">
        <v>7.1739202971893803E-2</v>
      </c>
      <c r="AC43" s="6">
        <v>7.7918788713007572E-2</v>
      </c>
      <c r="AD43" s="6">
        <v>7.41568724144544E-2</v>
      </c>
      <c r="AE43" s="6">
        <v>7.1836108056314713E-2</v>
      </c>
      <c r="AF43" s="6">
        <v>7.2211215342009916E-2</v>
      </c>
      <c r="AG43" s="6">
        <v>7.4882891662329323E-2</v>
      </c>
      <c r="AH43" s="6">
        <v>7.4351073046091079E-2</v>
      </c>
      <c r="AI43" s="6">
        <v>7.4184235372449281E-2</v>
      </c>
      <c r="AJ43" s="6">
        <v>7.4810196563558834E-2</v>
      </c>
      <c r="AK43" s="6">
        <v>7.5121431174496461E-2</v>
      </c>
      <c r="AL43" s="6">
        <v>7.1609466422146537E-2</v>
      </c>
      <c r="AM43" s="6">
        <v>7.2963309312943508E-2</v>
      </c>
      <c r="AN43" s="6">
        <v>7.4290616411035404E-2</v>
      </c>
      <c r="AO43" s="6">
        <v>7.5625289741495391E-2</v>
      </c>
      <c r="AP43" s="6">
        <v>7.2437582128777919E-2</v>
      </c>
      <c r="AQ43" s="6">
        <v>7.2771440060372033E-2</v>
      </c>
      <c r="AR43" s="6">
        <v>7.2616057639991863E-2</v>
      </c>
      <c r="AS43" s="6">
        <v>7.3003706384191944E-2</v>
      </c>
      <c r="AT43" s="6">
        <v>7.4519676115125166E-2</v>
      </c>
      <c r="AU43" s="6">
        <v>7.798561943855202E-2</v>
      </c>
      <c r="AV43" s="6">
        <v>7.694482657372316E-2</v>
      </c>
      <c r="AW43" s="6">
        <v>7.1300618974915811E-2</v>
      </c>
      <c r="AX43" s="6">
        <v>7.5394815092178588E-2</v>
      </c>
      <c r="AY43" s="6">
        <v>7.4524016410572283E-2</v>
      </c>
      <c r="AZ43" s="6">
        <v>7.5004931290683155E-2</v>
      </c>
      <c r="BA43" s="6">
        <v>7.3421625044742422E-2</v>
      </c>
      <c r="BB43" s="6">
        <v>7.4446077630791002E-2</v>
      </c>
      <c r="BC43" s="6">
        <v>7.6037908567120782E-2</v>
      </c>
      <c r="BD43" s="6">
        <v>7.2894209829391876E-2</v>
      </c>
      <c r="BE43" s="6">
        <v>7.5607334925985314E-2</v>
      </c>
      <c r="BF43" s="6">
        <v>7.2668028939084334E-2</v>
      </c>
      <c r="BG43" s="6">
        <v>7.2707857273275528E-2</v>
      </c>
      <c r="BH43" s="6">
        <v>7.4705725350923541E-2</v>
      </c>
      <c r="BI43" s="6">
        <v>7.1396963621365009E-2</v>
      </c>
      <c r="BJ43" s="6">
        <v>7.1342120533863879E-2</v>
      </c>
      <c r="BK43" s="6">
        <v>7.7590299054934628E-2</v>
      </c>
      <c r="BL43" s="6">
        <v>7.3694029850746273E-2</v>
      </c>
      <c r="BM43" s="6">
        <v>7.3658579973760865E-2</v>
      </c>
      <c r="BN43" s="6">
        <v>7.7878916865852466E-2</v>
      </c>
      <c r="BO43" s="6">
        <v>7.4111316147139741E-2</v>
      </c>
      <c r="BP43" s="6">
        <v>7.0355425590424694E-2</v>
      </c>
      <c r="BQ43" s="6">
        <v>7.2411762439666044E-2</v>
      </c>
      <c r="BR43" s="6">
        <v>7.4091921172443592E-2</v>
      </c>
      <c r="BS43" s="6">
        <v>7.5187846483043191E-2</v>
      </c>
      <c r="BT43" s="6">
        <v>7.7007838794669395E-2</v>
      </c>
      <c r="BU43" s="6">
        <v>7.4230135251672907E-2</v>
      </c>
      <c r="BV43" s="6">
        <v>7.1433277333069797E-2</v>
      </c>
      <c r="BW43" s="6">
        <v>7.2481369031189624E-2</v>
      </c>
      <c r="BX43" s="6">
        <v>7.4393725229345078E-2</v>
      </c>
      <c r="BY43" s="6">
        <v>7.499089514518105E-2</v>
      </c>
      <c r="BZ43" s="6">
        <v>7.3061913592206137E-2</v>
      </c>
      <c r="CA43" s="6">
        <v>7.5951123916748547E-2</v>
      </c>
      <c r="CB43" s="6">
        <v>7.3957448685850413E-2</v>
      </c>
      <c r="CC43" s="6">
        <v>7.3395102216293973E-2</v>
      </c>
    </row>
    <row r="44" spans="1:81" ht="30" x14ac:dyDescent="0.25">
      <c r="A44" s="7" t="s">
        <v>234</v>
      </c>
      <c r="B44" s="61" t="s">
        <v>233</v>
      </c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</row>
    <row r="45" spans="1:81" x14ac:dyDescent="0.25">
      <c r="A45" s="60">
        <f>SUM(B45:CC45)</f>
        <v>2.6559880701073154E-4</v>
      </c>
      <c r="B45" s="60">
        <f>($A43-B43)^2</f>
        <v>2.7803868999471226E-8</v>
      </c>
      <c r="C45" s="60">
        <f t="shared" ref="C45:BN45" si="8">($A43-C43)^2</f>
        <v>1.5328828884886051E-5</v>
      </c>
      <c r="D45" s="60">
        <f t="shared" si="8"/>
        <v>5.0785295791752062E-8</v>
      </c>
      <c r="E45" s="60">
        <f t="shared" si="8"/>
        <v>1.7670158372466952E-8</v>
      </c>
      <c r="F45" s="60">
        <f t="shared" si="8"/>
        <v>9.2154972860864586E-7</v>
      </c>
      <c r="G45" s="60">
        <f t="shared" si="8"/>
        <v>8.0140874835644006E-6</v>
      </c>
      <c r="H45" s="60">
        <f t="shared" si="8"/>
        <v>6.6719183617439209E-7</v>
      </c>
      <c r="I45" s="60">
        <f t="shared" si="8"/>
        <v>8.712502302454437E-9</v>
      </c>
      <c r="J45" s="60">
        <f t="shared" si="8"/>
        <v>1.0854719207937821E-6</v>
      </c>
      <c r="K45" s="60">
        <f t="shared" si="8"/>
        <v>5.133594366859681E-8</v>
      </c>
      <c r="L45" s="60">
        <f t="shared" si="8"/>
        <v>9.0652694158179538E-8</v>
      </c>
      <c r="M45" s="60">
        <f t="shared" si="8"/>
        <v>6.257456258361952E-8</v>
      </c>
      <c r="N45" s="60">
        <f t="shared" si="8"/>
        <v>4.5343836139218098E-6</v>
      </c>
      <c r="O45" s="60">
        <f t="shared" si="8"/>
        <v>5.4447258872106437E-6</v>
      </c>
      <c r="P45" s="60">
        <f t="shared" si="8"/>
        <v>3.468729428446751E-5</v>
      </c>
      <c r="Q45" s="60">
        <f t="shared" si="8"/>
        <v>4.2420405695916549E-7</v>
      </c>
      <c r="R45" s="60">
        <f t="shared" si="8"/>
        <v>6.8363773100327889E-8</v>
      </c>
      <c r="S45" s="60">
        <f t="shared" si="8"/>
        <v>5.3361096366325653E-6</v>
      </c>
      <c r="T45" s="60">
        <f t="shared" si="8"/>
        <v>7.1498051766954639E-7</v>
      </c>
      <c r="U45" s="60">
        <f t="shared" si="8"/>
        <v>2.0840315922799915E-6</v>
      </c>
      <c r="V45" s="60">
        <f t="shared" si="8"/>
        <v>8.498348804878481E-7</v>
      </c>
      <c r="W45" s="60">
        <f t="shared" si="8"/>
        <v>1.2606319296904893E-7</v>
      </c>
      <c r="X45" s="60">
        <f t="shared" si="8"/>
        <v>4.1095646877470366E-7</v>
      </c>
      <c r="Y45" s="60">
        <f t="shared" si="8"/>
        <v>3.1500507636199946E-6</v>
      </c>
      <c r="Z45" s="60">
        <f t="shared" si="8"/>
        <v>2.6240743179000728E-6</v>
      </c>
      <c r="AA45" s="60">
        <f t="shared" si="8"/>
        <v>1.8120212861738535E-8</v>
      </c>
      <c r="AB45" s="60">
        <f t="shared" si="8"/>
        <v>5.0932542949989183E-6</v>
      </c>
      <c r="AC45" s="60">
        <f t="shared" si="8"/>
        <v>1.5388060150290509E-5</v>
      </c>
      <c r="AD45" s="60">
        <f t="shared" si="8"/>
        <v>2.5871275776517036E-8</v>
      </c>
      <c r="AE45" s="60">
        <f t="shared" si="8"/>
        <v>4.6652494615776159E-6</v>
      </c>
      <c r="AF45" s="60">
        <f t="shared" si="8"/>
        <v>3.1855523390754203E-6</v>
      </c>
      <c r="AG45" s="60">
        <f t="shared" si="8"/>
        <v>7.8652908602019735E-7</v>
      </c>
      <c r="AH45" s="60">
        <f t="shared" si="8"/>
        <v>1.2605775759064004E-7</v>
      </c>
      <c r="AI45" s="60">
        <f t="shared" si="8"/>
        <v>3.5422424721251579E-8</v>
      </c>
      <c r="AJ45" s="60">
        <f t="shared" si="8"/>
        <v>6.6287222211019016E-7</v>
      </c>
      <c r="AK45" s="60">
        <f t="shared" si="8"/>
        <v>1.2665347548617914E-6</v>
      </c>
      <c r="AL45" s="60">
        <f t="shared" si="8"/>
        <v>5.695670969997928E-6</v>
      </c>
      <c r="AM45" s="60">
        <f t="shared" si="8"/>
        <v>1.0665056386516703E-6</v>
      </c>
      <c r="AN45" s="60">
        <f t="shared" si="8"/>
        <v>8.6782973155682801E-8</v>
      </c>
      <c r="AO45" s="60">
        <f t="shared" si="8"/>
        <v>2.6544973687575125E-6</v>
      </c>
      <c r="AP45" s="60">
        <f t="shared" si="8"/>
        <v>2.4287501412213194E-6</v>
      </c>
      <c r="AQ45" s="60">
        <f t="shared" si="8"/>
        <v>1.4996129562915415E-6</v>
      </c>
      <c r="AR45" s="60">
        <f t="shared" si="8"/>
        <v>1.9043151906853699E-6</v>
      </c>
      <c r="AS45" s="60">
        <f t="shared" si="8"/>
        <v>9.8470002918923698E-7</v>
      </c>
      <c r="AT45" s="60">
        <f t="shared" si="8"/>
        <v>2.7420848831357873E-7</v>
      </c>
      <c r="AU45" s="60">
        <f t="shared" si="8"/>
        <v>1.591684853081456E-5</v>
      </c>
      <c r="AV45" s="60">
        <f t="shared" si="8"/>
        <v>8.6954194471182574E-6</v>
      </c>
      <c r="AW45" s="60">
        <f t="shared" si="8"/>
        <v>7.2652239453406701E-6</v>
      </c>
      <c r="AX45" s="60">
        <f t="shared" si="8"/>
        <v>1.9566083740222796E-6</v>
      </c>
      <c r="AY45" s="60">
        <f t="shared" si="8"/>
        <v>2.7877291098571714E-7</v>
      </c>
      <c r="AZ45" s="60">
        <f t="shared" si="8"/>
        <v>1.0178880460580987E-6</v>
      </c>
      <c r="BA45" s="60">
        <f t="shared" si="8"/>
        <v>3.2993750469220893E-7</v>
      </c>
      <c r="BB45" s="60">
        <f t="shared" si="8"/>
        <v>2.0254564981085208E-7</v>
      </c>
      <c r="BC45" s="60">
        <f t="shared" si="8"/>
        <v>4.1692806950003634E-6</v>
      </c>
      <c r="BD45" s="60">
        <f t="shared" si="8"/>
        <v>1.2140008827276049E-6</v>
      </c>
      <c r="BE45" s="60">
        <f t="shared" si="8"/>
        <v>2.5963135171024548E-6</v>
      </c>
      <c r="BF45" s="60">
        <f t="shared" si="8"/>
        <v>1.7635786151045306E-6</v>
      </c>
      <c r="BG45" s="60">
        <f t="shared" si="8"/>
        <v>1.6593810171968479E-6</v>
      </c>
      <c r="BH45" s="60">
        <f t="shared" si="8"/>
        <v>5.0367187472546422E-7</v>
      </c>
      <c r="BI45" s="60">
        <f t="shared" si="8"/>
        <v>6.7551299868405219E-6</v>
      </c>
      <c r="BJ45" s="60">
        <f t="shared" si="8"/>
        <v>7.0432190619859254E-6</v>
      </c>
      <c r="BK45" s="60">
        <f t="shared" si="8"/>
        <v>1.2918792240083866E-5</v>
      </c>
      <c r="BL45" s="60">
        <f t="shared" si="8"/>
        <v>9.1202224786759767E-8</v>
      </c>
      <c r="BM45" s="60">
        <f t="shared" si="8"/>
        <v>1.1387043588211663E-7</v>
      </c>
      <c r="BN45" s="60">
        <f t="shared" si="8"/>
        <v>1.5076834396545805E-5</v>
      </c>
      <c r="BO45" s="60">
        <f t="shared" ref="BO45:CC45" si="9">($A43-BO43)^2</f>
        <v>1.3291607822759822E-8</v>
      </c>
      <c r="BP45" s="60">
        <f t="shared" si="9"/>
        <v>1.3253977980014261E-5</v>
      </c>
      <c r="BQ45" s="60">
        <f t="shared" si="9"/>
        <v>2.5098939171500537E-6</v>
      </c>
      <c r="BR45" s="60">
        <f t="shared" si="9"/>
        <v>9.1957092556038534E-9</v>
      </c>
      <c r="BS45" s="60">
        <f t="shared" si="9"/>
        <v>1.4204338907863546E-6</v>
      </c>
      <c r="BT45" s="60">
        <f t="shared" si="9"/>
        <v>9.0710108187739197E-6</v>
      </c>
      <c r="BU45" s="60">
        <f t="shared" si="9"/>
        <v>5.4806714874273127E-8</v>
      </c>
      <c r="BV45" s="60">
        <f t="shared" si="9"/>
        <v>6.5676854024474138E-6</v>
      </c>
      <c r="BW45" s="60">
        <f t="shared" si="9"/>
        <v>2.2941884948019513E-6</v>
      </c>
      <c r="BX45" s="60">
        <f t="shared" si="9"/>
        <v>1.5816395190767449E-7</v>
      </c>
      <c r="BY45" s="60">
        <f t="shared" si="9"/>
        <v>9.8976280211465437E-7</v>
      </c>
      <c r="BZ45" s="60">
        <f t="shared" si="9"/>
        <v>8.7256769353852336E-7</v>
      </c>
      <c r="CA45" s="60">
        <f t="shared" si="9"/>
        <v>3.8224042993953497E-6</v>
      </c>
      <c r="CB45" s="60">
        <f t="shared" si="9"/>
        <v>1.4882795048565095E-9</v>
      </c>
      <c r="CC45" s="60">
        <f t="shared" si="9"/>
        <v>3.6111048947335394E-7</v>
      </c>
    </row>
    <row r="46" spans="1:81" x14ac:dyDescent="0.25">
      <c r="A46" t="s">
        <v>235</v>
      </c>
    </row>
    <row r="47" spans="1:81" x14ac:dyDescent="0.25">
      <c r="A47" s="30">
        <f>(4/80*A45)^0.5</f>
        <v>3.6441652474245153E-3</v>
      </c>
    </row>
    <row r="54" spans="1:5" x14ac:dyDescent="0.25">
      <c r="A54" t="str">
        <f>_xlfn.CONCAT(B59:B138)</f>
        <v>Sum(IIf([level_majority]="not" And [adj_grntp]/[2-bdr_pct]&lt;850,[psam_h25_2022_5yr]![wgtp1],0))/Sum(IIf([adj_grntp]/[2-bdr_pct]&lt;850,[psam_h25_2022_5yr]![wgtp1],0)) as expr1,Sum(IIf([level_majority]="not" And [adj_grntp]/[2-bdr_pct]&lt;850,[psam_h25_2022_5yr]![wgtp2],0))/Sum(IIf([adj_grntp]/[2-bdr_pct]&lt;850,[psam_h25_2022_5yr]![wgtp2],0)) as expr2,Sum(IIf([level_majority]="not" And [adj_grntp]/[2-bdr_pct]&lt;850,[psam_h25_2022_5yr]![wgtp3],0))/Sum(IIf([adj_grntp]/[2-bdr_pct]&lt;850,[psam_h25_2022_5yr]![wgtp3],0)) as expr3,Sum(IIf([level_majority]="not" And [adj_grntp]/[2-bdr_pct]&lt;850,[psam_h25_2022_5yr]![wgtp4],0))/Sum(IIf([adj_grntp]/[2-bdr_pct]&lt;850,[psam_h25_2022_5yr]![wgtp4],0)) as expr4,Sum(IIf([level_majority]="not" And [adj_grntp]/[2-bdr_pct]&lt;850,[psam_h25_2022_5yr]![wgtp5],0))/Sum(IIf([adj_grntp]/[2-bdr_pct]&lt;850,[psam_h25_2022_5yr]![wgtp5],0)) as expr5,Sum(IIf([level_majority]="not" And [adj_grntp]/[2-bdr_pct]&lt;850,[psam_h25_2022_5yr]![wgtp6],0))/Sum(IIf([adj_grntp]/[2-bdr_pct]&lt;850,[psam_h25_2022_5yr]![wgtp6],0)) as expr6,Sum(IIf([level_majority]="not" And [adj_grntp]/[2-bdr_pct]&lt;850,[psam_h25_2022_5yr]![wgtp7],0))/Sum(IIf([adj_grntp]/[2-bdr_pct]&lt;850,[psam_h25_2022_5yr]![wgtp7],0)) as expr7,Sum(IIf([level_majority]="not" And [adj_grntp]/[2-bdr_pct]&lt;850,[psam_h25_2022_5yr]![wgtp8],0))/Sum(IIf([adj_grntp]/[2-bdr_pct]&lt;850,[psam_h25_2022_5yr]![wgtp8],0)) as expr8,Sum(IIf([level_majority]="not" And [adj_grntp]/[2-bdr_pct]&lt;850,[psam_h25_2022_5yr]![wgtp9],0))/Sum(IIf([adj_grntp]/[2-bdr_pct]&lt;850,[psam_h25_2022_5yr]![wgtp9],0)) as expr9,Sum(IIf([level_majority]="not" And [adj_grntp]/[2-bdr_pct]&lt;850,[psam_h25_2022_5yr]![wgtp10],0))/Sum(IIf([adj_grntp]/[2-bdr_pct]&lt;850,[psam_h25_2022_5yr]![wgtp10],0)) as expr10,Sum(IIf([level_majority]="not" And [adj_grntp]/[2-bdr_pct]&lt;850,[psam_h25_2022_5yr]![wgtp11],0))/Sum(IIf([adj_grntp]/[2-bdr_pct]&lt;850,[psam_h25_2022_5yr]![wgtp11],0)) as expr11,Sum(IIf([level_majority]="not" And [adj_grntp]/[2-bdr_pct]&lt;850,[psam_h25_2022_5yr]![wgtp12],0))/Sum(IIf([adj_grntp]/[2-bdr_pct]&lt;850,[psam_h25_2022_5yr]![wgtp12],0)) as expr12,Sum(IIf([level_majority]="not" And [adj_grntp]/[2-bdr_pct]&lt;850,[psam_h25_2022_5yr]![wgtp13],0))/Sum(IIf([adj_grntp]/[2-bdr_pct]&lt;850,[psam_h25_2022_5yr]![wgtp13],0)) as expr13,Sum(IIf([level_majority]="not" And [adj_grntp]/[2-bdr_pct]&lt;850,[psam_h25_2022_5yr]![wgtp14],0))/Sum(IIf([adj_grntp]/[2-bdr_pct]&lt;850,[psam_h25_2022_5yr]![wgtp14],0)) as expr14,Sum(IIf([level_majority]="not" And [adj_grntp]/[2-bdr_pct]&lt;850,[psam_h25_2022_5yr]![wgtp15],0))/Sum(IIf([adj_grntp]/[2-bdr_pct]&lt;850,[psam_h25_2022_5yr]![wgtp15],0)) as expr15,Sum(IIf([level_majority]="not" And [adj_grntp]/[2-bdr_pct]&lt;850,[psam_h25_2022_5yr]![wgtp16],0))/Sum(IIf([adj_grntp]/[2-bdr_pct]&lt;850,[psam_h25_2022_5yr]![wgtp16],0)) as expr16,Sum(IIf([level_majority]="not" And [adj_grntp]/[2-bdr_pct]&lt;850,[psam_h25_2022_5yr]![wgtp17],0))/Sum(IIf([adj_grntp]/[2-bdr_pct]&lt;850,[psam_h25_2022_5yr]![wgtp17],0)) as expr17,Sum(IIf([level_majority]="not" And [adj_grntp]/[2-bdr_pct]&lt;850,[psam_h25_2022_5yr]![wgtp18],0))/Sum(IIf([adj_grntp]/[2-bdr_pct]&lt;850,[psam_h25_2022_5yr]![wgtp18],0)) as expr18,Sum(IIf([level_majority]="not" And [adj_grntp]/[2-bdr_pct]&lt;850,[psam_h25_2022_5yr]![wgtp19],0))/Sum(IIf([adj_grntp]/[2-bdr_pct]&lt;850,[psam_h25_2022_5yr]![wgtp19],0)) as expr19,Sum(IIf([level_majority]="not" And [adj_grntp]/[2-bdr_pct]&lt;850,[psam_h25_2022_5yr]![wgtp20],0))/Sum(IIf([adj_grntp]/[2-bdr_pct]&lt;850,[psam_h25_2022_5yr]![wgtp20],0)) as expr20,Sum(IIf([level_majority]="not" And [adj_grntp]/[2-bdr_pct]&lt;850,[psam_h25_2022_5yr]![wgtp21],0))/Sum(IIf([adj_grntp]/[2-bdr_pct]&lt;850,[psam_h25_2022_5yr]![wgtp21],0)) as expr21,Sum(IIf([level_majority]="not" And [adj_grntp]/[2-bdr_pct]&lt;850,[psam_h25_2022_5yr]![wgtp22],0))/Sum(IIf([adj_grntp]/[2-bdr_pct]&lt;850,[psam_h25_2022_5yr]![wgtp22],0)) as expr22,Sum(IIf([level_majority]="not" And [adj_grntp]/[2-bdr_pct]&lt;850,[psam_h25_2022_5yr]![wgtp23],0))/Sum(IIf([adj_grntp]/[2-bdr_pct]&lt;850,[psam_h25_2022_5yr]![wgtp23],0)) as expr23,Sum(IIf([level_majority]="not" And [adj_grntp]/[2-bdr_pct]&lt;850,[psam_h25_2022_5yr]![wgtp24],0))/Sum(IIf([adj_grntp]/[2-bdr_pct]&lt;850,[psam_h25_2022_5yr]![wgtp24],0)) as expr24,Sum(IIf([level_majority]="not" And [adj_grntp]/[2-bdr_pct]&lt;850,[psam_h25_2022_5yr]![wgtp25],0))/Sum(IIf([adj_grntp]/[2-bdr_pct]&lt;850,[psam_h25_2022_5yr]![wgtp25],0)) as expr25,Sum(IIf([level_majority]="not" And [adj_grntp]/[2-bdr_pct]&lt;850,[psam_h25_2022_5yr]![wgtp26],0))/Sum(IIf([adj_grntp]/[2-bdr_pct]&lt;850,[psam_h25_2022_5yr]![wgtp26],0)) as expr26,Sum(IIf([level_majority]="not" And [adj_grntp]/[2-bdr_pct]&lt;850,[psam_h25_2022_5yr]![wgtp27],0))/Sum(IIf([adj_grntp]/[2-bdr_pct]&lt;850,[psam_h25_2022_5yr]![wgtp27],0)) as expr27,Sum(IIf([level_majority]="not" And [adj_grntp]/[2-bdr_pct]&lt;850,[psam_h25_2022_5yr]![wgtp28],0))/Sum(IIf([adj_grntp]/[2-bdr_pct]&lt;850,[psam_h25_2022_5yr]![wgtp28],0)) as expr28,Sum(IIf([level_majority]="not" And [adj_grntp]/[2-bdr_pct]&lt;850,[psam_h25_2022_5yr]![wgtp29],0))/Sum(IIf([adj_grntp]/[2-bdr_pct]&lt;850,[psam_h25_2022_5yr]![wgtp29],0)) as expr29,Sum(IIf([level_majority]="not" And [adj_grntp]/[2-bdr_pct]&lt;850,[psam_h25_2022_5yr]![wgtp30],0))/Sum(IIf([adj_grntp]/[2-bdr_pct]&lt;850,[psam_h25_2022_5yr]![wgtp30],0)) as expr30,Sum(IIf([level_majority]="not" And [adj_grntp]/[2-bdr_pct]&lt;850,[psam_h25_2022_5yr]![wgtp31],0))/Sum(IIf([adj_grntp]/[2-bdr_pct]&lt;850,[psam_h25_2022_5yr]![wgtp31],0)) as expr31,Sum(IIf([level_majority]="not" And [adj_grntp]/[2-bdr_pct]&lt;850,[psam_h25_2022_5yr]![wgtp32],0))/Sum(IIf([adj_grntp]/[2-bdr_pct]&lt;850,[psam_h25_2022_5yr]![wgtp32],0)) as expr32,Sum(IIf([level_majority]="not" And [adj_grntp]/[2-bdr_pct]&lt;850,[psam_h25_2022_5yr]![wgtp33],0))/Sum(IIf([adj_grntp]/[2-bdr_pct]&lt;850,[psam_h25_2022_5yr]![wgtp33],0)) as expr33,Sum(IIf([level_majority]="not" And [adj_grntp]/[2-bdr_pct]&lt;850,[psam_h25_2022_5yr]![wgtp34],0))/Sum(IIf([adj_grntp]/[2-bdr_pct]&lt;850,[psam_h25_2022_5yr]![wgtp34],0)) as expr34,Sum(IIf([level_majority]="not" And [adj_grntp]/[2-bdr_pct]&lt;850,[psam_h25_2022_5yr]![wgtp35],0))/Sum(IIf([adj_grntp]/[2-bdr_pct]&lt;850,[psam_h25_2022_5yr]![wgtp35],0)) as expr35,Sum(IIf([level_majority]="not" And [adj_grntp]/[2-bdr_pct]&lt;850,[psam_h25_2022_5yr]![wgtp36],0))/Sum(IIf([adj_grntp]/[2-bdr_pct]&lt;850,[psam_h25_2022_5yr]![wgtp36],0)) as expr36,Sum(IIf([level_majority]="not" And [adj_grntp]/[2-bdr_pct]&lt;850,[psam_h25_2022_5yr]![wgtp37],0))/Sum(IIf([adj_grntp]/[2-bdr_pct]&lt;850,[psam_h25_2022_5yr]![wgtp37],0)) as expr37,Sum(IIf([level_majority]="not" And [adj_grntp]/[2-bdr_pct]&lt;850,[psam_h25_2022_5yr]![wgtp38],0))/Sum(IIf([adj_grntp]/[2-bdr_pct]&lt;850,[psam_h25_2022_5yr]![wgtp38],0)) as expr38,Sum(IIf([level_majority]="not" And [adj_grntp]/[2-bdr_pct]&lt;850,[psam_h25_2022_5yr]![wgtp39],0))/Sum(IIf([adj_grntp]/[2-bdr_pct]&lt;850,[psam_h25_2022_5yr]![wgtp39],0)) as expr39,Sum(IIf([level_majority]="not" And [adj_grntp]/[2-bdr_pct]&lt;850,[psam_h25_2022_5yr]![wgtp40],0))/Sum(IIf([adj_grntp]/[2-bdr_pct]&lt;850,[psam_h25_2022_5yr]![wgtp40],0)) as expr40,Sum(IIf([level_majority]="not" And [adj_grntp]/[2-bdr_pct]&lt;850,[psam_h25_2022_5yr]![wgtp41],0))/Sum(IIf([adj_grntp]/[2-bdr_pct]&lt;850,[psam_h25_2022_5yr]![wgtp41],0)) as expr41,Sum(IIf([level_majority]="not" And [adj_grntp]/[2-bdr_pct]&lt;850,[psam_h25_2022_5yr]![wgtp42],0))/Sum(IIf([adj_grntp]/[2-bdr_pct]&lt;850,[psam_h25_2022_5yr]![wgtp42],0)) as expr42,Sum(IIf([level_majority]="not" And [adj_grntp]/[2-bdr_pct]&lt;850,[psam_h25_2022_5yr]![wgtp43],0))/Sum(IIf([adj_grntp]/[2-bdr_pct]&lt;850,[psam_h25_2022_5yr]![wgtp43],0)) as expr43,Sum(IIf([level_majority]="not" And [adj_grntp]/[2-bdr_pct]&lt;850,[psam_h25_2022_5yr]![wgtp44],0))/Sum(IIf([adj_grntp]/[2-bdr_pct]&lt;850,[psam_h25_2022_5yr]![wgtp44],0)) as expr44,Sum(IIf([level_majority]="not" And [adj_grntp]/[2-bdr_pct]&lt;850,[psam_h25_2022_5yr]![wgtp45],0))/Sum(IIf([adj_grntp]/[2-bdr_pct]&lt;850,[psam_h25_2022_5yr]![wgtp45],0)) as expr45,Sum(IIf([level_majority]="not" And [adj_grntp]/[2-bdr_pct]&lt;850,[psam_h25_2022_5yr]![wgtp46],0))/Sum(IIf([adj_grntp]/[2-bdr_pct]&lt;850,[psam_h25_2022_5yr]![wgtp46],0)) as expr46,Sum(IIf([level_majority]="not" And [adj_grntp]/[2-bdr_pct]&lt;850,[psam_h25_2022_5yr]![wgtp47],0))/Sum(IIf([adj_grntp]/[2-bdr_pct]&lt;850,[psam_h25_2022_5yr]![wgtp47],0)) as expr47,Sum(IIf([level_majority]="not" And [adj_grntp]/[2-bdr_pct]&lt;850,[psam_h25_2022_5yr]![wgtp48],0))/Sum(IIf([adj_grntp]/[2-bdr_pct]&lt;850,[psam_h25_2022_5yr]![wgtp48],0)) as expr48,Sum(IIf([level_majority]="not" And [adj_grntp]/[2-bdr_pct]&lt;850,[psam_h25_2022_5yr]![wgtp49],0))/Sum(IIf([adj_grntp]/[2-bdr_pct]&lt;850,[psam_h25_2022_5yr]![wgtp49],0)) as expr49,Sum(IIf([level_majority]="not" And [adj_grntp]/[2-bdr_pct]&lt;850,[psam_h25_2022_5yr]![wgtp50],0))/Sum(IIf([adj_grntp]/[2-bdr_pct]&lt;850,[psam_h25_2022_5yr]![wgtp50],0)) as expr50,Sum(IIf([level_majority]="not" And [adj_grntp]/[2-bdr_pct]&lt;850,[psam_h25_2022_5yr]![wgtp51],0))/Sum(IIf([adj_grntp]/[2-bdr_pct]&lt;850,[psam_h25_2022_5yr]![wgtp51],0)) as expr51,Sum(IIf([level_majority]="not" And [adj_grntp]/[2-bdr_pct]&lt;850,[psam_h25_2022_5yr]![wgtp52],0))/Sum(IIf([adj_grntp]/[2-bdr_pct]&lt;850,[psam_h25_2022_5yr]![wgtp52],0)) as expr52,Sum(IIf([level_majority]="not" And [adj_grntp]/[2-bdr_pct]&lt;850,[psam_h25_2022_5yr]![wgtp53],0))/Sum(IIf([adj_grntp]/[2-bdr_pct]&lt;850,[psam_h25_2022_5yr]![wgtp53],0)) as expr53,Sum(IIf([level_majority]="not" And [adj_grntp]/[2-bdr_pct]&lt;850,[psam_h25_2022_5yr]![wgtp54],0))/Sum(IIf([adj_grntp]/[2-bdr_pct]&lt;850,[psam_h25_2022_5yr]![wgtp54],0)) as expr54,Sum(IIf([level_majority]="not" And [adj_grntp]/[2-bdr_pct]&lt;850,[psam_h25_2022_5yr]![wgtp55],0))/Sum(IIf([adj_grntp]/[2-bdr_pct]&lt;850,[psam_h25_2022_5yr]![wgtp55],0)) as expr55,Sum(IIf([level_majority]="not" And [adj_grntp]/[2-bdr_pct]&lt;850,[psam_h25_2022_5yr]![wgtp56],0))/Sum(IIf([adj_grntp]/[2-bdr_pct]&lt;850,[psam_h25_2022_5yr]![wgtp56],0)) as expr56,Sum(IIf([level_majority]="not" And [adj_grntp]/[2-bdr_pct]&lt;850,[psam_h25_2022_5yr]![wgtp57],0))/Sum(IIf([adj_grntp]/[2-bdr_pct]&lt;850,[psam_h25_2022_5yr]![wgtp57],0)) as expr57,Sum(IIf([level_majority]="not" And [adj_grntp]/[2-bdr_pct]&lt;850,[psam_h25_2022_5yr]![wgtp58],0))/Sum(IIf([adj_grntp]/[2-bdr_pct]&lt;850,[psam_h25_2022_5yr]![wgtp58],0)) as expr58,Sum(IIf([level_majority]="not" And [adj_grntp]/[2-bdr_pct]&lt;850,[psam_h25_2022_5yr]![wgtp59],0))/Sum(IIf([adj_grntp]/[2-bdr_pct]&lt;850,[psam_h25_2022_5yr]![wgtp59],0)) as expr59,Sum(IIf([level_majority]="not" And [adj_grntp]/[2-bdr_pct]&lt;850,[psam_h25_2022_5yr]![wgtp60],0))/Sum(IIf([adj_grntp]/[2-bdr_pct]&lt;850,[psam_h25_2022_5yr]![wgtp60],0)) as expr60,Sum(IIf([level_majority]="not" And [adj_grntp]/[2-bdr_pct]&lt;850,[psam_h25_2022_5yr]![wgtp61],0))/Sum(IIf([adj_grntp]/[2-bdr_pct]&lt;850,[psam_h25_2022_5yr]![wgtp61],0)) as expr61,Sum(IIf([level_majority]="not" And [adj_grntp]/[2-bdr_pct]&lt;850,[psam_h25_2022_5yr]![wgtp62],0))/Sum(IIf([adj_grntp]/[2-bdr_pct]&lt;850,[psam_h25_2022_5yr]![wgtp62],0)) as expr62,Sum(IIf([level_majority]="not" And [adj_grntp]/[2-bdr_pct]&lt;850,[psam_h25_2022_5yr]![wgtp63],0))/Sum(IIf([adj_grntp]/[2-bdr_pct]&lt;850,[psam_h25_2022_5yr]![wgtp63],0)) as expr63,Sum(IIf([level_majority]="not" And [adj_grntp]/[2-bdr_pct]&lt;850,[psam_h25_2022_5yr]![wgtp64],0))/Sum(IIf([adj_grntp]/[2-bdr_pct]&lt;850,[psam_h25_2022_5yr]![wgtp64],0)) as expr64,Sum(IIf([level_majority]="not" And [adj_grntp]/[2-bdr_pct]&lt;850,[psam_h25_2022_5yr]![wgtp65],0))/Sum(IIf([adj_grntp]/[2-bdr_pct]&lt;850,[psam_h25_2022_5yr]![wgtp65],0)) as expr65,Sum(IIf([level_majority]="not" And [adj_grntp]/[2-bdr_pct]&lt;850,[psam_h25_2022_5yr]![wgtp66],0))/Sum(IIf([adj_grntp]/[2-bdr_pct]&lt;850,[psam_h25_2022_5yr]![wgtp66],0)) as expr66,Sum(IIf([level_majority]="not" And [adj_grntp]/[2-bdr_pct]&lt;850,[psam_h25_2022_5yr]![wgtp67],0))/Sum(IIf([adj_grntp]/[2-bdr_pct]&lt;850,[psam_h25_2022_5yr]![wgtp67],0)) as expr67,Sum(IIf([level_majority]="not" And [adj_grntp]/[2-bdr_pct]&lt;850,[psam_h25_2022_5yr]![wgtp68],0))/Sum(IIf([adj_grntp]/[2-bdr_pct]&lt;850,[psam_h25_2022_5yr]![wgtp68],0)) as expr68,Sum(IIf([level_majority]="not" And [adj_grntp]/[2-bdr_pct]&lt;850,[psam_h25_2022_5yr]![wgtp69],0))/Sum(IIf([adj_grntp]/[2-bdr_pct]&lt;850,[psam_h25_2022_5yr]![wgtp69],0)) as expr69,Sum(IIf([level_majority]="not" And [adj_grntp]/[2-bdr_pct]&lt;850,[psam_h25_2022_5yr]![wgtp70],0))/Sum(IIf([adj_grntp]/[2-bdr_pct]&lt;850,[psam_h25_2022_5yr]![wgtp70],0)) as expr70,Sum(IIf([level_majority]="not" And [adj_grntp]/[2-bdr_pct]&lt;850,[psam_h25_2022_5yr]![wgtp71],0))/Sum(IIf([adj_grntp]/[2-bdr_pct]&lt;850,[psam_h25_2022_5yr]![wgtp71],0)) as expr71,Sum(IIf([level_majority]="not" And [adj_grntp]/[2-bdr_pct]&lt;850,[psam_h25_2022_5yr]![wgtp72],0))/Sum(IIf([adj_grntp]/[2-bdr_pct]&lt;850,[psam_h25_2022_5yr]![wgtp72],0)) as expr72,Sum(IIf([level_majority]="not" And [adj_grntp]/[2-bdr_pct]&lt;850,[psam_h25_2022_5yr]![wgtp73],0))/Sum(IIf([adj_grntp]/[2-bdr_pct]&lt;850,[psam_h25_2022_5yr]![wgtp73],0)) as expr73,Sum(IIf([level_majority]="not" And [adj_grntp]/[2-bdr_pct]&lt;850,[psam_h25_2022_5yr]![wgtp74],0))/Sum(IIf([adj_grntp]/[2-bdr_pct]&lt;850,[psam_h25_2022_5yr]![wgtp74],0)) as expr74,Sum(IIf([level_majority]="not" And [adj_grntp]/[2-bdr_pct]&lt;850,[psam_h25_2022_5yr]![wgtp75],0))/Sum(IIf([adj_grntp]/[2-bdr_pct]&lt;850,[psam_h25_2022_5yr]![wgtp75],0)) as expr75,Sum(IIf([level_majority]="not" And [adj_grntp]/[2-bdr_pct]&lt;850,[psam_h25_2022_5yr]![wgtp76],0))/Sum(IIf([adj_grntp]/[2-bdr_pct]&lt;850,[psam_h25_2022_5yr]![wgtp76],0)) as expr76,Sum(IIf([level_majority]="not" And [adj_grntp]/[2-bdr_pct]&lt;850,[psam_h25_2022_5yr]![wgtp77],0))/Sum(IIf([adj_grntp]/[2-bdr_pct]&lt;850,[psam_h25_2022_5yr]![wgtp77],0)) as expr77,Sum(IIf([level_majority]="not" And [adj_grntp]/[2-bdr_pct]&lt;850,[psam_h25_2022_5yr]![wgtp78],0))/Sum(IIf([adj_grntp]/[2-bdr_pct]&lt;850,[psam_h25_2022_5yr]![wgtp78],0)) as expr78,Sum(IIf([level_majority]="not" And [adj_grntp]/[2-bdr_pct]&lt;850,[psam_h25_2022_5yr]![wgtp79],0))/Sum(IIf([adj_grntp]/[2-bdr_pct]&lt;850,[psam_h25_2022_5yr]![wgtp79],0)) as expr79,Sum(IIf([level_majority]="not" And [adj_grntp]/[2-bdr_pct]&lt;850,[psam_h25_2022_5yr]![wgtp80],0))/Sum(IIf([adj_grntp]/[2-bdr_pct]&lt;850,[psam_h25_2022_5yr]![wgtp80],0)) as expr80,</v>
      </c>
    </row>
    <row r="55" spans="1:5" x14ac:dyDescent="0.25">
      <c r="A55" t="s">
        <v>149</v>
      </c>
    </row>
    <row r="56" spans="1:5" x14ac:dyDescent="0.25">
      <c r="B56" t="s">
        <v>240</v>
      </c>
    </row>
    <row r="57" spans="1:5" x14ac:dyDescent="0.25">
      <c r="B57" t="s">
        <v>241</v>
      </c>
    </row>
    <row r="58" spans="1:5" x14ac:dyDescent="0.25">
      <c r="B58" t="s">
        <v>148</v>
      </c>
    </row>
    <row r="59" spans="1:5" x14ac:dyDescent="0.25">
      <c r="B59" t="str">
        <f t="shared" ref="B59:B90" si="10">_xlfn.CONCAT(B$56,C59,B$57,C59,B$58,C59,",")</f>
        <v>Sum(IIf([level_majority]="not" And [adj_grntp]/[2-bdr_pct]&lt;850,[psam_h25_2022_5yr]![wgtp1],0))/Sum(IIf([adj_grntp]/[2-bdr_pct]&lt;850,[psam_h25_2022_5yr]![wgtp1],0)) as expr1,</v>
      </c>
      <c r="C59">
        <v>1</v>
      </c>
      <c r="E59" t="s">
        <v>150</v>
      </c>
    </row>
    <row r="60" spans="1:5" x14ac:dyDescent="0.25">
      <c r="B60" t="str">
        <f t="shared" si="10"/>
        <v>Sum(IIf([level_majority]="not" And [adj_grntp]/[2-bdr_pct]&lt;850,[psam_h25_2022_5yr]![wgtp2],0))/Sum(IIf([adj_grntp]/[2-bdr_pct]&lt;850,[psam_h25_2022_5yr]![wgtp2],0)) as expr2,</v>
      </c>
      <c r="C60">
        <f t="shared" ref="C60:C91" si="11">1+C59</f>
        <v>2</v>
      </c>
    </row>
    <row r="61" spans="1:5" x14ac:dyDescent="0.25">
      <c r="B61" t="str">
        <f t="shared" si="10"/>
        <v>Sum(IIf([level_majority]="not" And [adj_grntp]/[2-bdr_pct]&lt;850,[psam_h25_2022_5yr]![wgtp3],0))/Sum(IIf([adj_grntp]/[2-bdr_pct]&lt;850,[psam_h25_2022_5yr]![wgtp3],0)) as expr3,</v>
      </c>
      <c r="C61">
        <f t="shared" si="11"/>
        <v>3</v>
      </c>
    </row>
    <row r="62" spans="1:5" x14ac:dyDescent="0.25">
      <c r="B62" t="str">
        <f t="shared" si="10"/>
        <v>Sum(IIf([level_majority]="not" And [adj_grntp]/[2-bdr_pct]&lt;850,[psam_h25_2022_5yr]![wgtp4],0))/Sum(IIf([adj_grntp]/[2-bdr_pct]&lt;850,[psam_h25_2022_5yr]![wgtp4],0)) as expr4,</v>
      </c>
      <c r="C62">
        <f t="shared" si="11"/>
        <v>4</v>
      </c>
    </row>
    <row r="63" spans="1:5" x14ac:dyDescent="0.25">
      <c r="B63" t="str">
        <f t="shared" si="10"/>
        <v>Sum(IIf([level_majority]="not" And [adj_grntp]/[2-bdr_pct]&lt;850,[psam_h25_2022_5yr]![wgtp5],0))/Sum(IIf([adj_grntp]/[2-bdr_pct]&lt;850,[psam_h25_2022_5yr]![wgtp5],0)) as expr5,</v>
      </c>
      <c r="C63">
        <f t="shared" si="11"/>
        <v>5</v>
      </c>
    </row>
    <row r="64" spans="1:5" x14ac:dyDescent="0.25">
      <c r="B64" t="str">
        <f t="shared" si="10"/>
        <v>Sum(IIf([level_majority]="not" And [adj_grntp]/[2-bdr_pct]&lt;850,[psam_h25_2022_5yr]![wgtp6],0))/Sum(IIf([adj_grntp]/[2-bdr_pct]&lt;850,[psam_h25_2022_5yr]![wgtp6],0)) as expr6,</v>
      </c>
      <c r="C64">
        <f t="shared" si="11"/>
        <v>6</v>
      </c>
    </row>
    <row r="65" spans="2:3" x14ac:dyDescent="0.25">
      <c r="B65" t="str">
        <f t="shared" si="10"/>
        <v>Sum(IIf([level_majority]="not" And [adj_grntp]/[2-bdr_pct]&lt;850,[psam_h25_2022_5yr]![wgtp7],0))/Sum(IIf([adj_grntp]/[2-bdr_pct]&lt;850,[psam_h25_2022_5yr]![wgtp7],0)) as expr7,</v>
      </c>
      <c r="C65">
        <f t="shared" si="11"/>
        <v>7</v>
      </c>
    </row>
    <row r="66" spans="2:3" x14ac:dyDescent="0.25">
      <c r="B66" t="str">
        <f t="shared" si="10"/>
        <v>Sum(IIf([level_majority]="not" And [adj_grntp]/[2-bdr_pct]&lt;850,[psam_h25_2022_5yr]![wgtp8],0))/Sum(IIf([adj_grntp]/[2-bdr_pct]&lt;850,[psam_h25_2022_5yr]![wgtp8],0)) as expr8,</v>
      </c>
      <c r="C66">
        <f t="shared" si="11"/>
        <v>8</v>
      </c>
    </row>
    <row r="67" spans="2:3" x14ac:dyDescent="0.25">
      <c r="B67" t="str">
        <f t="shared" si="10"/>
        <v>Sum(IIf([level_majority]="not" And [adj_grntp]/[2-bdr_pct]&lt;850,[psam_h25_2022_5yr]![wgtp9],0))/Sum(IIf([adj_grntp]/[2-bdr_pct]&lt;850,[psam_h25_2022_5yr]![wgtp9],0)) as expr9,</v>
      </c>
      <c r="C67">
        <f t="shared" si="11"/>
        <v>9</v>
      </c>
    </row>
    <row r="68" spans="2:3" x14ac:dyDescent="0.25">
      <c r="B68" t="str">
        <f t="shared" si="10"/>
        <v>Sum(IIf([level_majority]="not" And [adj_grntp]/[2-bdr_pct]&lt;850,[psam_h25_2022_5yr]![wgtp10],0))/Sum(IIf([adj_grntp]/[2-bdr_pct]&lt;850,[psam_h25_2022_5yr]![wgtp10],0)) as expr10,</v>
      </c>
      <c r="C68">
        <f t="shared" si="11"/>
        <v>10</v>
      </c>
    </row>
    <row r="69" spans="2:3" x14ac:dyDescent="0.25">
      <c r="B69" t="str">
        <f t="shared" si="10"/>
        <v>Sum(IIf([level_majority]="not" And [adj_grntp]/[2-bdr_pct]&lt;850,[psam_h25_2022_5yr]![wgtp11],0))/Sum(IIf([adj_grntp]/[2-bdr_pct]&lt;850,[psam_h25_2022_5yr]![wgtp11],0)) as expr11,</v>
      </c>
      <c r="C69">
        <f t="shared" si="11"/>
        <v>11</v>
      </c>
    </row>
    <row r="70" spans="2:3" x14ac:dyDescent="0.25">
      <c r="B70" t="str">
        <f t="shared" si="10"/>
        <v>Sum(IIf([level_majority]="not" And [adj_grntp]/[2-bdr_pct]&lt;850,[psam_h25_2022_5yr]![wgtp12],0))/Sum(IIf([adj_grntp]/[2-bdr_pct]&lt;850,[psam_h25_2022_5yr]![wgtp12],0)) as expr12,</v>
      </c>
      <c r="C70">
        <f t="shared" si="11"/>
        <v>12</v>
      </c>
    </row>
    <row r="71" spans="2:3" x14ac:dyDescent="0.25">
      <c r="B71" t="str">
        <f t="shared" si="10"/>
        <v>Sum(IIf([level_majority]="not" And [adj_grntp]/[2-bdr_pct]&lt;850,[psam_h25_2022_5yr]![wgtp13],0))/Sum(IIf([adj_grntp]/[2-bdr_pct]&lt;850,[psam_h25_2022_5yr]![wgtp13],0)) as expr13,</v>
      </c>
      <c r="C71">
        <f t="shared" si="11"/>
        <v>13</v>
      </c>
    </row>
    <row r="72" spans="2:3" x14ac:dyDescent="0.25">
      <c r="B72" t="str">
        <f t="shared" si="10"/>
        <v>Sum(IIf([level_majority]="not" And [adj_grntp]/[2-bdr_pct]&lt;850,[psam_h25_2022_5yr]![wgtp14],0))/Sum(IIf([adj_grntp]/[2-bdr_pct]&lt;850,[psam_h25_2022_5yr]![wgtp14],0)) as expr14,</v>
      </c>
      <c r="C72">
        <f t="shared" si="11"/>
        <v>14</v>
      </c>
    </row>
    <row r="73" spans="2:3" x14ac:dyDescent="0.25">
      <c r="B73" t="str">
        <f t="shared" si="10"/>
        <v>Sum(IIf([level_majority]="not" And [adj_grntp]/[2-bdr_pct]&lt;850,[psam_h25_2022_5yr]![wgtp15],0))/Sum(IIf([adj_grntp]/[2-bdr_pct]&lt;850,[psam_h25_2022_5yr]![wgtp15],0)) as expr15,</v>
      </c>
      <c r="C73">
        <f t="shared" si="11"/>
        <v>15</v>
      </c>
    </row>
    <row r="74" spans="2:3" x14ac:dyDescent="0.25">
      <c r="B74" t="str">
        <f t="shared" si="10"/>
        <v>Sum(IIf([level_majority]="not" And [adj_grntp]/[2-bdr_pct]&lt;850,[psam_h25_2022_5yr]![wgtp16],0))/Sum(IIf([adj_grntp]/[2-bdr_pct]&lt;850,[psam_h25_2022_5yr]![wgtp16],0)) as expr16,</v>
      </c>
      <c r="C74">
        <f t="shared" si="11"/>
        <v>16</v>
      </c>
    </row>
    <row r="75" spans="2:3" x14ac:dyDescent="0.25">
      <c r="B75" t="str">
        <f t="shared" si="10"/>
        <v>Sum(IIf([level_majority]="not" And [adj_grntp]/[2-bdr_pct]&lt;850,[psam_h25_2022_5yr]![wgtp17],0))/Sum(IIf([adj_grntp]/[2-bdr_pct]&lt;850,[psam_h25_2022_5yr]![wgtp17],0)) as expr17,</v>
      </c>
      <c r="C75">
        <f t="shared" si="11"/>
        <v>17</v>
      </c>
    </row>
    <row r="76" spans="2:3" x14ac:dyDescent="0.25">
      <c r="B76" t="str">
        <f t="shared" si="10"/>
        <v>Sum(IIf([level_majority]="not" And [adj_grntp]/[2-bdr_pct]&lt;850,[psam_h25_2022_5yr]![wgtp18],0))/Sum(IIf([adj_grntp]/[2-bdr_pct]&lt;850,[psam_h25_2022_5yr]![wgtp18],0)) as expr18,</v>
      </c>
      <c r="C76">
        <f t="shared" si="11"/>
        <v>18</v>
      </c>
    </row>
    <row r="77" spans="2:3" x14ac:dyDescent="0.25">
      <c r="B77" t="str">
        <f t="shared" si="10"/>
        <v>Sum(IIf([level_majority]="not" And [adj_grntp]/[2-bdr_pct]&lt;850,[psam_h25_2022_5yr]![wgtp19],0))/Sum(IIf([adj_grntp]/[2-bdr_pct]&lt;850,[psam_h25_2022_5yr]![wgtp19],0)) as expr19,</v>
      </c>
      <c r="C77">
        <f t="shared" si="11"/>
        <v>19</v>
      </c>
    </row>
    <row r="78" spans="2:3" x14ac:dyDescent="0.25">
      <c r="B78" t="str">
        <f t="shared" si="10"/>
        <v>Sum(IIf([level_majority]="not" And [adj_grntp]/[2-bdr_pct]&lt;850,[psam_h25_2022_5yr]![wgtp20],0))/Sum(IIf([adj_grntp]/[2-bdr_pct]&lt;850,[psam_h25_2022_5yr]![wgtp20],0)) as expr20,</v>
      </c>
      <c r="C78">
        <f t="shared" si="11"/>
        <v>20</v>
      </c>
    </row>
    <row r="79" spans="2:3" x14ac:dyDescent="0.25">
      <c r="B79" t="str">
        <f t="shared" si="10"/>
        <v>Sum(IIf([level_majority]="not" And [adj_grntp]/[2-bdr_pct]&lt;850,[psam_h25_2022_5yr]![wgtp21],0))/Sum(IIf([adj_grntp]/[2-bdr_pct]&lt;850,[psam_h25_2022_5yr]![wgtp21],0)) as expr21,</v>
      </c>
      <c r="C79">
        <f t="shared" si="11"/>
        <v>21</v>
      </c>
    </row>
    <row r="80" spans="2:3" x14ac:dyDescent="0.25">
      <c r="B80" t="str">
        <f t="shared" si="10"/>
        <v>Sum(IIf([level_majority]="not" And [adj_grntp]/[2-bdr_pct]&lt;850,[psam_h25_2022_5yr]![wgtp22],0))/Sum(IIf([adj_grntp]/[2-bdr_pct]&lt;850,[psam_h25_2022_5yr]![wgtp22],0)) as expr22,</v>
      </c>
      <c r="C80">
        <f t="shared" si="11"/>
        <v>22</v>
      </c>
    </row>
    <row r="81" spans="2:3" x14ac:dyDescent="0.25">
      <c r="B81" t="str">
        <f t="shared" si="10"/>
        <v>Sum(IIf([level_majority]="not" And [adj_grntp]/[2-bdr_pct]&lt;850,[psam_h25_2022_5yr]![wgtp23],0))/Sum(IIf([adj_grntp]/[2-bdr_pct]&lt;850,[psam_h25_2022_5yr]![wgtp23],0)) as expr23,</v>
      </c>
      <c r="C81">
        <f t="shared" si="11"/>
        <v>23</v>
      </c>
    </row>
    <row r="82" spans="2:3" x14ac:dyDescent="0.25">
      <c r="B82" t="str">
        <f t="shared" si="10"/>
        <v>Sum(IIf([level_majority]="not" And [adj_grntp]/[2-bdr_pct]&lt;850,[psam_h25_2022_5yr]![wgtp24],0))/Sum(IIf([adj_grntp]/[2-bdr_pct]&lt;850,[psam_h25_2022_5yr]![wgtp24],0)) as expr24,</v>
      </c>
      <c r="C82">
        <f t="shared" si="11"/>
        <v>24</v>
      </c>
    </row>
    <row r="83" spans="2:3" x14ac:dyDescent="0.25">
      <c r="B83" t="str">
        <f t="shared" si="10"/>
        <v>Sum(IIf([level_majority]="not" And [adj_grntp]/[2-bdr_pct]&lt;850,[psam_h25_2022_5yr]![wgtp25],0))/Sum(IIf([adj_grntp]/[2-bdr_pct]&lt;850,[psam_h25_2022_5yr]![wgtp25],0)) as expr25,</v>
      </c>
      <c r="C83">
        <f t="shared" si="11"/>
        <v>25</v>
      </c>
    </row>
    <row r="84" spans="2:3" x14ac:dyDescent="0.25">
      <c r="B84" t="str">
        <f t="shared" si="10"/>
        <v>Sum(IIf([level_majority]="not" And [adj_grntp]/[2-bdr_pct]&lt;850,[psam_h25_2022_5yr]![wgtp26],0))/Sum(IIf([adj_grntp]/[2-bdr_pct]&lt;850,[psam_h25_2022_5yr]![wgtp26],0)) as expr26,</v>
      </c>
      <c r="C84">
        <f t="shared" si="11"/>
        <v>26</v>
      </c>
    </row>
    <row r="85" spans="2:3" x14ac:dyDescent="0.25">
      <c r="B85" t="str">
        <f t="shared" si="10"/>
        <v>Sum(IIf([level_majority]="not" And [adj_grntp]/[2-bdr_pct]&lt;850,[psam_h25_2022_5yr]![wgtp27],0))/Sum(IIf([adj_grntp]/[2-bdr_pct]&lt;850,[psam_h25_2022_5yr]![wgtp27],0)) as expr27,</v>
      </c>
      <c r="C85">
        <f t="shared" si="11"/>
        <v>27</v>
      </c>
    </row>
    <row r="86" spans="2:3" x14ac:dyDescent="0.25">
      <c r="B86" t="str">
        <f t="shared" si="10"/>
        <v>Sum(IIf([level_majority]="not" And [adj_grntp]/[2-bdr_pct]&lt;850,[psam_h25_2022_5yr]![wgtp28],0))/Sum(IIf([adj_grntp]/[2-bdr_pct]&lt;850,[psam_h25_2022_5yr]![wgtp28],0)) as expr28,</v>
      </c>
      <c r="C86">
        <f t="shared" si="11"/>
        <v>28</v>
      </c>
    </row>
    <row r="87" spans="2:3" x14ac:dyDescent="0.25">
      <c r="B87" t="str">
        <f t="shared" si="10"/>
        <v>Sum(IIf([level_majority]="not" And [adj_grntp]/[2-bdr_pct]&lt;850,[psam_h25_2022_5yr]![wgtp29],0))/Sum(IIf([adj_grntp]/[2-bdr_pct]&lt;850,[psam_h25_2022_5yr]![wgtp29],0)) as expr29,</v>
      </c>
      <c r="C87">
        <f t="shared" si="11"/>
        <v>29</v>
      </c>
    </row>
    <row r="88" spans="2:3" x14ac:dyDescent="0.25">
      <c r="B88" t="str">
        <f t="shared" si="10"/>
        <v>Sum(IIf([level_majority]="not" And [adj_grntp]/[2-bdr_pct]&lt;850,[psam_h25_2022_5yr]![wgtp30],0))/Sum(IIf([adj_grntp]/[2-bdr_pct]&lt;850,[psam_h25_2022_5yr]![wgtp30],0)) as expr30,</v>
      </c>
      <c r="C88">
        <f t="shared" si="11"/>
        <v>30</v>
      </c>
    </row>
    <row r="89" spans="2:3" x14ac:dyDescent="0.25">
      <c r="B89" t="str">
        <f t="shared" si="10"/>
        <v>Sum(IIf([level_majority]="not" And [adj_grntp]/[2-bdr_pct]&lt;850,[psam_h25_2022_5yr]![wgtp31],0))/Sum(IIf([adj_grntp]/[2-bdr_pct]&lt;850,[psam_h25_2022_5yr]![wgtp31],0)) as expr31,</v>
      </c>
      <c r="C89">
        <f t="shared" si="11"/>
        <v>31</v>
      </c>
    </row>
    <row r="90" spans="2:3" x14ac:dyDescent="0.25">
      <c r="B90" t="str">
        <f t="shared" si="10"/>
        <v>Sum(IIf([level_majority]="not" And [adj_grntp]/[2-bdr_pct]&lt;850,[psam_h25_2022_5yr]![wgtp32],0))/Sum(IIf([adj_grntp]/[2-bdr_pct]&lt;850,[psam_h25_2022_5yr]![wgtp32],0)) as expr32,</v>
      </c>
      <c r="C90">
        <f t="shared" si="11"/>
        <v>32</v>
      </c>
    </row>
    <row r="91" spans="2:3" x14ac:dyDescent="0.25">
      <c r="B91" t="str">
        <f t="shared" ref="B91:B122" si="12">_xlfn.CONCAT(B$56,C91,B$57,C91,B$58,C91,",")</f>
        <v>Sum(IIf([level_majority]="not" And [adj_grntp]/[2-bdr_pct]&lt;850,[psam_h25_2022_5yr]![wgtp33],0))/Sum(IIf([adj_grntp]/[2-bdr_pct]&lt;850,[psam_h25_2022_5yr]![wgtp33],0)) as expr33,</v>
      </c>
      <c r="C91">
        <f t="shared" si="11"/>
        <v>33</v>
      </c>
    </row>
    <row r="92" spans="2:3" x14ac:dyDescent="0.25">
      <c r="B92" t="str">
        <f t="shared" si="12"/>
        <v>Sum(IIf([level_majority]="not" And [adj_grntp]/[2-bdr_pct]&lt;850,[psam_h25_2022_5yr]![wgtp34],0))/Sum(IIf([adj_grntp]/[2-bdr_pct]&lt;850,[psam_h25_2022_5yr]![wgtp34],0)) as expr34,</v>
      </c>
      <c r="C92">
        <f t="shared" ref="C92:C123" si="13">1+C91</f>
        <v>34</v>
      </c>
    </row>
    <row r="93" spans="2:3" x14ac:dyDescent="0.25">
      <c r="B93" t="str">
        <f t="shared" si="12"/>
        <v>Sum(IIf([level_majority]="not" And [adj_grntp]/[2-bdr_pct]&lt;850,[psam_h25_2022_5yr]![wgtp35],0))/Sum(IIf([adj_grntp]/[2-bdr_pct]&lt;850,[psam_h25_2022_5yr]![wgtp35],0)) as expr35,</v>
      </c>
      <c r="C93">
        <f t="shared" si="13"/>
        <v>35</v>
      </c>
    </row>
    <row r="94" spans="2:3" x14ac:dyDescent="0.25">
      <c r="B94" t="str">
        <f t="shared" si="12"/>
        <v>Sum(IIf([level_majority]="not" And [adj_grntp]/[2-bdr_pct]&lt;850,[psam_h25_2022_5yr]![wgtp36],0))/Sum(IIf([adj_grntp]/[2-bdr_pct]&lt;850,[psam_h25_2022_5yr]![wgtp36],0)) as expr36,</v>
      </c>
      <c r="C94">
        <f t="shared" si="13"/>
        <v>36</v>
      </c>
    </row>
    <row r="95" spans="2:3" x14ac:dyDescent="0.25">
      <c r="B95" t="str">
        <f t="shared" si="12"/>
        <v>Sum(IIf([level_majority]="not" And [adj_grntp]/[2-bdr_pct]&lt;850,[psam_h25_2022_5yr]![wgtp37],0))/Sum(IIf([adj_grntp]/[2-bdr_pct]&lt;850,[psam_h25_2022_5yr]![wgtp37],0)) as expr37,</v>
      </c>
      <c r="C95">
        <f t="shared" si="13"/>
        <v>37</v>
      </c>
    </row>
    <row r="96" spans="2:3" x14ac:dyDescent="0.25">
      <c r="B96" t="str">
        <f t="shared" si="12"/>
        <v>Sum(IIf([level_majority]="not" And [adj_grntp]/[2-bdr_pct]&lt;850,[psam_h25_2022_5yr]![wgtp38],0))/Sum(IIf([adj_grntp]/[2-bdr_pct]&lt;850,[psam_h25_2022_5yr]![wgtp38],0)) as expr38,</v>
      </c>
      <c r="C96">
        <f t="shared" si="13"/>
        <v>38</v>
      </c>
    </row>
    <row r="97" spans="2:3" x14ac:dyDescent="0.25">
      <c r="B97" t="str">
        <f t="shared" si="12"/>
        <v>Sum(IIf([level_majority]="not" And [adj_grntp]/[2-bdr_pct]&lt;850,[psam_h25_2022_5yr]![wgtp39],0))/Sum(IIf([adj_grntp]/[2-bdr_pct]&lt;850,[psam_h25_2022_5yr]![wgtp39],0)) as expr39,</v>
      </c>
      <c r="C97">
        <f t="shared" si="13"/>
        <v>39</v>
      </c>
    </row>
    <row r="98" spans="2:3" x14ac:dyDescent="0.25">
      <c r="B98" t="str">
        <f t="shared" si="12"/>
        <v>Sum(IIf([level_majority]="not" And [adj_grntp]/[2-bdr_pct]&lt;850,[psam_h25_2022_5yr]![wgtp40],0))/Sum(IIf([adj_grntp]/[2-bdr_pct]&lt;850,[psam_h25_2022_5yr]![wgtp40],0)) as expr40,</v>
      </c>
      <c r="C98">
        <f t="shared" si="13"/>
        <v>40</v>
      </c>
    </row>
    <row r="99" spans="2:3" x14ac:dyDescent="0.25">
      <c r="B99" t="str">
        <f t="shared" si="12"/>
        <v>Sum(IIf([level_majority]="not" And [adj_grntp]/[2-bdr_pct]&lt;850,[psam_h25_2022_5yr]![wgtp41],0))/Sum(IIf([adj_grntp]/[2-bdr_pct]&lt;850,[psam_h25_2022_5yr]![wgtp41],0)) as expr41,</v>
      </c>
      <c r="C99">
        <f t="shared" si="13"/>
        <v>41</v>
      </c>
    </row>
    <row r="100" spans="2:3" x14ac:dyDescent="0.25">
      <c r="B100" t="str">
        <f t="shared" si="12"/>
        <v>Sum(IIf([level_majority]="not" And [adj_grntp]/[2-bdr_pct]&lt;850,[psam_h25_2022_5yr]![wgtp42],0))/Sum(IIf([adj_grntp]/[2-bdr_pct]&lt;850,[psam_h25_2022_5yr]![wgtp42],0)) as expr42,</v>
      </c>
      <c r="C100">
        <f t="shared" si="13"/>
        <v>42</v>
      </c>
    </row>
    <row r="101" spans="2:3" x14ac:dyDescent="0.25">
      <c r="B101" t="str">
        <f t="shared" si="12"/>
        <v>Sum(IIf([level_majority]="not" And [adj_grntp]/[2-bdr_pct]&lt;850,[psam_h25_2022_5yr]![wgtp43],0))/Sum(IIf([adj_grntp]/[2-bdr_pct]&lt;850,[psam_h25_2022_5yr]![wgtp43],0)) as expr43,</v>
      </c>
      <c r="C101">
        <f t="shared" si="13"/>
        <v>43</v>
      </c>
    </row>
    <row r="102" spans="2:3" x14ac:dyDescent="0.25">
      <c r="B102" t="str">
        <f t="shared" si="12"/>
        <v>Sum(IIf([level_majority]="not" And [adj_grntp]/[2-bdr_pct]&lt;850,[psam_h25_2022_5yr]![wgtp44],0))/Sum(IIf([adj_grntp]/[2-bdr_pct]&lt;850,[psam_h25_2022_5yr]![wgtp44],0)) as expr44,</v>
      </c>
      <c r="C102">
        <f t="shared" si="13"/>
        <v>44</v>
      </c>
    </row>
    <row r="103" spans="2:3" x14ac:dyDescent="0.25">
      <c r="B103" t="str">
        <f t="shared" si="12"/>
        <v>Sum(IIf([level_majority]="not" And [adj_grntp]/[2-bdr_pct]&lt;850,[psam_h25_2022_5yr]![wgtp45],0))/Sum(IIf([adj_grntp]/[2-bdr_pct]&lt;850,[psam_h25_2022_5yr]![wgtp45],0)) as expr45,</v>
      </c>
      <c r="C103">
        <f t="shared" si="13"/>
        <v>45</v>
      </c>
    </row>
    <row r="104" spans="2:3" x14ac:dyDescent="0.25">
      <c r="B104" t="str">
        <f t="shared" si="12"/>
        <v>Sum(IIf([level_majority]="not" And [adj_grntp]/[2-bdr_pct]&lt;850,[psam_h25_2022_5yr]![wgtp46],0))/Sum(IIf([adj_grntp]/[2-bdr_pct]&lt;850,[psam_h25_2022_5yr]![wgtp46],0)) as expr46,</v>
      </c>
      <c r="C104">
        <f t="shared" si="13"/>
        <v>46</v>
      </c>
    </row>
    <row r="105" spans="2:3" x14ac:dyDescent="0.25">
      <c r="B105" t="str">
        <f t="shared" si="12"/>
        <v>Sum(IIf([level_majority]="not" And [adj_grntp]/[2-bdr_pct]&lt;850,[psam_h25_2022_5yr]![wgtp47],0))/Sum(IIf([adj_grntp]/[2-bdr_pct]&lt;850,[psam_h25_2022_5yr]![wgtp47],0)) as expr47,</v>
      </c>
      <c r="C105">
        <f t="shared" si="13"/>
        <v>47</v>
      </c>
    </row>
    <row r="106" spans="2:3" x14ac:dyDescent="0.25">
      <c r="B106" t="str">
        <f t="shared" si="12"/>
        <v>Sum(IIf([level_majority]="not" And [adj_grntp]/[2-bdr_pct]&lt;850,[psam_h25_2022_5yr]![wgtp48],0))/Sum(IIf([adj_grntp]/[2-bdr_pct]&lt;850,[psam_h25_2022_5yr]![wgtp48],0)) as expr48,</v>
      </c>
      <c r="C106">
        <f t="shared" si="13"/>
        <v>48</v>
      </c>
    </row>
    <row r="107" spans="2:3" x14ac:dyDescent="0.25">
      <c r="B107" t="str">
        <f t="shared" si="12"/>
        <v>Sum(IIf([level_majority]="not" And [adj_grntp]/[2-bdr_pct]&lt;850,[psam_h25_2022_5yr]![wgtp49],0))/Sum(IIf([adj_grntp]/[2-bdr_pct]&lt;850,[psam_h25_2022_5yr]![wgtp49],0)) as expr49,</v>
      </c>
      <c r="C107">
        <f t="shared" si="13"/>
        <v>49</v>
      </c>
    </row>
    <row r="108" spans="2:3" x14ac:dyDescent="0.25">
      <c r="B108" t="str">
        <f t="shared" si="12"/>
        <v>Sum(IIf([level_majority]="not" And [adj_grntp]/[2-bdr_pct]&lt;850,[psam_h25_2022_5yr]![wgtp50],0))/Sum(IIf([adj_grntp]/[2-bdr_pct]&lt;850,[psam_h25_2022_5yr]![wgtp50],0)) as expr50,</v>
      </c>
      <c r="C108">
        <f t="shared" si="13"/>
        <v>50</v>
      </c>
    </row>
    <row r="109" spans="2:3" x14ac:dyDescent="0.25">
      <c r="B109" t="str">
        <f t="shared" si="12"/>
        <v>Sum(IIf([level_majority]="not" And [adj_grntp]/[2-bdr_pct]&lt;850,[psam_h25_2022_5yr]![wgtp51],0))/Sum(IIf([adj_grntp]/[2-bdr_pct]&lt;850,[psam_h25_2022_5yr]![wgtp51],0)) as expr51,</v>
      </c>
      <c r="C109">
        <f t="shared" si="13"/>
        <v>51</v>
      </c>
    </row>
    <row r="110" spans="2:3" x14ac:dyDescent="0.25">
      <c r="B110" t="str">
        <f t="shared" si="12"/>
        <v>Sum(IIf([level_majority]="not" And [adj_grntp]/[2-bdr_pct]&lt;850,[psam_h25_2022_5yr]![wgtp52],0))/Sum(IIf([adj_grntp]/[2-bdr_pct]&lt;850,[psam_h25_2022_5yr]![wgtp52],0)) as expr52,</v>
      </c>
      <c r="C110">
        <f t="shared" si="13"/>
        <v>52</v>
      </c>
    </row>
    <row r="111" spans="2:3" x14ac:dyDescent="0.25">
      <c r="B111" t="str">
        <f t="shared" si="12"/>
        <v>Sum(IIf([level_majority]="not" And [adj_grntp]/[2-bdr_pct]&lt;850,[psam_h25_2022_5yr]![wgtp53],0))/Sum(IIf([adj_grntp]/[2-bdr_pct]&lt;850,[psam_h25_2022_5yr]![wgtp53],0)) as expr53,</v>
      </c>
      <c r="C111">
        <f t="shared" si="13"/>
        <v>53</v>
      </c>
    </row>
    <row r="112" spans="2:3" x14ac:dyDescent="0.25">
      <c r="B112" t="str">
        <f t="shared" si="12"/>
        <v>Sum(IIf([level_majority]="not" And [adj_grntp]/[2-bdr_pct]&lt;850,[psam_h25_2022_5yr]![wgtp54],0))/Sum(IIf([adj_grntp]/[2-bdr_pct]&lt;850,[psam_h25_2022_5yr]![wgtp54],0)) as expr54,</v>
      </c>
      <c r="C112">
        <f t="shared" si="13"/>
        <v>54</v>
      </c>
    </row>
    <row r="113" spans="2:3" x14ac:dyDescent="0.25">
      <c r="B113" t="str">
        <f t="shared" si="12"/>
        <v>Sum(IIf([level_majority]="not" And [adj_grntp]/[2-bdr_pct]&lt;850,[psam_h25_2022_5yr]![wgtp55],0))/Sum(IIf([adj_grntp]/[2-bdr_pct]&lt;850,[psam_h25_2022_5yr]![wgtp55],0)) as expr55,</v>
      </c>
      <c r="C113">
        <f t="shared" si="13"/>
        <v>55</v>
      </c>
    </row>
    <row r="114" spans="2:3" x14ac:dyDescent="0.25">
      <c r="B114" t="str">
        <f t="shared" si="12"/>
        <v>Sum(IIf([level_majority]="not" And [adj_grntp]/[2-bdr_pct]&lt;850,[psam_h25_2022_5yr]![wgtp56],0))/Sum(IIf([adj_grntp]/[2-bdr_pct]&lt;850,[psam_h25_2022_5yr]![wgtp56],0)) as expr56,</v>
      </c>
      <c r="C114">
        <f t="shared" si="13"/>
        <v>56</v>
      </c>
    </row>
    <row r="115" spans="2:3" x14ac:dyDescent="0.25">
      <c r="B115" t="str">
        <f t="shared" si="12"/>
        <v>Sum(IIf([level_majority]="not" And [adj_grntp]/[2-bdr_pct]&lt;850,[psam_h25_2022_5yr]![wgtp57],0))/Sum(IIf([adj_grntp]/[2-bdr_pct]&lt;850,[psam_h25_2022_5yr]![wgtp57],0)) as expr57,</v>
      </c>
      <c r="C115">
        <f t="shared" si="13"/>
        <v>57</v>
      </c>
    </row>
    <row r="116" spans="2:3" x14ac:dyDescent="0.25">
      <c r="B116" t="str">
        <f t="shared" si="12"/>
        <v>Sum(IIf([level_majority]="not" And [adj_grntp]/[2-bdr_pct]&lt;850,[psam_h25_2022_5yr]![wgtp58],0))/Sum(IIf([adj_grntp]/[2-bdr_pct]&lt;850,[psam_h25_2022_5yr]![wgtp58],0)) as expr58,</v>
      </c>
      <c r="C116">
        <f t="shared" si="13"/>
        <v>58</v>
      </c>
    </row>
    <row r="117" spans="2:3" x14ac:dyDescent="0.25">
      <c r="B117" t="str">
        <f t="shared" si="12"/>
        <v>Sum(IIf([level_majority]="not" And [adj_grntp]/[2-bdr_pct]&lt;850,[psam_h25_2022_5yr]![wgtp59],0))/Sum(IIf([adj_grntp]/[2-bdr_pct]&lt;850,[psam_h25_2022_5yr]![wgtp59],0)) as expr59,</v>
      </c>
      <c r="C117">
        <f t="shared" si="13"/>
        <v>59</v>
      </c>
    </row>
    <row r="118" spans="2:3" x14ac:dyDescent="0.25">
      <c r="B118" t="str">
        <f t="shared" si="12"/>
        <v>Sum(IIf([level_majority]="not" And [adj_grntp]/[2-bdr_pct]&lt;850,[psam_h25_2022_5yr]![wgtp60],0))/Sum(IIf([adj_grntp]/[2-bdr_pct]&lt;850,[psam_h25_2022_5yr]![wgtp60],0)) as expr60,</v>
      </c>
      <c r="C118">
        <f t="shared" si="13"/>
        <v>60</v>
      </c>
    </row>
    <row r="119" spans="2:3" x14ac:dyDescent="0.25">
      <c r="B119" t="str">
        <f t="shared" si="12"/>
        <v>Sum(IIf([level_majority]="not" And [adj_grntp]/[2-bdr_pct]&lt;850,[psam_h25_2022_5yr]![wgtp61],0))/Sum(IIf([adj_grntp]/[2-bdr_pct]&lt;850,[psam_h25_2022_5yr]![wgtp61],0)) as expr61,</v>
      </c>
      <c r="C119">
        <f t="shared" si="13"/>
        <v>61</v>
      </c>
    </row>
    <row r="120" spans="2:3" x14ac:dyDescent="0.25">
      <c r="B120" t="str">
        <f t="shared" si="12"/>
        <v>Sum(IIf([level_majority]="not" And [adj_grntp]/[2-bdr_pct]&lt;850,[psam_h25_2022_5yr]![wgtp62],0))/Sum(IIf([adj_grntp]/[2-bdr_pct]&lt;850,[psam_h25_2022_5yr]![wgtp62],0)) as expr62,</v>
      </c>
      <c r="C120">
        <f t="shared" si="13"/>
        <v>62</v>
      </c>
    </row>
    <row r="121" spans="2:3" x14ac:dyDescent="0.25">
      <c r="B121" t="str">
        <f t="shared" si="12"/>
        <v>Sum(IIf([level_majority]="not" And [adj_grntp]/[2-bdr_pct]&lt;850,[psam_h25_2022_5yr]![wgtp63],0))/Sum(IIf([adj_grntp]/[2-bdr_pct]&lt;850,[psam_h25_2022_5yr]![wgtp63],0)) as expr63,</v>
      </c>
      <c r="C121">
        <f t="shared" si="13"/>
        <v>63</v>
      </c>
    </row>
    <row r="122" spans="2:3" x14ac:dyDescent="0.25">
      <c r="B122" t="str">
        <f t="shared" si="12"/>
        <v>Sum(IIf([level_majority]="not" And [adj_grntp]/[2-bdr_pct]&lt;850,[psam_h25_2022_5yr]![wgtp64],0))/Sum(IIf([adj_grntp]/[2-bdr_pct]&lt;850,[psam_h25_2022_5yr]![wgtp64],0)) as expr64,</v>
      </c>
      <c r="C122">
        <f t="shared" si="13"/>
        <v>64</v>
      </c>
    </row>
    <row r="123" spans="2:3" x14ac:dyDescent="0.25">
      <c r="B123" t="str">
        <f t="shared" ref="B123:B138" si="14">_xlfn.CONCAT(B$56,C123,B$57,C123,B$58,C123,",")</f>
        <v>Sum(IIf([level_majority]="not" And [adj_grntp]/[2-bdr_pct]&lt;850,[psam_h25_2022_5yr]![wgtp65],0))/Sum(IIf([adj_grntp]/[2-bdr_pct]&lt;850,[psam_h25_2022_5yr]![wgtp65],0)) as expr65,</v>
      </c>
      <c r="C123">
        <f t="shared" si="13"/>
        <v>65</v>
      </c>
    </row>
    <row r="124" spans="2:3" x14ac:dyDescent="0.25">
      <c r="B124" t="str">
        <f t="shared" si="14"/>
        <v>Sum(IIf([level_majority]="not" And [adj_grntp]/[2-bdr_pct]&lt;850,[psam_h25_2022_5yr]![wgtp66],0))/Sum(IIf([adj_grntp]/[2-bdr_pct]&lt;850,[psam_h25_2022_5yr]![wgtp66],0)) as expr66,</v>
      </c>
      <c r="C124">
        <f t="shared" ref="C124:C138" si="15">1+C123</f>
        <v>66</v>
      </c>
    </row>
    <row r="125" spans="2:3" x14ac:dyDescent="0.25">
      <c r="B125" t="str">
        <f t="shared" si="14"/>
        <v>Sum(IIf([level_majority]="not" And [adj_grntp]/[2-bdr_pct]&lt;850,[psam_h25_2022_5yr]![wgtp67],0))/Sum(IIf([adj_grntp]/[2-bdr_pct]&lt;850,[psam_h25_2022_5yr]![wgtp67],0)) as expr67,</v>
      </c>
      <c r="C125">
        <f t="shared" si="15"/>
        <v>67</v>
      </c>
    </row>
    <row r="126" spans="2:3" x14ac:dyDescent="0.25">
      <c r="B126" t="str">
        <f t="shared" si="14"/>
        <v>Sum(IIf([level_majority]="not" And [adj_grntp]/[2-bdr_pct]&lt;850,[psam_h25_2022_5yr]![wgtp68],0))/Sum(IIf([adj_grntp]/[2-bdr_pct]&lt;850,[psam_h25_2022_5yr]![wgtp68],0)) as expr68,</v>
      </c>
      <c r="C126">
        <f t="shared" si="15"/>
        <v>68</v>
      </c>
    </row>
    <row r="127" spans="2:3" x14ac:dyDescent="0.25">
      <c r="B127" t="str">
        <f t="shared" si="14"/>
        <v>Sum(IIf([level_majority]="not" And [adj_grntp]/[2-bdr_pct]&lt;850,[psam_h25_2022_5yr]![wgtp69],0))/Sum(IIf([adj_grntp]/[2-bdr_pct]&lt;850,[psam_h25_2022_5yr]![wgtp69],0)) as expr69,</v>
      </c>
      <c r="C127">
        <f t="shared" si="15"/>
        <v>69</v>
      </c>
    </row>
    <row r="128" spans="2:3" x14ac:dyDescent="0.25">
      <c r="B128" t="str">
        <f t="shared" si="14"/>
        <v>Sum(IIf([level_majority]="not" And [adj_grntp]/[2-bdr_pct]&lt;850,[psam_h25_2022_5yr]![wgtp70],0))/Sum(IIf([adj_grntp]/[2-bdr_pct]&lt;850,[psam_h25_2022_5yr]![wgtp70],0)) as expr70,</v>
      </c>
      <c r="C128">
        <f t="shared" si="15"/>
        <v>70</v>
      </c>
    </row>
    <row r="129" spans="2:3" x14ac:dyDescent="0.25">
      <c r="B129" t="str">
        <f t="shared" si="14"/>
        <v>Sum(IIf([level_majority]="not" And [adj_grntp]/[2-bdr_pct]&lt;850,[psam_h25_2022_5yr]![wgtp71],0))/Sum(IIf([adj_grntp]/[2-bdr_pct]&lt;850,[psam_h25_2022_5yr]![wgtp71],0)) as expr71,</v>
      </c>
      <c r="C129">
        <f t="shared" si="15"/>
        <v>71</v>
      </c>
    </row>
    <row r="130" spans="2:3" x14ac:dyDescent="0.25">
      <c r="B130" t="str">
        <f t="shared" si="14"/>
        <v>Sum(IIf([level_majority]="not" And [adj_grntp]/[2-bdr_pct]&lt;850,[psam_h25_2022_5yr]![wgtp72],0))/Sum(IIf([adj_grntp]/[2-bdr_pct]&lt;850,[psam_h25_2022_5yr]![wgtp72],0)) as expr72,</v>
      </c>
      <c r="C130">
        <f t="shared" si="15"/>
        <v>72</v>
      </c>
    </row>
    <row r="131" spans="2:3" x14ac:dyDescent="0.25">
      <c r="B131" t="str">
        <f t="shared" si="14"/>
        <v>Sum(IIf([level_majority]="not" And [adj_grntp]/[2-bdr_pct]&lt;850,[psam_h25_2022_5yr]![wgtp73],0))/Sum(IIf([adj_grntp]/[2-bdr_pct]&lt;850,[psam_h25_2022_5yr]![wgtp73],0)) as expr73,</v>
      </c>
      <c r="C131">
        <f t="shared" si="15"/>
        <v>73</v>
      </c>
    </row>
    <row r="132" spans="2:3" x14ac:dyDescent="0.25">
      <c r="B132" t="str">
        <f t="shared" si="14"/>
        <v>Sum(IIf([level_majority]="not" And [adj_grntp]/[2-bdr_pct]&lt;850,[psam_h25_2022_5yr]![wgtp74],0))/Sum(IIf([adj_grntp]/[2-bdr_pct]&lt;850,[psam_h25_2022_5yr]![wgtp74],0)) as expr74,</v>
      </c>
      <c r="C132">
        <f t="shared" si="15"/>
        <v>74</v>
      </c>
    </row>
    <row r="133" spans="2:3" x14ac:dyDescent="0.25">
      <c r="B133" t="str">
        <f t="shared" si="14"/>
        <v>Sum(IIf([level_majority]="not" And [adj_grntp]/[2-bdr_pct]&lt;850,[psam_h25_2022_5yr]![wgtp75],0))/Sum(IIf([adj_grntp]/[2-bdr_pct]&lt;850,[psam_h25_2022_5yr]![wgtp75],0)) as expr75,</v>
      </c>
      <c r="C133">
        <f t="shared" si="15"/>
        <v>75</v>
      </c>
    </row>
    <row r="134" spans="2:3" x14ac:dyDescent="0.25">
      <c r="B134" t="str">
        <f t="shared" si="14"/>
        <v>Sum(IIf([level_majority]="not" And [adj_grntp]/[2-bdr_pct]&lt;850,[psam_h25_2022_5yr]![wgtp76],0))/Sum(IIf([adj_grntp]/[2-bdr_pct]&lt;850,[psam_h25_2022_5yr]![wgtp76],0)) as expr76,</v>
      </c>
      <c r="C134">
        <f t="shared" si="15"/>
        <v>76</v>
      </c>
    </row>
    <row r="135" spans="2:3" x14ac:dyDescent="0.25">
      <c r="B135" t="str">
        <f t="shared" si="14"/>
        <v>Sum(IIf([level_majority]="not" And [adj_grntp]/[2-bdr_pct]&lt;850,[psam_h25_2022_5yr]![wgtp77],0))/Sum(IIf([adj_grntp]/[2-bdr_pct]&lt;850,[psam_h25_2022_5yr]![wgtp77],0)) as expr77,</v>
      </c>
      <c r="C135">
        <f t="shared" si="15"/>
        <v>77</v>
      </c>
    </row>
    <row r="136" spans="2:3" x14ac:dyDescent="0.25">
      <c r="B136" t="str">
        <f t="shared" si="14"/>
        <v>Sum(IIf([level_majority]="not" And [adj_grntp]/[2-bdr_pct]&lt;850,[psam_h25_2022_5yr]![wgtp78],0))/Sum(IIf([adj_grntp]/[2-bdr_pct]&lt;850,[psam_h25_2022_5yr]![wgtp78],0)) as expr78,</v>
      </c>
      <c r="C136">
        <f t="shared" si="15"/>
        <v>78</v>
      </c>
    </row>
    <row r="137" spans="2:3" x14ac:dyDescent="0.25">
      <c r="B137" t="str">
        <f t="shared" si="14"/>
        <v>Sum(IIf([level_majority]="not" And [adj_grntp]/[2-bdr_pct]&lt;850,[psam_h25_2022_5yr]![wgtp79],0))/Sum(IIf([adj_grntp]/[2-bdr_pct]&lt;850,[psam_h25_2022_5yr]![wgtp79],0)) as expr79,</v>
      </c>
      <c r="C137">
        <f t="shared" si="15"/>
        <v>79</v>
      </c>
    </row>
    <row r="138" spans="2:3" x14ac:dyDescent="0.25">
      <c r="B138" t="str">
        <f t="shared" si="14"/>
        <v>Sum(IIf([level_majority]="not" And [adj_grntp]/[2-bdr_pct]&lt;850,[psam_h25_2022_5yr]![wgtp80],0))/Sum(IIf([adj_grntp]/[2-bdr_pct]&lt;850,[psam_h25_2022_5yr]![wgtp80],0)) as expr80,</v>
      </c>
      <c r="C138">
        <f t="shared" si="15"/>
        <v>80</v>
      </c>
    </row>
  </sheetData>
  <sortState xmlns:xlrd2="http://schemas.microsoft.com/office/spreadsheetml/2017/richdata2" ref="A23:F35">
    <sortCondition ref="F23:F35"/>
  </sortState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AE4188-F158-4FDC-B0C0-8BE3C482B743}">
  <dimension ref="A2:J93"/>
  <sheetViews>
    <sheetView workbookViewId="0"/>
  </sheetViews>
  <sheetFormatPr defaultRowHeight="15" x14ac:dyDescent="0.25"/>
  <cols>
    <col min="1" max="1" width="22.85546875" customWidth="1"/>
    <col min="2" max="2" width="13.7109375" bestFit="1" customWidth="1"/>
    <col min="3" max="4" width="12.5703125" bestFit="1" customWidth="1"/>
    <col min="5" max="5" width="11.140625" customWidth="1"/>
    <col min="8" max="8" width="13.7109375" bestFit="1" customWidth="1"/>
    <col min="9" max="9" width="13" bestFit="1" customWidth="1"/>
    <col min="10" max="10" width="13.140625" bestFit="1" customWidth="1"/>
    <col min="11" max="16" width="12.5703125" bestFit="1" customWidth="1"/>
  </cols>
  <sheetData>
    <row r="2" spans="1:6" x14ac:dyDescent="0.25">
      <c r="A2" s="87" t="s">
        <v>292</v>
      </c>
      <c r="B2" s="87"/>
      <c r="C2" s="87"/>
      <c r="D2" s="87"/>
      <c r="E2" s="87"/>
      <c r="F2">
        <f>'RBI-TTP Units'!C15</f>
        <v>148236</v>
      </c>
    </row>
    <row r="3" spans="1:6" x14ac:dyDescent="0.25">
      <c r="A3" t="s">
        <v>295</v>
      </c>
    </row>
    <row r="4" spans="1:6" x14ac:dyDescent="0.25">
      <c r="A4" s="87" t="s">
        <v>278</v>
      </c>
      <c r="B4" s="87"/>
      <c r="C4" s="87"/>
      <c r="D4" s="87"/>
      <c r="E4" s="87"/>
    </row>
    <row r="5" spans="1:6" x14ac:dyDescent="0.25">
      <c r="A5" s="88" t="s">
        <v>293</v>
      </c>
      <c r="B5" s="88" t="s">
        <v>43</v>
      </c>
      <c r="C5" s="88" t="s">
        <v>46</v>
      </c>
      <c r="D5" s="88" t="s">
        <v>44</v>
      </c>
      <c r="E5" s="88" t="s">
        <v>45</v>
      </c>
    </row>
    <row r="6" spans="1:6" x14ac:dyDescent="0.25">
      <c r="A6" s="89" t="s">
        <v>47</v>
      </c>
      <c r="B6" s="89">
        <v>112543</v>
      </c>
      <c r="C6" s="89">
        <v>19579</v>
      </c>
      <c r="D6" s="89">
        <v>7923</v>
      </c>
      <c r="E6" s="89">
        <v>8460</v>
      </c>
      <c r="F6">
        <f>SUM(B6:E6)</f>
        <v>148505</v>
      </c>
    </row>
    <row r="7" spans="1:6" x14ac:dyDescent="0.25">
      <c r="A7" s="89" t="s">
        <v>48</v>
      </c>
      <c r="B7" s="89">
        <v>182493</v>
      </c>
      <c r="C7" s="89">
        <v>138980</v>
      </c>
      <c r="D7" s="89">
        <v>176435</v>
      </c>
      <c r="E7" s="89">
        <v>350700</v>
      </c>
    </row>
    <row r="9" spans="1:6" x14ac:dyDescent="0.25">
      <c r="A9" s="87" t="s">
        <v>280</v>
      </c>
      <c r="B9" s="87"/>
      <c r="C9" s="87"/>
    </row>
    <row r="10" spans="1:6" x14ac:dyDescent="0.25">
      <c r="A10" s="88" t="s">
        <v>281</v>
      </c>
      <c r="B10" s="88" t="s">
        <v>47</v>
      </c>
      <c r="C10" s="88" t="s">
        <v>48</v>
      </c>
    </row>
    <row r="11" spans="1:6" x14ac:dyDescent="0.25">
      <c r="A11" s="89" t="s">
        <v>43</v>
      </c>
      <c r="B11" s="89">
        <v>109753</v>
      </c>
      <c r="C11" s="89">
        <v>15447</v>
      </c>
    </row>
    <row r="12" spans="1:6" x14ac:dyDescent="0.25">
      <c r="A12" s="89" t="s">
        <v>46</v>
      </c>
      <c r="B12" s="89">
        <v>19579</v>
      </c>
      <c r="C12" s="89">
        <v>49544</v>
      </c>
    </row>
    <row r="13" spans="1:6" x14ac:dyDescent="0.25">
      <c r="A13" s="89" t="s">
        <v>44</v>
      </c>
      <c r="B13" s="89">
        <v>7923</v>
      </c>
      <c r="C13" s="89">
        <v>140254</v>
      </c>
    </row>
    <row r="14" spans="1:6" x14ac:dyDescent="0.25">
      <c r="A14" s="89" t="s">
        <v>282</v>
      </c>
      <c r="B14" s="89">
        <v>2790</v>
      </c>
      <c r="C14" s="89">
        <v>167046</v>
      </c>
    </row>
    <row r="15" spans="1:6" x14ac:dyDescent="0.25">
      <c r="A15" s="89" t="s">
        <v>283</v>
      </c>
      <c r="B15" s="90"/>
      <c r="C15" s="89">
        <v>89436</v>
      </c>
    </row>
    <row r="16" spans="1:6" x14ac:dyDescent="0.25">
      <c r="A16" s="89" t="s">
        <v>284</v>
      </c>
      <c r="B16" s="90"/>
      <c r="C16" s="89">
        <v>36181</v>
      </c>
    </row>
    <row r="17" spans="1:6" x14ac:dyDescent="0.25">
      <c r="A17" s="89" t="s">
        <v>285</v>
      </c>
      <c r="B17" s="89">
        <v>8460</v>
      </c>
      <c r="C17" s="89">
        <v>350700</v>
      </c>
    </row>
    <row r="18" spans="1:6" x14ac:dyDescent="0.25">
      <c r="B18">
        <f>SUM(B11:B17)</f>
        <v>148505</v>
      </c>
    </row>
    <row r="20" spans="1:6" x14ac:dyDescent="0.25">
      <c r="A20" s="87" t="s">
        <v>289</v>
      </c>
      <c r="B20" s="87"/>
      <c r="C20" s="87"/>
      <c r="D20" s="87"/>
      <c r="E20" s="87"/>
      <c r="F20">
        <f>'RBI-TTP Units'!C16</f>
        <v>165242</v>
      </c>
    </row>
    <row r="21" spans="1:6" x14ac:dyDescent="0.25">
      <c r="A21" t="s">
        <v>290</v>
      </c>
    </row>
    <row r="22" spans="1:6" x14ac:dyDescent="0.25">
      <c r="A22" s="87" t="s">
        <v>278</v>
      </c>
      <c r="B22" s="87"/>
      <c r="C22" s="87"/>
      <c r="D22" s="87"/>
      <c r="E22" s="87"/>
    </row>
    <row r="23" spans="1:6" x14ac:dyDescent="0.25">
      <c r="A23" s="88" t="s">
        <v>293</v>
      </c>
      <c r="B23" s="88" t="s">
        <v>43</v>
      </c>
      <c r="C23" s="88" t="s">
        <v>46</v>
      </c>
      <c r="D23" s="88" t="s">
        <v>44</v>
      </c>
      <c r="E23" s="88" t="s">
        <v>45</v>
      </c>
      <c r="F23" t="s">
        <v>99</v>
      </c>
    </row>
    <row r="24" spans="1:6" x14ac:dyDescent="0.25">
      <c r="A24" s="89" t="s">
        <v>47</v>
      </c>
      <c r="B24" s="89">
        <v>121272</v>
      </c>
      <c r="C24" s="89">
        <v>23481</v>
      </c>
      <c r="D24" s="89">
        <v>9958</v>
      </c>
      <c r="E24" s="89">
        <v>10784</v>
      </c>
      <c r="F24">
        <f>SUM(B24:E24)</f>
        <v>165495</v>
      </c>
    </row>
    <row r="25" spans="1:6" x14ac:dyDescent="0.25">
      <c r="A25" s="89" t="s">
        <v>48</v>
      </c>
      <c r="B25" s="89">
        <v>173764</v>
      </c>
      <c r="C25" s="89">
        <v>135078</v>
      </c>
      <c r="D25" s="89">
        <v>174400</v>
      </c>
      <c r="E25" s="89">
        <v>348376</v>
      </c>
      <c r="F25">
        <f>SUM(B25:E25)</f>
        <v>831618</v>
      </c>
    </row>
    <row r="26" spans="1:6" x14ac:dyDescent="0.25">
      <c r="B26">
        <f>SUM(B24:B25)</f>
        <v>295036</v>
      </c>
    </row>
    <row r="27" spans="1:6" x14ac:dyDescent="0.25">
      <c r="A27" s="87" t="s">
        <v>280</v>
      </c>
      <c r="B27" s="87"/>
      <c r="C27" s="87"/>
    </row>
    <row r="28" spans="1:6" x14ac:dyDescent="0.25">
      <c r="A28" s="88" t="s">
        <v>281</v>
      </c>
      <c r="B28" s="88" t="s">
        <v>47</v>
      </c>
      <c r="C28" s="88" t="s">
        <v>48</v>
      </c>
    </row>
    <row r="29" spans="1:6" x14ac:dyDescent="0.25">
      <c r="A29" s="89" t="s">
        <v>43</v>
      </c>
      <c r="B29" s="89">
        <v>115832</v>
      </c>
      <c r="C29" s="89">
        <v>9368</v>
      </c>
      <c r="D29">
        <f>SUM(B29:C29)</f>
        <v>125200</v>
      </c>
    </row>
    <row r="30" spans="1:6" x14ac:dyDescent="0.25">
      <c r="A30" s="89" t="s">
        <v>46</v>
      </c>
      <c r="B30" s="89">
        <v>23419</v>
      </c>
      <c r="C30" s="89">
        <v>45704</v>
      </c>
      <c r="D30">
        <f>SUM(B30:C30)</f>
        <v>69123</v>
      </c>
    </row>
    <row r="31" spans="1:6" x14ac:dyDescent="0.25">
      <c r="A31" s="89" t="s">
        <v>44</v>
      </c>
      <c r="B31" s="89">
        <v>9958</v>
      </c>
      <c r="C31" s="89">
        <v>138219</v>
      </c>
      <c r="D31">
        <f>SUM(B31:C31)</f>
        <v>148177</v>
      </c>
    </row>
    <row r="32" spans="1:6" x14ac:dyDescent="0.25">
      <c r="A32" s="89" t="s">
        <v>282</v>
      </c>
      <c r="B32" s="89">
        <v>5440</v>
      </c>
      <c r="C32" s="89">
        <v>164396</v>
      </c>
      <c r="D32">
        <f>SUM(B32:C32)</f>
        <v>169836</v>
      </c>
    </row>
    <row r="33" spans="1:10" x14ac:dyDescent="0.25">
      <c r="A33" s="89" t="s">
        <v>283</v>
      </c>
      <c r="B33" s="89">
        <v>62</v>
      </c>
      <c r="C33" s="89">
        <v>89374</v>
      </c>
      <c r="D33">
        <f>SUM(B33:C33)</f>
        <v>89436</v>
      </c>
    </row>
    <row r="34" spans="1:10" x14ac:dyDescent="0.25">
      <c r="A34" s="89" t="s">
        <v>284</v>
      </c>
      <c r="B34" s="90"/>
      <c r="C34" s="89">
        <v>36181</v>
      </c>
      <c r="D34">
        <f>SUM(B34:C34)</f>
        <v>36181</v>
      </c>
    </row>
    <row r="35" spans="1:10" x14ac:dyDescent="0.25">
      <c r="A35" s="89" t="s">
        <v>285</v>
      </c>
      <c r="B35" s="89">
        <v>10784</v>
      </c>
      <c r="C35" s="89">
        <v>348376</v>
      </c>
      <c r="D35">
        <f>SUM(B35:C35)</f>
        <v>359160</v>
      </c>
    </row>
    <row r="36" spans="1:10" x14ac:dyDescent="0.25">
      <c r="B36">
        <f>SUM(B29:B35)</f>
        <v>165495</v>
      </c>
    </row>
    <row r="38" spans="1:10" x14ac:dyDescent="0.25">
      <c r="A38" s="87" t="s">
        <v>279</v>
      </c>
      <c r="B38" s="87"/>
      <c r="C38" s="87"/>
      <c r="D38" s="87"/>
      <c r="E38" s="87"/>
    </row>
    <row r="39" spans="1:10" x14ac:dyDescent="0.25">
      <c r="A39" s="27" t="s">
        <v>294</v>
      </c>
      <c r="B39" s="27"/>
      <c r="C39" s="27"/>
      <c r="D39" s="27"/>
      <c r="E39" s="27"/>
      <c r="H39" t="s">
        <v>300</v>
      </c>
    </row>
    <row r="40" spans="1:10" x14ac:dyDescent="0.25">
      <c r="A40" s="88" t="s">
        <v>293</v>
      </c>
      <c r="B40" s="88" t="s">
        <v>43</v>
      </c>
      <c r="C40" s="88" t="s">
        <v>46</v>
      </c>
      <c r="D40" s="88" t="s">
        <v>44</v>
      </c>
      <c r="E40" s="88" t="s">
        <v>45</v>
      </c>
      <c r="F40" t="s">
        <v>99</v>
      </c>
      <c r="H40" s="88" t="s">
        <v>43</v>
      </c>
      <c r="I40" s="88" t="s">
        <v>46</v>
      </c>
      <c r="J40" s="88" t="s">
        <v>44</v>
      </c>
    </row>
    <row r="41" spans="1:10" x14ac:dyDescent="0.25">
      <c r="A41" s="89" t="s">
        <v>47</v>
      </c>
      <c r="B41" s="89">
        <v>128717</v>
      </c>
      <c r="C41" s="89">
        <v>27297</v>
      </c>
      <c r="D41" s="89">
        <v>12728</v>
      </c>
      <c r="E41" s="89">
        <v>13484</v>
      </c>
      <c r="F41">
        <f>SUM(B41:E41)</f>
        <v>182226</v>
      </c>
      <c r="H41">
        <v>144617.68</v>
      </c>
      <c r="I41">
        <v>28631.26</v>
      </c>
      <c r="J41">
        <v>10747.06</v>
      </c>
    </row>
    <row r="42" spans="1:10" x14ac:dyDescent="0.25">
      <c r="A42" s="89" t="s">
        <v>48</v>
      </c>
      <c r="B42" s="89">
        <v>166319</v>
      </c>
      <c r="C42" s="89">
        <v>131262</v>
      </c>
      <c r="D42" s="89">
        <v>171630</v>
      </c>
      <c r="E42" s="89">
        <v>345676</v>
      </c>
      <c r="F42">
        <f>SUM(B42:E42)</f>
        <v>814887</v>
      </c>
    </row>
    <row r="44" spans="1:10" x14ac:dyDescent="0.25">
      <c r="A44" s="87" t="s">
        <v>280</v>
      </c>
      <c r="B44" s="87"/>
      <c r="C44" s="87"/>
    </row>
    <row r="45" spans="1:10" x14ac:dyDescent="0.25">
      <c r="A45" s="88" t="s">
        <v>281</v>
      </c>
      <c r="B45" s="88" t="s">
        <v>47</v>
      </c>
      <c r="C45" s="88" t="s">
        <v>48</v>
      </c>
      <c r="D45" t="s">
        <v>147</v>
      </c>
    </row>
    <row r="46" spans="1:10" x14ac:dyDescent="0.25">
      <c r="A46" s="89" t="s">
        <v>43</v>
      </c>
      <c r="B46" s="89">
        <v>119492</v>
      </c>
      <c r="C46" s="89">
        <v>5708</v>
      </c>
      <c r="D46">
        <f>SUM(B46:C46)</f>
        <v>125200</v>
      </c>
    </row>
    <row r="47" spans="1:10" x14ac:dyDescent="0.25">
      <c r="A47" s="89" t="s">
        <v>46</v>
      </c>
      <c r="B47" s="89">
        <v>27145</v>
      </c>
      <c r="C47" s="89">
        <v>41978</v>
      </c>
      <c r="D47">
        <f>SUM(B47:C47)</f>
        <v>69123</v>
      </c>
    </row>
    <row r="48" spans="1:10" x14ac:dyDescent="0.25">
      <c r="A48" s="89" t="s">
        <v>44</v>
      </c>
      <c r="B48" s="89">
        <v>12728</v>
      </c>
      <c r="C48" s="89">
        <v>135449</v>
      </c>
      <c r="D48">
        <f>SUM(B48:C48)</f>
        <v>148177</v>
      </c>
    </row>
    <row r="49" spans="1:10" x14ac:dyDescent="0.25">
      <c r="A49" s="89" t="s">
        <v>282</v>
      </c>
      <c r="B49" s="89">
        <v>9225</v>
      </c>
      <c r="C49" s="89">
        <v>160611</v>
      </c>
      <c r="D49">
        <f>SUM(B49:C49)</f>
        <v>169836</v>
      </c>
    </row>
    <row r="50" spans="1:10" x14ac:dyDescent="0.25">
      <c r="A50" s="89" t="s">
        <v>283</v>
      </c>
      <c r="B50" s="89">
        <v>152</v>
      </c>
      <c r="C50" s="89">
        <v>89284</v>
      </c>
      <c r="D50">
        <f>SUM(B50:C50)</f>
        <v>89436</v>
      </c>
    </row>
    <row r="51" spans="1:10" x14ac:dyDescent="0.25">
      <c r="A51" s="89" t="s">
        <v>284</v>
      </c>
      <c r="B51" s="90"/>
      <c r="C51" s="89">
        <v>36181</v>
      </c>
      <c r="D51">
        <f>SUM(B51:C51)</f>
        <v>36181</v>
      </c>
    </row>
    <row r="52" spans="1:10" x14ac:dyDescent="0.25">
      <c r="A52" s="89" t="s">
        <v>285</v>
      </c>
      <c r="B52" s="89">
        <v>13484</v>
      </c>
      <c r="C52" s="89">
        <v>345676</v>
      </c>
      <c r="D52">
        <f>SUM(B52:C52)</f>
        <v>359160</v>
      </c>
    </row>
    <row r="53" spans="1:10" x14ac:dyDescent="0.25">
      <c r="B53">
        <f>SUM(B46:B52)</f>
        <v>182226</v>
      </c>
    </row>
    <row r="54" spans="1:10" x14ac:dyDescent="0.25">
      <c r="B54">
        <f>(B49+B50+B52)/B53</f>
        <v>0.12545410643925675</v>
      </c>
    </row>
    <row r="56" spans="1:10" x14ac:dyDescent="0.25">
      <c r="A56" s="87" t="s">
        <v>287</v>
      </c>
      <c r="B56" s="87"/>
      <c r="C56" s="87"/>
      <c r="D56" s="87"/>
      <c r="E56" s="87"/>
      <c r="F56">
        <f>'RBI-TTP Units'!C18</f>
        <v>199254</v>
      </c>
    </row>
    <row r="57" spans="1:10" x14ac:dyDescent="0.25">
      <c r="A57" s="87" t="s">
        <v>288</v>
      </c>
      <c r="B57" s="87"/>
      <c r="C57" s="87"/>
      <c r="D57" s="87"/>
      <c r="E57" s="87"/>
    </row>
    <row r="58" spans="1:10" x14ac:dyDescent="0.25">
      <c r="A58" s="88" t="s">
        <v>293</v>
      </c>
      <c r="B58" s="88" t="s">
        <v>43</v>
      </c>
      <c r="C58" s="88" t="s">
        <v>46</v>
      </c>
      <c r="D58" s="88" t="s">
        <v>44</v>
      </c>
      <c r="E58" s="88" t="s">
        <v>45</v>
      </c>
      <c r="F58" t="s">
        <v>99</v>
      </c>
      <c r="H58">
        <v>157882.36000000002</v>
      </c>
      <c r="I58">
        <v>31352.219999999998</v>
      </c>
      <c r="J58">
        <v>11767.42</v>
      </c>
    </row>
    <row r="59" spans="1:10" x14ac:dyDescent="0.25">
      <c r="A59" s="89" t="s">
        <v>47</v>
      </c>
      <c r="B59" s="89">
        <v>135305</v>
      </c>
      <c r="C59" s="89">
        <v>31602</v>
      </c>
      <c r="D59" s="89">
        <v>15789</v>
      </c>
      <c r="E59" s="89">
        <v>16404</v>
      </c>
      <c r="F59">
        <f>SUM(B59:E59)</f>
        <v>199100</v>
      </c>
    </row>
    <row r="60" spans="1:10" x14ac:dyDescent="0.25">
      <c r="A60" s="89" t="s">
        <v>48</v>
      </c>
      <c r="B60" s="89">
        <v>159731</v>
      </c>
      <c r="C60" s="89">
        <v>126957</v>
      </c>
      <c r="D60" s="89">
        <v>168569</v>
      </c>
      <c r="E60" s="89">
        <v>342756</v>
      </c>
      <c r="F60">
        <f>SUM(B60:E60)</f>
        <v>798013</v>
      </c>
    </row>
    <row r="62" spans="1:10" x14ac:dyDescent="0.25">
      <c r="A62" s="87" t="s">
        <v>280</v>
      </c>
      <c r="B62" s="87"/>
      <c r="C62" s="87"/>
    </row>
    <row r="63" spans="1:10" x14ac:dyDescent="0.25">
      <c r="A63" s="88" t="s">
        <v>281</v>
      </c>
      <c r="B63" s="88" t="s">
        <v>47</v>
      </c>
      <c r="C63" s="88" t="s">
        <v>48</v>
      </c>
    </row>
    <row r="64" spans="1:10" x14ac:dyDescent="0.25">
      <c r="A64" s="89" t="s">
        <v>43</v>
      </c>
      <c r="B64" s="89">
        <v>121711</v>
      </c>
      <c r="C64" s="89">
        <v>3489</v>
      </c>
      <c r="D64">
        <f>SUM(B64:C64)</f>
        <v>125200</v>
      </c>
    </row>
    <row r="65" spans="1:6" x14ac:dyDescent="0.25">
      <c r="A65" s="89" t="s">
        <v>46</v>
      </c>
      <c r="B65" s="89">
        <v>31300</v>
      </c>
      <c r="C65" s="89">
        <v>37823</v>
      </c>
      <c r="D65">
        <f>SUM(B65:C65)</f>
        <v>69123</v>
      </c>
    </row>
    <row r="66" spans="1:6" x14ac:dyDescent="0.25">
      <c r="A66" s="89" t="s">
        <v>44</v>
      </c>
      <c r="B66" s="89">
        <v>15789</v>
      </c>
      <c r="C66" s="89">
        <v>132388</v>
      </c>
      <c r="D66">
        <f>SUM(B66:C66)</f>
        <v>148177</v>
      </c>
    </row>
    <row r="67" spans="1:6" x14ac:dyDescent="0.25">
      <c r="A67" s="89" t="s">
        <v>282</v>
      </c>
      <c r="B67" s="89">
        <v>13594</v>
      </c>
      <c r="C67" s="89">
        <v>156242</v>
      </c>
      <c r="D67">
        <f>SUM(B67:C67)</f>
        <v>169836</v>
      </c>
    </row>
    <row r="68" spans="1:6" x14ac:dyDescent="0.25">
      <c r="A68" s="89" t="s">
        <v>283</v>
      </c>
      <c r="B68" s="89">
        <v>302</v>
      </c>
      <c r="C68" s="89">
        <v>89134</v>
      </c>
      <c r="D68">
        <f>SUM(B68:C68)</f>
        <v>89436</v>
      </c>
    </row>
    <row r="69" spans="1:6" x14ac:dyDescent="0.25">
      <c r="A69" s="89" t="s">
        <v>284</v>
      </c>
      <c r="B69" s="90"/>
      <c r="C69" s="89">
        <v>36181</v>
      </c>
      <c r="D69">
        <f>SUM(B69:C69)</f>
        <v>36181</v>
      </c>
    </row>
    <row r="70" spans="1:6" x14ac:dyDescent="0.25">
      <c r="A70" s="89" t="s">
        <v>285</v>
      </c>
      <c r="B70" s="89">
        <v>16404</v>
      </c>
      <c r="C70" s="89">
        <v>342756</v>
      </c>
      <c r="D70">
        <f>SUM(B70:C70)</f>
        <v>359160</v>
      </c>
    </row>
    <row r="71" spans="1:6" x14ac:dyDescent="0.25">
      <c r="B71">
        <f>SUM(B64:B70)</f>
        <v>199100</v>
      </c>
    </row>
    <row r="72" spans="1:6" x14ac:dyDescent="0.25">
      <c r="B72">
        <f>SUM(B67:B70)</f>
        <v>30300</v>
      </c>
      <c r="C72" t="s">
        <v>296</v>
      </c>
    </row>
    <row r="73" spans="1:6" x14ac:dyDescent="0.25">
      <c r="B73" s="29">
        <f>+B72/B71</f>
        <v>0.15218483174284278</v>
      </c>
      <c r="C73" t="s">
        <v>297</v>
      </c>
    </row>
    <row r="74" spans="1:6" x14ac:dyDescent="0.25">
      <c r="B74" s="31"/>
      <c r="C74" s="31"/>
      <c r="D74" s="31"/>
    </row>
    <row r="75" spans="1:6" x14ac:dyDescent="0.25">
      <c r="A75" s="87" t="s">
        <v>298</v>
      </c>
      <c r="B75" s="87"/>
      <c r="C75" s="87"/>
      <c r="D75" s="87"/>
      <c r="E75" s="87"/>
      <c r="F75">
        <v>216260</v>
      </c>
    </row>
    <row r="76" spans="1:6" x14ac:dyDescent="0.25">
      <c r="A76" s="87" t="s">
        <v>299</v>
      </c>
      <c r="B76" s="87"/>
      <c r="C76" s="87"/>
      <c r="D76" s="87"/>
      <c r="E76" s="87"/>
    </row>
    <row r="77" spans="1:6" x14ac:dyDescent="0.25">
      <c r="A77" s="87" t="s">
        <v>278</v>
      </c>
      <c r="B77" s="87"/>
      <c r="C77" s="87"/>
      <c r="D77" s="87"/>
      <c r="E77" s="87"/>
    </row>
    <row r="78" spans="1:6" x14ac:dyDescent="0.25">
      <c r="A78" s="88" t="s">
        <v>293</v>
      </c>
      <c r="B78" s="88" t="s">
        <v>43</v>
      </c>
      <c r="C78" s="88" t="s">
        <v>46</v>
      </c>
      <c r="D78" s="88" t="s">
        <v>44</v>
      </c>
      <c r="E78" s="88" t="s">
        <v>45</v>
      </c>
      <c r="F78" t="s">
        <v>99</v>
      </c>
    </row>
    <row r="79" spans="1:6" x14ac:dyDescent="0.25">
      <c r="A79" s="89" t="s">
        <v>47</v>
      </c>
      <c r="B79" s="89">
        <v>141425</v>
      </c>
      <c r="C79" s="89">
        <v>35434</v>
      </c>
      <c r="D79" s="89">
        <v>19816</v>
      </c>
      <c r="E79" s="89">
        <v>19993</v>
      </c>
      <c r="F79">
        <f>SUM(B79:E79)</f>
        <v>216668</v>
      </c>
    </row>
    <row r="80" spans="1:6" x14ac:dyDescent="0.25">
      <c r="A80" s="89" t="s">
        <v>48</v>
      </c>
      <c r="B80" s="89">
        <v>153611</v>
      </c>
      <c r="C80" s="89">
        <v>123125</v>
      </c>
      <c r="D80" s="89">
        <v>164542</v>
      </c>
      <c r="E80" s="89">
        <v>339167</v>
      </c>
      <c r="F80">
        <f>SUM(B80:E80)</f>
        <v>780445</v>
      </c>
    </row>
    <row r="82" spans="1:3" x14ac:dyDescent="0.25">
      <c r="A82" s="87" t="s">
        <v>280</v>
      </c>
      <c r="B82" s="87"/>
      <c r="C82" s="87"/>
    </row>
    <row r="83" spans="1:3" x14ac:dyDescent="0.25">
      <c r="A83" s="88" t="s">
        <v>281</v>
      </c>
      <c r="B83" s="88" t="s">
        <v>47</v>
      </c>
      <c r="C83" s="88" t="s">
        <v>48</v>
      </c>
    </row>
    <row r="84" spans="1:3" x14ac:dyDescent="0.25">
      <c r="A84" s="89" t="s">
        <v>43</v>
      </c>
      <c r="B84" s="89">
        <v>118884</v>
      </c>
      <c r="C84" s="89">
        <v>623</v>
      </c>
    </row>
    <row r="85" spans="1:3" x14ac:dyDescent="0.25">
      <c r="A85" s="89" t="s">
        <v>46</v>
      </c>
      <c r="B85" s="89">
        <v>33715</v>
      </c>
      <c r="C85" s="89">
        <v>25724</v>
      </c>
    </row>
    <row r="86" spans="1:3" x14ac:dyDescent="0.25">
      <c r="A86" s="89" t="s">
        <v>44</v>
      </c>
      <c r="B86" s="89">
        <v>19816</v>
      </c>
      <c r="C86" s="89">
        <v>117051</v>
      </c>
    </row>
    <row r="87" spans="1:3" x14ac:dyDescent="0.25">
      <c r="A87" s="89" t="s">
        <v>282</v>
      </c>
      <c r="B87" s="89">
        <v>22541</v>
      </c>
      <c r="C87" s="89">
        <v>152988</v>
      </c>
    </row>
    <row r="88" spans="1:3" x14ac:dyDescent="0.25">
      <c r="A88" s="89" t="s">
        <v>283</v>
      </c>
      <c r="B88" s="89">
        <v>1719</v>
      </c>
      <c r="C88" s="89">
        <v>97401</v>
      </c>
    </row>
    <row r="89" spans="1:3" x14ac:dyDescent="0.25">
      <c r="A89" s="89" t="s">
        <v>284</v>
      </c>
      <c r="B89" s="90"/>
      <c r="C89" s="89">
        <v>47491</v>
      </c>
    </row>
    <row r="90" spans="1:3" x14ac:dyDescent="0.25">
      <c r="A90" s="89" t="s">
        <v>285</v>
      </c>
      <c r="B90" s="89">
        <v>19993</v>
      </c>
      <c r="C90" s="89">
        <v>339167</v>
      </c>
    </row>
    <row r="91" spans="1:3" x14ac:dyDescent="0.25">
      <c r="B91">
        <f>SUM(B84:B90)</f>
        <v>216668</v>
      </c>
    </row>
    <row r="92" spans="1:3" x14ac:dyDescent="0.25">
      <c r="B92">
        <f>SUM(B87:B90)</f>
        <v>44253</v>
      </c>
      <c r="C92" t="s">
        <v>296</v>
      </c>
    </row>
    <row r="93" spans="1:3" x14ac:dyDescent="0.25">
      <c r="B93" s="29">
        <f>+B92/B91</f>
        <v>0.20424335850240921</v>
      </c>
      <c r="C93" t="s">
        <v>297</v>
      </c>
    </row>
  </sheetData>
  <mergeCells count="15">
    <mergeCell ref="A75:E75"/>
    <mergeCell ref="A76:E76"/>
    <mergeCell ref="A77:E77"/>
    <mergeCell ref="A82:C82"/>
    <mergeCell ref="A20:E20"/>
    <mergeCell ref="A22:E22"/>
    <mergeCell ref="A27:C27"/>
    <mergeCell ref="A2:E2"/>
    <mergeCell ref="A4:E4"/>
    <mergeCell ref="A9:C9"/>
    <mergeCell ref="A38:E38"/>
    <mergeCell ref="A44:C44"/>
    <mergeCell ref="A56:E56"/>
    <mergeCell ref="A57:E57"/>
    <mergeCell ref="A62:C6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EACE77-5156-4BB7-BAD5-333985C2754D}">
  <dimension ref="A1:I47"/>
  <sheetViews>
    <sheetView topLeftCell="A4" workbookViewId="0">
      <selection activeCell="G13" sqref="G13"/>
    </sheetView>
  </sheetViews>
  <sheetFormatPr defaultRowHeight="15" x14ac:dyDescent="0.25"/>
  <cols>
    <col min="1" max="1" width="15.42578125" customWidth="1"/>
    <col min="2" max="2" width="167.42578125" customWidth="1"/>
    <col min="3" max="3" width="15.7109375" customWidth="1"/>
    <col min="4" max="6" width="9.5703125" bestFit="1" customWidth="1"/>
    <col min="7" max="7" width="10.5703125" bestFit="1" customWidth="1"/>
    <col min="9" max="9" width="9.5703125" bestFit="1" customWidth="1"/>
  </cols>
  <sheetData>
    <row r="1" spans="1:9" x14ac:dyDescent="0.25">
      <c r="A1" s="27" t="s">
        <v>16</v>
      </c>
      <c r="D1" t="s">
        <v>117</v>
      </c>
    </row>
    <row r="2" spans="1:9" x14ac:dyDescent="0.25">
      <c r="A2" t="s">
        <v>17</v>
      </c>
      <c r="B2">
        <f>299+179+72+144+6</f>
        <v>700</v>
      </c>
      <c r="C2" t="s">
        <v>112</v>
      </c>
      <c r="D2" s="27">
        <v>872</v>
      </c>
    </row>
    <row r="3" spans="1:9" x14ac:dyDescent="0.25">
      <c r="A3" t="s">
        <v>18</v>
      </c>
      <c r="B3">
        <v>262</v>
      </c>
      <c r="C3" t="s">
        <v>110</v>
      </c>
      <c r="D3" s="27">
        <v>254</v>
      </c>
    </row>
    <row r="4" spans="1:9" x14ac:dyDescent="0.25">
      <c r="A4" t="s">
        <v>19</v>
      </c>
      <c r="B4">
        <v>519</v>
      </c>
      <c r="C4" t="s">
        <v>111</v>
      </c>
      <c r="D4" s="27">
        <v>705</v>
      </c>
    </row>
    <row r="5" spans="1:9" x14ac:dyDescent="0.25">
      <c r="B5">
        <f>SUM(B2:B4)</f>
        <v>1481</v>
      </c>
      <c r="D5">
        <f>SUM(D2:D4)</f>
        <v>1831</v>
      </c>
    </row>
    <row r="8" spans="1:9" x14ac:dyDescent="0.25">
      <c r="A8" t="s">
        <v>143</v>
      </c>
      <c r="D8" s="29"/>
    </row>
    <row r="9" spans="1:9" x14ac:dyDescent="0.25">
      <c r="A9" s="45" t="s">
        <v>15</v>
      </c>
      <c r="B9" s="45" t="s">
        <v>113</v>
      </c>
      <c r="C9" s="45" t="s">
        <v>114</v>
      </c>
      <c r="D9" s="45" t="s">
        <v>43</v>
      </c>
      <c r="E9" s="45" t="s">
        <v>46</v>
      </c>
      <c r="F9" s="45" t="s">
        <v>44</v>
      </c>
      <c r="G9" s="45" t="s">
        <v>45</v>
      </c>
      <c r="H9" s="49" t="s">
        <v>99</v>
      </c>
    </row>
    <row r="10" spans="1:9" x14ac:dyDescent="0.25">
      <c r="A10" s="46">
        <v>612</v>
      </c>
      <c r="B10" s="47" t="s">
        <v>2</v>
      </c>
      <c r="C10" s="47" t="s">
        <v>47</v>
      </c>
      <c r="D10" s="46">
        <v>1057</v>
      </c>
      <c r="E10" s="46">
        <v>519</v>
      </c>
      <c r="F10" s="46">
        <v>86</v>
      </c>
      <c r="G10" s="46">
        <v>289</v>
      </c>
      <c r="H10" s="43">
        <f>SUM(D10:G10)</f>
        <v>1951</v>
      </c>
      <c r="I10" s="53">
        <v>1831</v>
      </c>
    </row>
    <row r="11" spans="1:9" x14ac:dyDescent="0.25">
      <c r="A11" s="46">
        <v>612</v>
      </c>
      <c r="B11" s="47" t="s">
        <v>2</v>
      </c>
      <c r="C11" s="47" t="s">
        <v>48</v>
      </c>
      <c r="D11" s="46">
        <v>1658</v>
      </c>
      <c r="E11" s="46">
        <v>1633</v>
      </c>
      <c r="F11" s="46">
        <v>3670</v>
      </c>
      <c r="G11" s="46">
        <v>10242</v>
      </c>
      <c r="H11" s="43">
        <f>SUM(D11:G11)</f>
        <v>17203</v>
      </c>
    </row>
    <row r="12" spans="1:9" x14ac:dyDescent="0.25">
      <c r="C12" s="28" t="s">
        <v>102</v>
      </c>
      <c r="D12" s="43">
        <f>SUM(D10:D11)</f>
        <v>2715</v>
      </c>
      <c r="E12" s="43">
        <f>SUM(E10:E11)</f>
        <v>2152</v>
      </c>
      <c r="F12" s="43">
        <f>SUM(F10:F11)</f>
        <v>3756</v>
      </c>
      <c r="G12" s="43">
        <f>SUM(G10:G11)</f>
        <v>10531</v>
      </c>
      <c r="H12" s="43">
        <f>SUM(H10:H11)</f>
        <v>19154</v>
      </c>
    </row>
    <row r="13" spans="1:9" x14ac:dyDescent="0.25">
      <c r="C13" s="48" t="s">
        <v>100</v>
      </c>
      <c r="D13" s="44">
        <f>D10/$H10</f>
        <v>0.54177344951307027</v>
      </c>
      <c r="E13" s="44">
        <f t="shared" ref="E13:H13" si="0">E10/$H10</f>
        <v>0.26601742696053304</v>
      </c>
      <c r="F13" s="44">
        <f t="shared" si="0"/>
        <v>4.4079958995386984E-2</v>
      </c>
      <c r="G13" s="44">
        <f t="shared" si="0"/>
        <v>0.14812916453100974</v>
      </c>
      <c r="H13" s="44">
        <f t="shared" si="0"/>
        <v>1</v>
      </c>
    </row>
    <row r="14" spans="1:9" x14ac:dyDescent="0.25">
      <c r="C14" s="48" t="s">
        <v>101</v>
      </c>
      <c r="D14" s="44">
        <f t="shared" ref="D14:H14" si="1">D11/$H11</f>
        <v>9.6378538626983659E-2</v>
      </c>
      <c r="E14" s="44">
        <f t="shared" si="1"/>
        <v>9.4925303726094284E-2</v>
      </c>
      <c r="F14" s="44">
        <f t="shared" si="1"/>
        <v>0.21333488345056095</v>
      </c>
      <c r="G14" s="44">
        <f t="shared" si="1"/>
        <v>0.59536127419636109</v>
      </c>
      <c r="H14" s="44">
        <f t="shared" si="1"/>
        <v>1</v>
      </c>
    </row>
    <row r="15" spans="1:9" x14ac:dyDescent="0.25">
      <c r="C15" s="28" t="s">
        <v>102</v>
      </c>
      <c r="D15" s="44">
        <f t="shared" ref="D15:H15" si="2">D12/$H12</f>
        <v>0.14174584943092827</v>
      </c>
      <c r="E15" s="44">
        <f t="shared" si="2"/>
        <v>0.11235251122480944</v>
      </c>
      <c r="F15" s="44">
        <f t="shared" si="2"/>
        <v>0.19609481048344993</v>
      </c>
      <c r="G15" s="44">
        <f t="shared" si="2"/>
        <v>0.54980682886081234</v>
      </c>
      <c r="H15" s="44">
        <f t="shared" si="2"/>
        <v>1</v>
      </c>
    </row>
    <row r="18" spans="1:9" x14ac:dyDescent="0.25">
      <c r="A18" t="s">
        <v>116</v>
      </c>
    </row>
    <row r="19" spans="1:9" ht="75.75" customHeight="1" x14ac:dyDescent="0.25">
      <c r="A19" s="84" t="s">
        <v>115</v>
      </c>
      <c r="B19" s="84"/>
      <c r="C19" s="84"/>
    </row>
    <row r="20" spans="1:9" x14ac:dyDescent="0.25">
      <c r="A20" s="84" t="s">
        <v>118</v>
      </c>
      <c r="B20" s="84"/>
      <c r="C20" s="84"/>
      <c r="D20" s="27">
        <v>6498</v>
      </c>
    </row>
    <row r="21" spans="1:9" x14ac:dyDescent="0.25">
      <c r="A21" s="33"/>
      <c r="B21" s="33"/>
      <c r="C21" s="33"/>
    </row>
    <row r="22" spans="1:9" x14ac:dyDescent="0.25">
      <c r="A22" s="85" t="s">
        <v>119</v>
      </c>
      <c r="B22" s="85"/>
      <c r="C22" s="85"/>
    </row>
    <row r="23" spans="1:9" x14ac:dyDescent="0.25">
      <c r="A23" s="45" t="s">
        <v>15</v>
      </c>
      <c r="B23" s="45" t="s">
        <v>113</v>
      </c>
      <c r="C23" s="45" t="s">
        <v>121</v>
      </c>
      <c r="D23" s="45" t="s">
        <v>43</v>
      </c>
      <c r="E23" s="45" t="s">
        <v>46</v>
      </c>
      <c r="F23" s="45" t="s">
        <v>44</v>
      </c>
      <c r="G23" s="45" t="s">
        <v>45</v>
      </c>
      <c r="H23" s="43">
        <f>SUM(D23:G23)</f>
        <v>0</v>
      </c>
    </row>
    <row r="24" spans="1:9" x14ac:dyDescent="0.25">
      <c r="A24" s="46">
        <v>402</v>
      </c>
      <c r="B24" s="47" t="s">
        <v>12</v>
      </c>
      <c r="C24" s="47" t="s">
        <v>47</v>
      </c>
      <c r="D24" s="46">
        <v>5394</v>
      </c>
      <c r="E24" s="46">
        <v>734</v>
      </c>
      <c r="F24" s="46">
        <v>145</v>
      </c>
      <c r="G24" s="46">
        <v>56</v>
      </c>
      <c r="H24" s="43">
        <f>SUM(D24:G24)</f>
        <v>6329</v>
      </c>
      <c r="I24" s="50">
        <v>6498</v>
      </c>
    </row>
    <row r="25" spans="1:9" x14ac:dyDescent="0.25">
      <c r="A25" s="46">
        <v>402</v>
      </c>
      <c r="B25" s="47" t="s">
        <v>12</v>
      </c>
      <c r="C25" s="47" t="s">
        <v>48</v>
      </c>
      <c r="D25" s="46">
        <v>8826</v>
      </c>
      <c r="E25" s="46">
        <v>4050</v>
      </c>
      <c r="F25" s="46">
        <v>3864</v>
      </c>
      <c r="G25" s="46">
        <v>4423</v>
      </c>
      <c r="H25" s="43">
        <f>SUM(D25:G25)</f>
        <v>21163</v>
      </c>
    </row>
    <row r="26" spans="1:9" x14ac:dyDescent="0.25">
      <c r="C26" s="28" t="s">
        <v>102</v>
      </c>
      <c r="D26" s="43">
        <f>SUM(D24:D25)</f>
        <v>14220</v>
      </c>
      <c r="E26" s="43">
        <f>SUM(E24:E25)</f>
        <v>4784</v>
      </c>
      <c r="F26" s="43">
        <f>SUM(F24:F25)</f>
        <v>4009</v>
      </c>
      <c r="G26" s="43">
        <f>SUM(G24:G25)</f>
        <v>4479</v>
      </c>
      <c r="H26" s="43">
        <f>SUM(H24:H25)</f>
        <v>27492</v>
      </c>
    </row>
    <row r="27" spans="1:9" x14ac:dyDescent="0.25">
      <c r="C27" s="48" t="s">
        <v>100</v>
      </c>
      <c r="D27" s="44">
        <f t="shared" ref="D27:G28" si="3">D24/$H24</f>
        <v>0.85226734081213462</v>
      </c>
      <c r="E27" s="44">
        <f t="shared" si="3"/>
        <v>0.1159740875335756</v>
      </c>
      <c r="F27" s="44">
        <f t="shared" si="3"/>
        <v>2.2910412387422974E-2</v>
      </c>
      <c r="G27" s="44">
        <f t="shared" si="3"/>
        <v>8.8481592668668042E-3</v>
      </c>
      <c r="H27" s="44">
        <f t="shared" ref="H27" si="4">H24/$H24</f>
        <v>1</v>
      </c>
    </row>
    <row r="28" spans="1:9" x14ac:dyDescent="0.25">
      <c r="C28" s="48" t="s">
        <v>101</v>
      </c>
      <c r="D28" s="44">
        <f t="shared" si="3"/>
        <v>0.41704862259604025</v>
      </c>
      <c r="E28" s="44">
        <f t="shared" si="3"/>
        <v>0.19137173368615035</v>
      </c>
      <c r="F28" s="44">
        <f t="shared" si="3"/>
        <v>0.1825828096205642</v>
      </c>
      <c r="G28" s="44">
        <f t="shared" si="3"/>
        <v>0.2089968340972452</v>
      </c>
      <c r="H28" s="44">
        <f t="shared" ref="H28" si="5">H25/$H25</f>
        <v>1</v>
      </c>
    </row>
    <row r="29" spans="1:9" x14ac:dyDescent="0.25">
      <c r="C29" s="28" t="s">
        <v>102</v>
      </c>
      <c r="D29" s="44">
        <f t="shared" ref="D29:H29" si="6">D26/$H26</f>
        <v>0.51724137931034486</v>
      </c>
      <c r="E29" s="44">
        <f t="shared" si="6"/>
        <v>0.17401425869343809</v>
      </c>
      <c r="F29" s="44">
        <f t="shared" si="6"/>
        <v>0.14582423977884476</v>
      </c>
      <c r="G29" s="44">
        <f t="shared" si="6"/>
        <v>0.16292012221737232</v>
      </c>
      <c r="H29" s="44">
        <f t="shared" si="6"/>
        <v>1</v>
      </c>
    </row>
    <row r="31" spans="1:9" x14ac:dyDescent="0.25">
      <c r="A31" t="s">
        <v>120</v>
      </c>
    </row>
    <row r="32" spans="1:9" x14ac:dyDescent="0.25">
      <c r="A32" s="45" t="s">
        <v>15</v>
      </c>
      <c r="B32" s="45" t="s">
        <v>113</v>
      </c>
      <c r="C32" s="45" t="s">
        <v>122</v>
      </c>
      <c r="D32" s="45" t="s">
        <v>43</v>
      </c>
      <c r="E32" s="45" t="s">
        <v>46</v>
      </c>
      <c r="F32" s="45" t="s">
        <v>44</v>
      </c>
      <c r="G32" s="45" t="s">
        <v>45</v>
      </c>
    </row>
    <row r="33" spans="1:9" x14ac:dyDescent="0.25">
      <c r="A33" s="46">
        <v>402</v>
      </c>
      <c r="B33" s="47" t="s">
        <v>12</v>
      </c>
      <c r="C33" s="47" t="s">
        <v>47</v>
      </c>
      <c r="D33" s="46">
        <v>7218</v>
      </c>
      <c r="E33" s="46">
        <v>1787</v>
      </c>
      <c r="F33" s="46">
        <v>199</v>
      </c>
      <c r="G33" s="46">
        <v>56</v>
      </c>
      <c r="H33" s="43">
        <f>SUM(D33:G33)</f>
        <v>9260</v>
      </c>
      <c r="I33">
        <f>6498+2733+240</f>
        <v>9471</v>
      </c>
    </row>
    <row r="34" spans="1:9" x14ac:dyDescent="0.25">
      <c r="A34" s="46">
        <v>402</v>
      </c>
      <c r="B34" s="47" t="s">
        <v>12</v>
      </c>
      <c r="C34" s="47" t="s">
        <v>48</v>
      </c>
      <c r="D34" s="46">
        <v>7002</v>
      </c>
      <c r="E34" s="46">
        <v>2997</v>
      </c>
      <c r="F34" s="46">
        <v>3810</v>
      </c>
      <c r="G34" s="46">
        <v>4423</v>
      </c>
      <c r="H34" s="43">
        <f>SUM(D34:G34)</f>
        <v>18232</v>
      </c>
    </row>
    <row r="35" spans="1:9" x14ac:dyDescent="0.25">
      <c r="C35" s="28" t="s">
        <v>102</v>
      </c>
      <c r="D35" s="43">
        <f>SUM(D33:D34)</f>
        <v>14220</v>
      </c>
      <c r="E35" s="43">
        <f>SUM(E33:E34)</f>
        <v>4784</v>
      </c>
      <c r="F35" s="43">
        <f>SUM(F33:F34)</f>
        <v>4009</v>
      </c>
      <c r="G35" s="43">
        <f>SUM(G33:G34)</f>
        <v>4479</v>
      </c>
      <c r="H35" s="43">
        <f>SUM(H33:H34)</f>
        <v>27492</v>
      </c>
    </row>
    <row r="36" spans="1:9" x14ac:dyDescent="0.25">
      <c r="C36" s="48" t="s">
        <v>100</v>
      </c>
      <c r="D36" s="44">
        <f t="shared" ref="D36:H37" si="7">D33/$H33</f>
        <v>0.77948164146868248</v>
      </c>
      <c r="E36" s="44">
        <f t="shared" si="7"/>
        <v>0.19298056155507559</v>
      </c>
      <c r="F36" s="44">
        <f t="shared" si="7"/>
        <v>2.1490280777537799E-2</v>
      </c>
      <c r="G36" s="44">
        <f t="shared" si="7"/>
        <v>6.0475161987041037E-3</v>
      </c>
      <c r="H36" s="44">
        <f t="shared" si="7"/>
        <v>1</v>
      </c>
    </row>
    <row r="37" spans="1:9" x14ac:dyDescent="0.25">
      <c r="C37" s="48" t="s">
        <v>101</v>
      </c>
      <c r="D37" s="44">
        <f t="shared" ref="D37:G37" si="8">D34/$H34</f>
        <v>0.38405002193944715</v>
      </c>
      <c r="E37" s="44">
        <f t="shared" si="8"/>
        <v>0.16438130759104871</v>
      </c>
      <c r="F37" s="44">
        <f t="shared" si="8"/>
        <v>0.20897323387450636</v>
      </c>
      <c r="G37" s="44">
        <f t="shared" si="8"/>
        <v>0.2425954365949978</v>
      </c>
      <c r="H37" s="44">
        <f t="shared" si="7"/>
        <v>1</v>
      </c>
    </row>
    <row r="38" spans="1:9" x14ac:dyDescent="0.25">
      <c r="C38" s="28" t="s">
        <v>102</v>
      </c>
      <c r="D38" s="44">
        <f t="shared" ref="D38:H38" si="9">D35/$H35</f>
        <v>0.51724137931034486</v>
      </c>
      <c r="E38" s="44">
        <f t="shared" si="9"/>
        <v>0.17401425869343809</v>
      </c>
      <c r="F38" s="44">
        <f t="shared" si="9"/>
        <v>0.14582423977884476</v>
      </c>
      <c r="G38" s="44">
        <f t="shared" si="9"/>
        <v>0.16292012221737232</v>
      </c>
      <c r="H38" s="44">
        <f t="shared" si="9"/>
        <v>1</v>
      </c>
    </row>
    <row r="39" spans="1:9" x14ac:dyDescent="0.25">
      <c r="D39" s="58"/>
      <c r="E39" s="58"/>
      <c r="F39" s="58"/>
      <c r="G39" s="58"/>
      <c r="H39" s="58"/>
    </row>
    <row r="40" spans="1:9" x14ac:dyDescent="0.25">
      <c r="D40" s="58"/>
      <c r="E40" s="58"/>
      <c r="F40" s="58"/>
      <c r="G40" s="58"/>
      <c r="H40" s="58"/>
    </row>
    <row r="41" spans="1:9" x14ac:dyDescent="0.25">
      <c r="D41" s="58"/>
      <c r="E41" s="58"/>
      <c r="F41" s="58"/>
      <c r="G41" s="58"/>
      <c r="H41" s="58"/>
    </row>
    <row r="42" spans="1:9" x14ac:dyDescent="0.25">
      <c r="D42" s="58"/>
      <c r="E42" s="58"/>
      <c r="F42" s="58"/>
      <c r="G42" s="58"/>
      <c r="H42" s="58"/>
    </row>
    <row r="43" spans="1:9" x14ac:dyDescent="0.25">
      <c r="D43" s="58"/>
      <c r="E43" s="58"/>
      <c r="F43" s="58"/>
      <c r="G43" s="58"/>
      <c r="H43" s="58"/>
    </row>
    <row r="44" spans="1:9" x14ac:dyDescent="0.25">
      <c r="D44" s="58"/>
      <c r="E44" s="58"/>
      <c r="F44" s="58"/>
      <c r="G44" s="58"/>
      <c r="H44" s="58"/>
    </row>
    <row r="45" spans="1:9" x14ac:dyDescent="0.25">
      <c r="D45" s="58"/>
      <c r="E45" s="58"/>
      <c r="F45" s="58"/>
      <c r="G45" s="58"/>
      <c r="H45" s="58"/>
    </row>
    <row r="46" spans="1:9" x14ac:dyDescent="0.25">
      <c r="D46" s="58"/>
      <c r="E46" s="58"/>
      <c r="F46" s="58"/>
      <c r="G46" s="58"/>
      <c r="H46" s="58"/>
    </row>
    <row r="47" spans="1:9" x14ac:dyDescent="0.25">
      <c r="D47" s="58"/>
      <c r="E47" s="58"/>
      <c r="F47" s="58"/>
      <c r="G47" s="58"/>
      <c r="H47" s="58"/>
    </row>
  </sheetData>
  <mergeCells count="3">
    <mergeCell ref="A19:C19"/>
    <mergeCell ref="A20:C20"/>
    <mergeCell ref="A22:C22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C245BD-76D4-420F-9745-495D264BA4A5}">
  <dimension ref="A2:CG18"/>
  <sheetViews>
    <sheetView workbookViewId="0">
      <selection activeCell="A12" sqref="A12"/>
    </sheetView>
  </sheetViews>
  <sheetFormatPr defaultRowHeight="15" x14ac:dyDescent="0.25"/>
  <cols>
    <col min="1" max="1" width="26" customWidth="1"/>
    <col min="2" max="2" width="14.5703125" customWidth="1"/>
    <col min="3" max="3" width="28.28515625" customWidth="1"/>
    <col min="4" max="7" width="10.5703125" bestFit="1" customWidth="1"/>
    <col min="8" max="8" width="11.5703125" bestFit="1" customWidth="1"/>
  </cols>
  <sheetData>
    <row r="2" spans="1:85" x14ac:dyDescent="0.25">
      <c r="A2">
        <v>34301</v>
      </c>
      <c r="B2" t="s">
        <v>144</v>
      </c>
    </row>
    <row r="4" spans="1:85" x14ac:dyDescent="0.25">
      <c r="C4" t="s">
        <v>146</v>
      </c>
    </row>
    <row r="5" spans="1:85" x14ac:dyDescent="0.25">
      <c r="C5" s="54" t="s">
        <v>239</v>
      </c>
      <c r="D5" s="54" t="s">
        <v>43</v>
      </c>
      <c r="E5" s="54" t="s">
        <v>46</v>
      </c>
      <c r="F5" s="54" t="s">
        <v>44</v>
      </c>
      <c r="G5" s="54" t="s">
        <v>45</v>
      </c>
      <c r="H5" s="56" t="s">
        <v>147</v>
      </c>
      <c r="J5" s="16" t="s">
        <v>104</v>
      </c>
    </row>
    <row r="6" spans="1:85" x14ac:dyDescent="0.25">
      <c r="C6" s="11" t="s">
        <v>145</v>
      </c>
      <c r="D6" s="12">
        <v>27442</v>
      </c>
      <c r="E6" s="12">
        <v>3411</v>
      </c>
      <c r="F6" s="12">
        <v>2007</v>
      </c>
      <c r="G6" s="12">
        <v>1458</v>
      </c>
      <c r="H6" s="34">
        <f>SUM(D6:G6)</f>
        <v>34318</v>
      </c>
      <c r="J6" s="16" t="s">
        <v>237</v>
      </c>
    </row>
    <row r="7" spans="1:85" x14ac:dyDescent="0.25">
      <c r="C7" s="11" t="s">
        <v>48</v>
      </c>
      <c r="D7" s="12">
        <v>33040</v>
      </c>
      <c r="E7" s="12">
        <v>18292</v>
      </c>
      <c r="F7" s="12">
        <v>25799</v>
      </c>
      <c r="G7" s="12">
        <v>65242</v>
      </c>
      <c r="H7" s="34">
        <f>SUM(D7:G7)</f>
        <v>142373</v>
      </c>
      <c r="J7" s="16" t="s">
        <v>106</v>
      </c>
    </row>
    <row r="8" spans="1:85" x14ac:dyDescent="0.25">
      <c r="C8" s="63" t="s">
        <v>102</v>
      </c>
      <c r="D8" s="34">
        <f>SUM(D6:D7)</f>
        <v>60482</v>
      </c>
      <c r="E8" s="34">
        <f>SUM(E6:E7)</f>
        <v>21703</v>
      </c>
      <c r="F8" s="34">
        <f>SUM(F6:F7)</f>
        <v>27806</v>
      </c>
      <c r="G8" s="34">
        <f>SUM(G6:G7)</f>
        <v>66700</v>
      </c>
      <c r="H8" s="34">
        <f>SUM(H6:H7)</f>
        <v>176691</v>
      </c>
      <c r="J8" s="16" t="s">
        <v>236</v>
      </c>
    </row>
    <row r="9" spans="1:85" x14ac:dyDescent="0.25">
      <c r="C9" s="48" t="s">
        <v>100</v>
      </c>
      <c r="D9" s="44">
        <f>D6/$H6</f>
        <v>0.79963867358237661</v>
      </c>
      <c r="E9" s="44">
        <f t="shared" ref="E9:H9" si="0">E6/$H6</f>
        <v>9.9393904073663969E-2</v>
      </c>
      <c r="F9" s="44">
        <f t="shared" si="0"/>
        <v>5.84824290459817E-2</v>
      </c>
      <c r="G9" s="57">
        <f t="shared" si="0"/>
        <v>4.2484993297977738E-2</v>
      </c>
      <c r="H9" s="44">
        <f t="shared" si="0"/>
        <v>1</v>
      </c>
      <c r="J9" s="16" t="s">
        <v>238</v>
      </c>
    </row>
    <row r="10" spans="1:85" x14ac:dyDescent="0.25">
      <c r="C10" s="48" t="s">
        <v>101</v>
      </c>
      <c r="D10" s="44">
        <f t="shared" ref="D10:H11" si="1">D7/$H7</f>
        <v>0.23206647327793894</v>
      </c>
      <c r="E10" s="44">
        <f t="shared" si="1"/>
        <v>0.12847941674334318</v>
      </c>
      <c r="F10" s="44">
        <f t="shared" si="1"/>
        <v>0.18120711089883615</v>
      </c>
      <c r="G10" s="44">
        <f t="shared" si="1"/>
        <v>0.4582469990798817</v>
      </c>
      <c r="H10" s="44">
        <f t="shared" si="1"/>
        <v>1</v>
      </c>
      <c r="J10" s="16" t="s">
        <v>109</v>
      </c>
    </row>
    <row r="11" spans="1:85" x14ac:dyDescent="0.25">
      <c r="C11" s="28" t="s">
        <v>102</v>
      </c>
      <c r="D11" s="44">
        <f t="shared" si="1"/>
        <v>0.3423037958922639</v>
      </c>
      <c r="E11" s="44">
        <f t="shared" si="1"/>
        <v>0.12283025168231546</v>
      </c>
      <c r="F11" s="44">
        <f t="shared" si="1"/>
        <v>0.15737077723256984</v>
      </c>
      <c r="G11" s="44">
        <f t="shared" si="1"/>
        <v>0.37749517519285081</v>
      </c>
      <c r="H11" s="44">
        <f t="shared" si="1"/>
        <v>1</v>
      </c>
    </row>
    <row r="12" spans="1:85" x14ac:dyDescent="0.25">
      <c r="A12" s="27" t="s">
        <v>243</v>
      </c>
    </row>
    <row r="13" spans="1:85" x14ac:dyDescent="0.25">
      <c r="A13" s="54" t="s">
        <v>242</v>
      </c>
      <c r="B13" s="54" t="s">
        <v>153</v>
      </c>
      <c r="C13" s="54" t="s">
        <v>154</v>
      </c>
      <c r="D13" s="54" t="s">
        <v>155</v>
      </c>
      <c r="E13" s="54" t="s">
        <v>156</v>
      </c>
      <c r="F13" s="54" t="s">
        <v>157</v>
      </c>
      <c r="G13" s="54" t="s">
        <v>158</v>
      </c>
      <c r="H13" s="54" t="s">
        <v>159</v>
      </c>
      <c r="I13" s="54" t="s">
        <v>160</v>
      </c>
      <c r="J13" s="54" t="s">
        <v>161</v>
      </c>
      <c r="K13" s="54" t="s">
        <v>162</v>
      </c>
      <c r="L13" s="54" t="s">
        <v>163</v>
      </c>
      <c r="M13" s="54" t="s">
        <v>164</v>
      </c>
      <c r="N13" s="54" t="s">
        <v>165</v>
      </c>
      <c r="O13" s="54" t="s">
        <v>166</v>
      </c>
      <c r="P13" s="54" t="s">
        <v>167</v>
      </c>
      <c r="Q13" s="54" t="s">
        <v>168</v>
      </c>
      <c r="R13" s="54" t="s">
        <v>169</v>
      </c>
      <c r="S13" s="54" t="s">
        <v>170</v>
      </c>
      <c r="T13" s="54" t="s">
        <v>171</v>
      </c>
      <c r="U13" s="54" t="s">
        <v>172</v>
      </c>
      <c r="V13" s="54" t="s">
        <v>173</v>
      </c>
      <c r="W13" s="54" t="s">
        <v>174</v>
      </c>
      <c r="X13" s="54" t="s">
        <v>175</v>
      </c>
      <c r="Y13" s="54" t="s">
        <v>176</v>
      </c>
      <c r="Z13" s="54" t="s">
        <v>177</v>
      </c>
      <c r="AA13" s="54" t="s">
        <v>178</v>
      </c>
      <c r="AB13" s="54" t="s">
        <v>179</v>
      </c>
      <c r="AC13" s="54" t="s">
        <v>180</v>
      </c>
      <c r="AD13" s="54" t="s">
        <v>181</v>
      </c>
      <c r="AE13" s="54" t="s">
        <v>182</v>
      </c>
      <c r="AF13" s="54" t="s">
        <v>183</v>
      </c>
      <c r="AG13" s="54" t="s">
        <v>184</v>
      </c>
      <c r="AH13" s="54" t="s">
        <v>185</v>
      </c>
      <c r="AI13" s="54" t="s">
        <v>186</v>
      </c>
      <c r="AJ13" s="54" t="s">
        <v>187</v>
      </c>
      <c r="AK13" s="54" t="s">
        <v>188</v>
      </c>
      <c r="AL13" s="54" t="s">
        <v>189</v>
      </c>
      <c r="AM13" s="54" t="s">
        <v>190</v>
      </c>
      <c r="AN13" s="54" t="s">
        <v>191</v>
      </c>
      <c r="AO13" s="54" t="s">
        <v>192</v>
      </c>
      <c r="AP13" s="54" t="s">
        <v>193</v>
      </c>
      <c r="AQ13" s="54" t="s">
        <v>194</v>
      </c>
      <c r="AR13" s="54" t="s">
        <v>195</v>
      </c>
      <c r="AS13" s="54" t="s">
        <v>196</v>
      </c>
      <c r="AT13" s="54" t="s">
        <v>197</v>
      </c>
      <c r="AU13" s="54" t="s">
        <v>198</v>
      </c>
      <c r="AV13" s="54" t="s">
        <v>199</v>
      </c>
      <c r="AW13" s="54" t="s">
        <v>200</v>
      </c>
      <c r="AX13" s="54" t="s">
        <v>201</v>
      </c>
      <c r="AY13" s="54" t="s">
        <v>202</v>
      </c>
      <c r="AZ13" s="54" t="s">
        <v>203</v>
      </c>
      <c r="BA13" s="54" t="s">
        <v>204</v>
      </c>
      <c r="BB13" s="54" t="s">
        <v>205</v>
      </c>
      <c r="BC13" s="54" t="s">
        <v>206</v>
      </c>
      <c r="BD13" s="54" t="s">
        <v>207</v>
      </c>
      <c r="BE13" s="54" t="s">
        <v>208</v>
      </c>
      <c r="BF13" s="54" t="s">
        <v>209</v>
      </c>
      <c r="BG13" s="54" t="s">
        <v>210</v>
      </c>
      <c r="BH13" s="54" t="s">
        <v>211</v>
      </c>
      <c r="BI13" s="54" t="s">
        <v>212</v>
      </c>
      <c r="BJ13" s="54" t="s">
        <v>213</v>
      </c>
      <c r="BK13" s="54" t="s">
        <v>214</v>
      </c>
      <c r="BL13" s="54" t="s">
        <v>215</v>
      </c>
      <c r="BM13" s="54" t="s">
        <v>216</v>
      </c>
      <c r="BN13" s="54" t="s">
        <v>217</v>
      </c>
      <c r="BO13" s="54" t="s">
        <v>218</v>
      </c>
      <c r="BP13" s="54" t="s">
        <v>219</v>
      </c>
      <c r="BQ13" s="54" t="s">
        <v>220</v>
      </c>
      <c r="BR13" s="54" t="s">
        <v>221</v>
      </c>
      <c r="BS13" s="54" t="s">
        <v>222</v>
      </c>
      <c r="BT13" s="54" t="s">
        <v>223</v>
      </c>
      <c r="BU13" s="54" t="s">
        <v>224</v>
      </c>
      <c r="BV13" s="54" t="s">
        <v>225</v>
      </c>
      <c r="BW13" s="54" t="s">
        <v>226</v>
      </c>
      <c r="BX13" s="54" t="s">
        <v>227</v>
      </c>
      <c r="BY13" s="54" t="s">
        <v>228</v>
      </c>
      <c r="BZ13" s="54" t="s">
        <v>229</v>
      </c>
      <c r="CA13" s="54" t="s">
        <v>230</v>
      </c>
      <c r="CB13" s="54" t="s">
        <v>231</v>
      </c>
      <c r="CC13" s="54" t="s">
        <v>232</v>
      </c>
      <c r="CD13" s="54" t="s">
        <v>43</v>
      </c>
      <c r="CE13" s="54" t="s">
        <v>46</v>
      </c>
      <c r="CF13" s="54" t="s">
        <v>44</v>
      </c>
      <c r="CG13" s="54" t="s">
        <v>45</v>
      </c>
    </row>
    <row r="14" spans="1:85" x14ac:dyDescent="0.25">
      <c r="A14" s="55">
        <v>4.251224632610217E-2</v>
      </c>
      <c r="B14" s="55">
        <v>4.3844358436493633E-2</v>
      </c>
      <c r="C14" s="55">
        <v>4.3060808844922895E-2</v>
      </c>
      <c r="D14" s="55">
        <v>4.1792678360551859E-2</v>
      </c>
      <c r="E14" s="55">
        <v>4.1558365701936273E-2</v>
      </c>
      <c r="F14" s="55">
        <v>4.4579593764761456E-2</v>
      </c>
      <c r="G14" s="55">
        <v>4.1466797665144772E-2</v>
      </c>
      <c r="H14" s="55">
        <v>3.9205266731615153E-2</v>
      </c>
      <c r="I14" s="55">
        <v>4.5692732926407922E-2</v>
      </c>
      <c r="J14" s="55">
        <v>4.1253683364586125E-2</v>
      </c>
      <c r="K14" s="55">
        <v>4.5898126429791797E-2</v>
      </c>
      <c r="L14" s="55">
        <v>4.6860438024231128E-2</v>
      </c>
      <c r="M14" s="55">
        <v>4.4411237298266584E-2</v>
      </c>
      <c r="N14" s="55">
        <v>4.5384499169058769E-2</v>
      </c>
      <c r="O14" s="55">
        <v>4.6334395827296433E-2</v>
      </c>
      <c r="P14" s="55">
        <v>3.9276953626912747E-2</v>
      </c>
      <c r="Q14" s="55">
        <v>4.3354594035511118E-2</v>
      </c>
      <c r="R14" s="55">
        <v>3.9750745695638051E-2</v>
      </c>
      <c r="S14" s="55">
        <v>4.4206876625252814E-2</v>
      </c>
      <c r="T14" s="55">
        <v>4.4301075268817207E-2</v>
      </c>
      <c r="U14" s="55">
        <v>4.5037334356461942E-2</v>
      </c>
      <c r="V14" s="55">
        <v>4.1685065795283936E-2</v>
      </c>
      <c r="W14" s="55">
        <v>4.5381208014315472E-2</v>
      </c>
      <c r="X14" s="55">
        <v>4.3757855660460088E-2</v>
      </c>
      <c r="Y14" s="55">
        <v>4.3094179525179438E-2</v>
      </c>
      <c r="Z14" s="55">
        <v>4.2224686513691032E-2</v>
      </c>
      <c r="AA14" s="55">
        <v>3.9963066624347177E-2</v>
      </c>
      <c r="AB14" s="55">
        <v>3.8908659549228945E-2</v>
      </c>
      <c r="AC14" s="55">
        <v>3.8322591832605994E-2</v>
      </c>
      <c r="AD14" s="55">
        <v>4.4194514594467611E-2</v>
      </c>
      <c r="AE14" s="55">
        <v>4.1375308283766142E-2</v>
      </c>
      <c r="AF14" s="55">
        <v>3.9068779423584797E-2</v>
      </c>
      <c r="AG14" s="55">
        <v>4.6911231345502111E-2</v>
      </c>
      <c r="AH14" s="55">
        <v>3.7752440132485271E-2</v>
      </c>
      <c r="AI14" s="55">
        <v>4.7237744109683739E-2</v>
      </c>
      <c r="AJ14" s="55">
        <v>4.0940766550522645E-2</v>
      </c>
      <c r="AK14" s="55">
        <v>4.1146878362267006E-2</v>
      </c>
      <c r="AL14" s="55">
        <v>4.2604618655173419E-2</v>
      </c>
      <c r="AM14" s="55">
        <v>3.8665392301676947E-2</v>
      </c>
      <c r="AN14" s="55">
        <v>4.3545335467908598E-2</v>
      </c>
      <c r="AO14" s="55">
        <v>4.4944787035709165E-2</v>
      </c>
      <c r="AP14" s="55">
        <v>4.1148735533647667E-2</v>
      </c>
      <c r="AQ14" s="55">
        <v>3.5148355349872588E-2</v>
      </c>
      <c r="AR14" s="55">
        <v>4.5018428596501493E-2</v>
      </c>
      <c r="AS14" s="55">
        <v>4.3235909989087801E-2</v>
      </c>
      <c r="AT14" s="55">
        <v>4.6394367037622695E-2</v>
      </c>
      <c r="AU14" s="55">
        <v>4.2126230044296456E-2</v>
      </c>
      <c r="AV14" s="55">
        <v>4.4135723065488949E-2</v>
      </c>
      <c r="AW14" s="55">
        <v>4.4561249817491606E-2</v>
      </c>
      <c r="AX14" s="55">
        <v>3.9926611916826837E-2</v>
      </c>
      <c r="AY14" s="55">
        <v>3.9294097192036859E-2</v>
      </c>
      <c r="AZ14" s="55">
        <v>4.5820433436532505E-2</v>
      </c>
      <c r="BA14" s="55">
        <v>4.2834232395392913E-2</v>
      </c>
      <c r="BB14" s="55">
        <v>3.8523045290993201E-2</v>
      </c>
      <c r="BC14" s="55">
        <v>4.2628214316429207E-2</v>
      </c>
      <c r="BD14" s="55">
        <v>4.1114448960358131E-2</v>
      </c>
      <c r="BE14" s="55">
        <v>4.5250320924261872E-2</v>
      </c>
      <c r="BF14" s="55">
        <v>4.4587320574162682E-2</v>
      </c>
      <c r="BG14" s="55">
        <v>3.9342184844906543E-2</v>
      </c>
      <c r="BH14" s="55">
        <v>4.8273052637704775E-2</v>
      </c>
      <c r="BI14" s="55">
        <v>4.2258766903506759E-2</v>
      </c>
      <c r="BJ14" s="55">
        <v>3.7408072268226303E-2</v>
      </c>
      <c r="BK14" s="55">
        <v>4.6866453637331953E-2</v>
      </c>
      <c r="BL14" s="55">
        <v>4.3132971185640058E-2</v>
      </c>
      <c r="BM14" s="55">
        <v>4.1637406367041198E-2</v>
      </c>
      <c r="BN14" s="55">
        <v>4.373816287878788E-2</v>
      </c>
      <c r="BO14" s="55">
        <v>4.1879767367098225E-2</v>
      </c>
      <c r="BP14" s="55">
        <v>4.4381166048264156E-2</v>
      </c>
      <c r="BQ14" s="55">
        <v>4.4755286291280588E-2</v>
      </c>
      <c r="BR14" s="55">
        <v>4.5768641397056699E-2</v>
      </c>
      <c r="BS14" s="55">
        <v>4.606440071556351E-2</v>
      </c>
      <c r="BT14" s="55">
        <v>4.1788962831652669E-2</v>
      </c>
      <c r="BU14" s="55">
        <v>4.194183756227552E-2</v>
      </c>
      <c r="BV14" s="55">
        <v>4.0905008835713665E-2</v>
      </c>
      <c r="BW14" s="55">
        <v>3.7749556827758567E-2</v>
      </c>
      <c r="BX14" s="55">
        <v>4.3384596972054337E-2</v>
      </c>
      <c r="BY14" s="55">
        <v>4.7328653022370298E-2</v>
      </c>
      <c r="BZ14" s="55">
        <v>4.1143592894975566E-2</v>
      </c>
      <c r="CA14" s="55">
        <v>4.7628933242385596E-2</v>
      </c>
      <c r="CB14" s="55">
        <v>3.98859543817527E-2</v>
      </c>
      <c r="CC14" s="55">
        <v>4.344729344729345E-2</v>
      </c>
      <c r="CD14" s="55">
        <v>27442</v>
      </c>
      <c r="CE14" s="55">
        <v>3411</v>
      </c>
      <c r="CF14" s="55">
        <v>2007</v>
      </c>
      <c r="CG14" s="55">
        <v>1458</v>
      </c>
    </row>
    <row r="15" spans="1:85" x14ac:dyDescent="0.25">
      <c r="A15" s="7" t="s">
        <v>234</v>
      </c>
      <c r="B15" s="61" t="s">
        <v>233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</row>
    <row r="16" spans="1:85" x14ac:dyDescent="0.25">
      <c r="A16" s="60">
        <f>SUM(B16:CC16)</f>
        <v>6.2568870443655922E-4</v>
      </c>
      <c r="B16" s="60">
        <f>($A14-B14)^2</f>
        <v>1.7745226746515979E-6</v>
      </c>
      <c r="C16" s="60">
        <f t="shared" ref="C16:BN16" si="2">($A14-C14)^2</f>
        <v>3.0092083705493818E-7</v>
      </c>
      <c r="D16" s="60">
        <f t="shared" si="2"/>
        <v>5.1777805704621302E-7</v>
      </c>
      <c r="E16" s="60">
        <f t="shared" si="2"/>
        <v>9.0988824515912074E-7</v>
      </c>
      <c r="F16" s="60">
        <f t="shared" si="2"/>
        <v>4.2739254321311129E-6</v>
      </c>
      <c r="G16" s="60">
        <f t="shared" si="2"/>
        <v>1.0929629026976151E-6</v>
      </c>
      <c r="H16" s="60">
        <f t="shared" si="2"/>
        <v>1.0936114038353513E-5</v>
      </c>
      <c r="I16" s="60">
        <f t="shared" si="2"/>
        <v>1.0115495014724444E-5</v>
      </c>
      <c r="J16" s="60">
        <f t="shared" si="2"/>
        <v>1.5839807281000382E-6</v>
      </c>
      <c r="K16" s="60">
        <f t="shared" si="2"/>
        <v>1.1464184076561281E-5</v>
      </c>
      <c r="L16" s="60">
        <f t="shared" si="2"/>
        <v>1.8906771043677597E-5</v>
      </c>
      <c r="M16" s="60">
        <f t="shared" si="2"/>
        <v>3.6061667123619484E-6</v>
      </c>
      <c r="N16" s="60">
        <f t="shared" si="2"/>
        <v>8.2498363938722656E-6</v>
      </c>
      <c r="O16" s="60">
        <f t="shared" si="2"/>
        <v>1.4608826809479558E-5</v>
      </c>
      <c r="P16" s="60">
        <f t="shared" si="2"/>
        <v>1.0467118849428378E-5</v>
      </c>
      <c r="Q16" s="60">
        <f t="shared" si="2"/>
        <v>7.0954966354650237E-7</v>
      </c>
      <c r="R16" s="60">
        <f t="shared" si="2"/>
        <v>7.6258857320537235E-6</v>
      </c>
      <c r="S16" s="60">
        <f t="shared" si="2"/>
        <v>2.8717718507994021E-6</v>
      </c>
      <c r="T16" s="60">
        <f t="shared" si="2"/>
        <v>3.1999089862949981E-6</v>
      </c>
      <c r="U16" s="60">
        <f t="shared" si="2"/>
        <v>6.3760695610661929E-6</v>
      </c>
      <c r="V16" s="60">
        <f t="shared" si="2"/>
        <v>6.8422763056473435E-7</v>
      </c>
      <c r="W16" s="60">
        <f t="shared" si="2"/>
        <v>8.2309411684357202E-6</v>
      </c>
      <c r="X16" s="60">
        <f t="shared" si="2"/>
        <v>1.5515426138395757E-6</v>
      </c>
      <c r="Y16" s="60">
        <f t="shared" si="2"/>
        <v>3.386462481883036E-7</v>
      </c>
      <c r="Z16" s="60">
        <f t="shared" si="2"/>
        <v>8.2690645713928924E-8</v>
      </c>
      <c r="AA16" s="60">
        <f t="shared" si="2"/>
        <v>6.4983171518396749E-6</v>
      </c>
      <c r="AB16" s="60">
        <f t="shared" si="2"/>
        <v>1.2985837658455554E-5</v>
      </c>
      <c r="AC16" s="60">
        <f t="shared" si="2"/>
        <v>1.7553204774872693E-5</v>
      </c>
      <c r="AD16" s="60">
        <f t="shared" si="2"/>
        <v>2.8300265267492615E-6</v>
      </c>
      <c r="AE16" s="60">
        <f t="shared" si="2"/>
        <v>1.2926281121108788E-6</v>
      </c>
      <c r="AF16" s="60">
        <f t="shared" si="2"/>
        <v>1.1857464308732589E-5</v>
      </c>
      <c r="AG16" s="60">
        <f t="shared" si="2"/>
        <v>1.9351069200905099E-5</v>
      </c>
      <c r="AH16" s="60">
        <f t="shared" si="2"/>
        <v>2.265575500079379E-5</v>
      </c>
      <c r="AI16" s="60">
        <f t="shared" si="2"/>
        <v>2.233032930263433E-5</v>
      </c>
      <c r="AJ16" s="60">
        <f t="shared" si="2"/>
        <v>2.4695486850554736E-6</v>
      </c>
      <c r="AK16" s="60">
        <f t="shared" si="2"/>
        <v>1.864229676667381E-6</v>
      </c>
      <c r="AL16" s="60">
        <f t="shared" si="2"/>
        <v>8.532647178047243E-9</v>
      </c>
      <c r="AM16" s="60">
        <f t="shared" si="2"/>
        <v>1.4798285885236531E-5</v>
      </c>
      <c r="AN16" s="60">
        <f t="shared" si="2"/>
        <v>1.0672731749183432E-6</v>
      </c>
      <c r="AO16" s="60">
        <f t="shared" si="2"/>
        <v>5.9172543038953028E-6</v>
      </c>
      <c r="AP16" s="60">
        <f t="shared" si="2"/>
        <v>1.8591616811399071E-6</v>
      </c>
      <c r="AQ16" s="60">
        <f t="shared" si="2"/>
        <v>5.4226890309795457E-5</v>
      </c>
      <c r="AR16" s="60">
        <f t="shared" si="2"/>
        <v>6.2809495724639082E-6</v>
      </c>
      <c r="AS16" s="60">
        <f t="shared" si="2"/>
        <v>5.2368909712578101E-7</v>
      </c>
      <c r="AT16" s="60">
        <f t="shared" si="2"/>
        <v>1.5070861218816633E-5</v>
      </c>
      <c r="AU16" s="60">
        <f t="shared" si="2"/>
        <v>1.490085698191081E-7</v>
      </c>
      <c r="AV16" s="60">
        <f t="shared" si="2"/>
        <v>2.6356767233299299E-6</v>
      </c>
      <c r="AW16" s="60">
        <f t="shared" si="2"/>
        <v>4.1984153077261013E-6</v>
      </c>
      <c r="AX16" s="60">
        <f t="shared" si="2"/>
        <v>6.6855052984285963E-6</v>
      </c>
      <c r="AY16" s="60">
        <f t="shared" si="2"/>
        <v>1.0356483849085312E-5</v>
      </c>
      <c r="AZ16" s="60">
        <f t="shared" si="2"/>
        <v>1.0944101957617414E-5</v>
      </c>
      <c r="BA16" s="60">
        <f t="shared" si="2"/>
        <v>1.0367502881730321E-7</v>
      </c>
      <c r="BB16" s="60">
        <f t="shared" si="2"/>
        <v>1.591372489851447E-5</v>
      </c>
      <c r="BC16" s="60">
        <f t="shared" si="2"/>
        <v>1.3448574780491793E-8</v>
      </c>
      <c r="BD16" s="60">
        <f t="shared" si="2"/>
        <v>1.9538374756809733E-6</v>
      </c>
      <c r="BE16" s="60">
        <f t="shared" si="2"/>
        <v>7.4970525050874161E-6</v>
      </c>
      <c r="BF16" s="60">
        <f t="shared" si="2"/>
        <v>4.3059331349639022E-6</v>
      </c>
      <c r="BG16" s="60">
        <f t="shared" si="2"/>
        <v>1.0049289794560212E-5</v>
      </c>
      <c r="BH16" s="60">
        <f t="shared" si="2"/>
        <v>3.3186889359800408E-5</v>
      </c>
      <c r="BI16" s="60">
        <f t="shared" si="2"/>
        <v>6.4251817679302937E-8</v>
      </c>
      <c r="BJ16" s="60">
        <f t="shared" si="2"/>
        <v>2.6052592813092991E-5</v>
      </c>
      <c r="BK16" s="60">
        <f t="shared" si="2"/>
        <v>1.8959121309166904E-5</v>
      </c>
      <c r="BL16" s="60">
        <f t="shared" si="2"/>
        <v>3.8529935124833123E-7</v>
      </c>
      <c r="BM16" s="60">
        <f t="shared" si="2"/>
        <v>7.6534495396980277E-7</v>
      </c>
      <c r="BN16" s="60">
        <f t="shared" si="2"/>
        <v>1.5028713941488157E-6</v>
      </c>
      <c r="BO16" s="60">
        <f t="shared" ref="BO16:CC16" si="3">($A14-BO14)^2</f>
        <v>4.0002963358271331E-7</v>
      </c>
      <c r="BP16" s="60">
        <f t="shared" si="3"/>
        <v>3.492860927886037E-6</v>
      </c>
      <c r="BQ16" s="60">
        <f t="shared" si="3"/>
        <v>5.0312282853876016E-6</v>
      </c>
      <c r="BR16" s="60">
        <f t="shared" si="3"/>
        <v>1.0604108858136954E-5</v>
      </c>
      <c r="BS16" s="60">
        <f t="shared" si="3"/>
        <v>1.2617800806569465E-5</v>
      </c>
      <c r="BT16" s="60">
        <f t="shared" si="3"/>
        <v>5.231390133430804E-7</v>
      </c>
      <c r="BU16" s="60">
        <f t="shared" si="3"/>
        <v>3.2536615785024605E-7</v>
      </c>
      <c r="BV16" s="60">
        <f t="shared" si="3"/>
        <v>2.5832123505103397E-6</v>
      </c>
      <c r="BW16" s="60">
        <f t="shared" si="3"/>
        <v>2.268321125763244E-5</v>
      </c>
      <c r="BX16" s="60">
        <f t="shared" si="3"/>
        <v>7.6099564949316417E-7</v>
      </c>
      <c r="BY16" s="60">
        <f t="shared" si="3"/>
        <v>2.3197773463856471E-5</v>
      </c>
      <c r="BZ16" s="60">
        <f t="shared" si="3"/>
        <v>1.873212214534626E-6</v>
      </c>
      <c r="CA16" s="60">
        <f t="shared" si="3"/>
        <v>2.6180484999265999E-5</v>
      </c>
      <c r="CB16" s="60">
        <f t="shared" si="3"/>
        <v>6.8974093769549174E-6</v>
      </c>
      <c r="CC16" s="60">
        <f t="shared" si="3"/>
        <v>8.7431311884810135E-7</v>
      </c>
    </row>
    <row r="17" spans="1:1" x14ac:dyDescent="0.25">
      <c r="A17" t="s">
        <v>235</v>
      </c>
    </row>
    <row r="18" spans="1:1" x14ac:dyDescent="0.25">
      <c r="A18" s="30">
        <f>(4/80*A16)^0.5</f>
        <v>5.5932490756114162E-3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4B3ACE-D6F5-4370-8D99-22E64EBBB919}">
  <dimension ref="A1:C15"/>
  <sheetViews>
    <sheetView workbookViewId="0">
      <selection activeCell="B4" sqref="B4:C4"/>
    </sheetView>
  </sheetViews>
  <sheetFormatPr defaultRowHeight="15" x14ac:dyDescent="0.25"/>
  <cols>
    <col min="1" max="1" width="42.28515625" customWidth="1"/>
    <col min="2" max="2" width="17.85546875" bestFit="1" customWidth="1"/>
    <col min="3" max="3" width="13.5703125" bestFit="1" customWidth="1"/>
  </cols>
  <sheetData>
    <row r="1" spans="1:3" x14ac:dyDescent="0.25">
      <c r="B1" s="86" t="s">
        <v>127</v>
      </c>
      <c r="C1" s="86"/>
    </row>
    <row r="2" spans="1:3" x14ac:dyDescent="0.25">
      <c r="B2" t="s">
        <v>128</v>
      </c>
      <c r="C2" t="s">
        <v>129</v>
      </c>
    </row>
    <row r="3" spans="1:3" x14ac:dyDescent="0.25">
      <c r="A3" t="s">
        <v>130</v>
      </c>
      <c r="B3">
        <v>78035</v>
      </c>
      <c r="C3">
        <v>70201</v>
      </c>
    </row>
    <row r="4" spans="1:3" x14ac:dyDescent="0.25">
      <c r="A4" t="s">
        <v>131</v>
      </c>
      <c r="B4">
        <v>24698</v>
      </c>
      <c r="C4">
        <v>9603</v>
      </c>
    </row>
    <row r="5" spans="1:3" x14ac:dyDescent="0.25">
      <c r="A5" t="s">
        <v>132</v>
      </c>
      <c r="B5">
        <v>4411</v>
      </c>
      <c r="C5">
        <v>2681</v>
      </c>
    </row>
    <row r="6" spans="1:3" x14ac:dyDescent="0.25">
      <c r="A6" t="s">
        <v>133</v>
      </c>
      <c r="B6">
        <v>5071</v>
      </c>
      <c r="C6">
        <v>1427</v>
      </c>
    </row>
    <row r="7" spans="1:3" x14ac:dyDescent="0.25">
      <c r="A7" t="s">
        <v>134</v>
      </c>
      <c r="B7">
        <v>2640</v>
      </c>
      <c r="C7">
        <v>918</v>
      </c>
    </row>
    <row r="8" spans="1:3" x14ac:dyDescent="0.25">
      <c r="A8" t="s">
        <v>135</v>
      </c>
      <c r="B8">
        <v>1722</v>
      </c>
      <c r="C8">
        <v>1611</v>
      </c>
    </row>
    <row r="9" spans="1:3" x14ac:dyDescent="0.25">
      <c r="A9" t="s">
        <v>136</v>
      </c>
      <c r="B9">
        <v>3526</v>
      </c>
      <c r="C9">
        <v>1315</v>
      </c>
    </row>
    <row r="10" spans="1:3" x14ac:dyDescent="0.25">
      <c r="A10" t="s">
        <v>138</v>
      </c>
      <c r="B10">
        <v>1280</v>
      </c>
      <c r="C10">
        <v>1790</v>
      </c>
    </row>
    <row r="11" spans="1:3" x14ac:dyDescent="0.25">
      <c r="A11" t="s">
        <v>137</v>
      </c>
      <c r="B11">
        <v>2538</v>
      </c>
      <c r="C11">
        <v>1064</v>
      </c>
    </row>
    <row r="12" spans="1:3" x14ac:dyDescent="0.25">
      <c r="A12" t="s">
        <v>139</v>
      </c>
      <c r="B12">
        <v>2626</v>
      </c>
      <c r="C12">
        <v>1088</v>
      </c>
    </row>
    <row r="13" spans="1:3" x14ac:dyDescent="0.25">
      <c r="A13" t="s">
        <v>140</v>
      </c>
      <c r="B13">
        <v>1737</v>
      </c>
      <c r="C13">
        <v>1823</v>
      </c>
    </row>
    <row r="14" spans="1:3" x14ac:dyDescent="0.25">
      <c r="A14" t="s">
        <v>141</v>
      </c>
      <c r="B14">
        <v>922</v>
      </c>
      <c r="C14">
        <v>757</v>
      </c>
    </row>
    <row r="15" spans="1:3" x14ac:dyDescent="0.25">
      <c r="A15" t="s">
        <v>142</v>
      </c>
      <c r="B15">
        <v>508</v>
      </c>
      <c r="C15">
        <v>583</v>
      </c>
    </row>
  </sheetData>
  <mergeCells count="1">
    <mergeCell ref="B1:C1"/>
  </mergeCells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0b947e6b-ff26-4b13-ae1c-573c6750c888}" enabled="0" method="" siteId="{0b947e6b-ff26-4b13-ae1c-573c6750c888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RBI-TTP Units</vt:lpstr>
      <vt:lpstr>Population served</vt:lpstr>
      <vt:lpstr>Comparison to URB</vt:lpstr>
      <vt:lpstr>ELI Income Distribution</vt:lpstr>
      <vt:lpstr>Bedroom ratios, all markets</vt:lpstr>
      <vt:lpstr>Rent Averages for Bedrooms</vt:lpstr>
      <vt:lpstr>2022 all</vt:lpstr>
      <vt:lpstr>2022 Alt Rent Cutoffs</vt:lpstr>
      <vt:lpstr>2023 particular markets</vt:lpstr>
      <vt:lpstr>2022 Boston</vt:lpstr>
      <vt:lpstr>Navigator Data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Will Brownsberger</dc:creator>
  <cp:keywords/>
  <dc:description/>
  <cp:lastModifiedBy>Brownsberger, William (SEN)</cp:lastModifiedBy>
  <cp:revision/>
  <dcterms:created xsi:type="dcterms:W3CDTF">2024-12-03T12:23:43Z</dcterms:created>
  <dcterms:modified xsi:type="dcterms:W3CDTF">2024-12-08T17:40:55Z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15ad620c-6605-4be6-8e8e-a0b50db94b06</vt:lpwstr>
  </property>
</Properties>
</file>