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C:\Users\WillBrownsberger\Downloads\"/>
    </mc:Choice>
  </mc:AlternateContent>
  <xr:revisionPtr revIDLastSave="0" documentId="13_ncr:1_{9467E57C-F80C-499F-8F19-6EBDA9FDC26D}" xr6:coauthVersionLast="47" xr6:coauthVersionMax="47" xr10:uidLastSave="{00000000-0000-0000-0000-000000000000}"/>
  <bookViews>
    <workbookView xWindow="3000" yWindow="525" windowWidth="38790" windowHeight="21240" xr2:uid="{DA9AC702-DDF6-4014-803A-C6AC07291CA9}"/>
  </bookViews>
  <sheets>
    <sheet name="Summary" sheetId="1" r:id="rId1"/>
    <sheet name="HUD Program Data" sheetId="2" r:id="rId2"/>
    <sheet name="HUD Tax Credit Properties DB" sheetId="3" r:id="rId3"/>
    <sheet name="HUD Tax Credit Tenants Data" sheetId="4" r:id="rId4"/>
    <sheet name="Stat from EoHLC data" sheetId="5" r:id="rId5"/>
    <sheet name="Zillow" sheetId="6" r:id="rId6"/>
    <sheet name="Zillow Massachusett" sheetId="13" r:id="rId7"/>
    <sheet name="Zillow Redo Levels" sheetId="10" r:id="rId8"/>
    <sheet name="Boston Area Median" sheetId="11" r:id="rId9"/>
    <sheet name="Springfield Area Median" sheetId="12" r:id="rId10"/>
    <sheet name="ZORI" sheetId="7" r:id="rId11"/>
    <sheet name="Census Download Info" sheetId="8" r:id="rId12"/>
    <sheet name="Census Download Data" sheetId="9" r:id="rId13"/>
    <sheet name="VLIL computations" sheetId="14" r:id="rId1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7" i="1" l="1"/>
  <c r="K17" i="1" s="1"/>
  <c r="K18" i="1"/>
  <c r="K16" i="1"/>
  <c r="K15" i="1"/>
  <c r="K14" i="1"/>
  <c r="K13" i="1"/>
  <c r="K12" i="1"/>
  <c r="K11" i="1"/>
  <c r="K10" i="1"/>
  <c r="K9" i="1"/>
  <c r="K8" i="1"/>
  <c r="J18" i="1"/>
  <c r="H18" i="1"/>
  <c r="J17" i="1"/>
  <c r="J15" i="1"/>
  <c r="H15" i="1"/>
  <c r="J14" i="1"/>
  <c r="J13" i="1"/>
  <c r="J12" i="1"/>
  <c r="J11" i="1"/>
  <c r="J10" i="1"/>
  <c r="J9" i="1"/>
  <c r="J8" i="1"/>
  <c r="G16" i="1"/>
  <c r="D31" i="1"/>
  <c r="F35" i="10"/>
  <c r="D18" i="14"/>
  <c r="C18" i="14"/>
  <c r="C17" i="14"/>
  <c r="B17" i="14"/>
  <c r="B15" i="14"/>
  <c r="B16" i="14" s="1"/>
  <c r="G40" i="1"/>
  <c r="G43" i="1" s="1"/>
  <c r="F3" i="14"/>
  <c r="C4" i="14"/>
  <c r="B4" i="14"/>
  <c r="N43" i="2"/>
  <c r="AC61" i="4"/>
  <c r="H17" i="1"/>
  <c r="H9" i="1"/>
  <c r="H13" i="1"/>
  <c r="H12" i="1"/>
  <c r="H11" i="1"/>
  <c r="H14" i="1" s="1"/>
  <c r="H10" i="1"/>
  <c r="F13" i="1"/>
  <c r="F12" i="1"/>
  <c r="F11" i="1"/>
  <c r="F10" i="1"/>
  <c r="F9" i="1"/>
  <c r="D17" i="10"/>
  <c r="D16" i="10"/>
  <c r="Z57" i="4"/>
  <c r="Y57" i="4"/>
  <c r="F6" i="13"/>
  <c r="F5" i="13"/>
  <c r="F4" i="13"/>
  <c r="C21" i="1"/>
  <c r="M12" i="10"/>
  <c r="M11" i="10"/>
  <c r="M10" i="10"/>
  <c r="M9" i="10"/>
  <c r="M8" i="10"/>
  <c r="M7" i="10"/>
  <c r="M6" i="10"/>
  <c r="G12" i="10"/>
  <c r="G11" i="10"/>
  <c r="G10" i="10"/>
  <c r="G9" i="10"/>
  <c r="G8" i="10"/>
  <c r="G7" i="10"/>
  <c r="G6" i="10"/>
  <c r="B36" i="10"/>
  <c r="C36" i="10" s="1"/>
  <c r="D36" i="10"/>
  <c r="E36" i="10" s="1"/>
  <c r="E38" i="10"/>
  <c r="C38" i="10"/>
  <c r="E37" i="10"/>
  <c r="C37" i="10"/>
  <c r="E35" i="10"/>
  <c r="C35" i="10"/>
  <c r="E34" i="10"/>
  <c r="C34" i="10"/>
  <c r="E30" i="10"/>
  <c r="E29" i="10"/>
  <c r="E27" i="10"/>
  <c r="E26" i="10"/>
  <c r="C30" i="10"/>
  <c r="C29" i="10"/>
  <c r="C27" i="10"/>
  <c r="C26" i="10"/>
  <c r="B28" i="10"/>
  <c r="C28" i="10" s="1"/>
  <c r="D28" i="10"/>
  <c r="E28" i="10" s="1"/>
  <c r="K12" i="10"/>
  <c r="K11" i="10"/>
  <c r="K10" i="10"/>
  <c r="K9" i="10"/>
  <c r="K8" i="10"/>
  <c r="K7" i="10"/>
  <c r="E12" i="10"/>
  <c r="E11" i="10"/>
  <c r="E10" i="10"/>
  <c r="E9" i="10"/>
  <c r="E8" i="10"/>
  <c r="E7" i="10"/>
  <c r="K6" i="10"/>
  <c r="E6" i="10"/>
  <c r="C17" i="10"/>
  <c r="C16" i="10"/>
  <c r="C15" i="10"/>
  <c r="C19" i="10" s="1"/>
  <c r="B15" i="10"/>
  <c r="B19" i="10" s="1"/>
  <c r="B16" i="10"/>
  <c r="B17" i="10"/>
  <c r="B20" i="10" s="1"/>
  <c r="J173" i="9"/>
  <c r="J172" i="9"/>
  <c r="J171" i="9"/>
  <c r="J170" i="9"/>
  <c r="J169" i="9"/>
  <c r="J168" i="9"/>
  <c r="J167" i="9"/>
  <c r="J166" i="9"/>
  <c r="J165" i="9"/>
  <c r="J164" i="9"/>
  <c r="F173" i="9"/>
  <c r="F172" i="9"/>
  <c r="F171" i="9"/>
  <c r="F170" i="9"/>
  <c r="F169" i="9"/>
  <c r="F168" i="9"/>
  <c r="F167" i="9"/>
  <c r="F166" i="9"/>
  <c r="F165" i="9"/>
  <c r="F164" i="9"/>
  <c r="B173" i="9"/>
  <c r="B172" i="9"/>
  <c r="B171" i="9"/>
  <c r="B170" i="9"/>
  <c r="B169" i="9"/>
  <c r="B168" i="9"/>
  <c r="B167" i="9"/>
  <c r="B166" i="9"/>
  <c r="B165" i="9"/>
  <c r="B164" i="9"/>
  <c r="E13" i="7"/>
  <c r="B51" i="6"/>
  <c r="E12" i="7"/>
  <c r="D46" i="6"/>
  <c r="E46" i="6" s="1"/>
  <c r="D45" i="6"/>
  <c r="E45" i="6" s="1"/>
  <c r="D44" i="6"/>
  <c r="B44" i="6"/>
  <c r="E44" i="6" s="1"/>
  <c r="D43" i="6"/>
  <c r="E43" i="6" s="1"/>
  <c r="D42" i="6"/>
  <c r="E42" i="6" s="1"/>
  <c r="B33" i="6"/>
  <c r="E7" i="7"/>
  <c r="E6" i="7"/>
  <c r="D16" i="6"/>
  <c r="B16" i="6"/>
  <c r="E16" i="6" s="1"/>
  <c r="D7" i="6"/>
  <c r="B7" i="6"/>
  <c r="D18" i="6"/>
  <c r="E18" i="6" s="1"/>
  <c r="D17" i="6"/>
  <c r="E17" i="6" s="1"/>
  <c r="D15" i="6"/>
  <c r="E15" i="6" s="1"/>
  <c r="E14" i="6"/>
  <c r="D14" i="6"/>
  <c r="D9" i="6"/>
  <c r="E9" i="6" s="1"/>
  <c r="D8" i="6"/>
  <c r="E8" i="6" s="1"/>
  <c r="D6" i="6"/>
  <c r="E6" i="6" s="1"/>
  <c r="D5" i="6"/>
  <c r="E5" i="6" s="1"/>
  <c r="B6" i="5"/>
  <c r="B8" i="5" s="1"/>
  <c r="K19" i="1" l="1"/>
  <c r="C20" i="10"/>
  <c r="D20" i="10"/>
  <c r="B5" i="14"/>
  <c r="D14" i="14"/>
  <c r="B8" i="14"/>
  <c r="C14" i="14" s="1"/>
  <c r="C5" i="14"/>
  <c r="I18" i="1"/>
  <c r="K13" i="10"/>
  <c r="E13" i="10"/>
  <c r="F13" i="10" s="1"/>
  <c r="I11" i="10"/>
  <c r="I10" i="10"/>
  <c r="I9" i="10"/>
  <c r="I8" i="10"/>
  <c r="I7" i="10"/>
  <c r="I6" i="10"/>
  <c r="C11" i="10"/>
  <c r="C10" i="10"/>
  <c r="C9" i="10"/>
  <c r="C8" i="10"/>
  <c r="C7" i="10"/>
  <c r="C6" i="10"/>
  <c r="E14" i="7"/>
  <c r="B50" i="6" s="1"/>
  <c r="E8" i="7"/>
  <c r="B32" i="6" s="1"/>
  <c r="E7" i="6"/>
  <c r="C15" i="14" l="1"/>
  <c r="C16" i="14" s="1"/>
  <c r="D15" i="14"/>
  <c r="D16" i="14" s="1"/>
  <c r="D17" i="14"/>
  <c r="C6" i="14"/>
  <c r="B9" i="14"/>
  <c r="B18" i="14"/>
  <c r="B6" i="14"/>
  <c r="L11" i="10"/>
  <c r="L13" i="10"/>
  <c r="L12" i="10"/>
  <c r="L10" i="10"/>
  <c r="L9" i="10"/>
  <c r="L8" i="10"/>
  <c r="L7" i="10"/>
  <c r="L6" i="10"/>
  <c r="F12" i="10"/>
  <c r="F11" i="10"/>
  <c r="F10" i="10"/>
  <c r="F9" i="10"/>
  <c r="F8" i="10"/>
  <c r="F7" i="10"/>
  <c r="F6" i="10"/>
  <c r="K19" i="6"/>
  <c r="K18" i="6"/>
  <c r="K16" i="6"/>
  <c r="K10" i="6"/>
  <c r="K9" i="6"/>
  <c r="K8" i="6"/>
  <c r="K6" i="6"/>
  <c r="K7" i="6"/>
  <c r="K5" i="6"/>
  <c r="K14" i="6"/>
  <c r="K15" i="6"/>
  <c r="B11" i="14" l="1"/>
  <c r="B10" i="14"/>
  <c r="L71" i="4"/>
  <c r="K71" i="4"/>
  <c r="J71" i="4"/>
  <c r="I71" i="4"/>
  <c r="H71" i="4"/>
  <c r="G71" i="4"/>
  <c r="F71" i="4"/>
  <c r="E71" i="4"/>
  <c r="D71" i="4"/>
  <c r="C71" i="4"/>
  <c r="B14" i="1"/>
  <c r="G13" i="1" s="1"/>
  <c r="I13" i="1" s="1"/>
  <c r="B13" i="1"/>
  <c r="G12" i="1" s="1"/>
  <c r="I12" i="1" s="1"/>
  <c r="B12" i="1"/>
  <c r="G11" i="1" s="1"/>
  <c r="I11" i="1" s="1"/>
  <c r="B11" i="1"/>
  <c r="G10" i="1" s="1"/>
  <c r="I10" i="1" s="1"/>
  <c r="B10" i="1"/>
  <c r="G9" i="1" s="1"/>
  <c r="I9" i="1" s="1"/>
  <c r="B9" i="1"/>
  <c r="B8" i="1"/>
  <c r="N12" i="4"/>
  <c r="B76" i="1"/>
  <c r="C64" i="3"/>
  <c r="B64" i="3"/>
  <c r="G31" i="1" l="1"/>
  <c r="G27" i="1" a="1"/>
  <c r="G27" i="1" s="1"/>
  <c r="B16" i="1"/>
  <c r="G8" i="1"/>
  <c r="D64" i="3"/>
  <c r="E42" i="3"/>
  <c r="D42" i="3"/>
  <c r="C42" i="3"/>
  <c r="B42" i="3"/>
  <c r="I63" i="3"/>
  <c r="H63" i="3"/>
  <c r="B78" i="1"/>
  <c r="B87" i="1" s="1"/>
  <c r="H22" i="2"/>
  <c r="G22" i="2"/>
  <c r="F22" i="2"/>
  <c r="E22" i="2"/>
  <c r="D22" i="2"/>
  <c r="C22" i="2"/>
  <c r="B22" i="2"/>
  <c r="B59" i="1"/>
  <c r="B58" i="1"/>
  <c r="B57" i="1"/>
  <c r="AB39" i="1"/>
  <c r="AB37" i="1"/>
  <c r="AB38" i="1"/>
  <c r="AB36" i="1"/>
  <c r="AB35" i="1"/>
  <c r="D34" i="1"/>
  <c r="D35" i="1"/>
  <c r="C36" i="1"/>
  <c r="B36" i="1"/>
  <c r="D36" i="1" s="1"/>
  <c r="I8" i="1" l="1"/>
  <c r="B43" i="3"/>
  <c r="B75" i="3"/>
  <c r="C43" i="3"/>
  <c r="C75" i="3"/>
  <c r="D43" i="3"/>
  <c r="D75" i="3"/>
  <c r="B72" i="1" s="1"/>
  <c r="B77" i="1" s="1"/>
  <c r="F41" i="3"/>
  <c r="E43" i="3"/>
  <c r="E75" i="3"/>
  <c r="B91" i="1"/>
  <c r="B89" i="1"/>
  <c r="K63" i="3"/>
  <c r="C15" i="1" l="1"/>
  <c r="B86" i="1"/>
  <c r="B90" i="1" s="1"/>
  <c r="G15" i="1" l="1"/>
  <c r="I15" i="1" s="1"/>
  <c r="C17" i="1"/>
  <c r="C18" i="1"/>
  <c r="B18" i="1" s="1"/>
  <c r="C16" i="1"/>
  <c r="G20" i="1" l="1"/>
  <c r="I16" i="1"/>
  <c r="C23" i="1"/>
  <c r="C24" i="1" s="1"/>
  <c r="C22" i="1"/>
  <c r="B23" i="1"/>
  <c r="B24" i="1" s="1"/>
  <c r="G14" i="1"/>
  <c r="G41" i="1" s="1"/>
  <c r="G42" i="1" s="1"/>
  <c r="G44" i="1" s="1"/>
  <c r="H44" i="1" s="1"/>
  <c r="B22" i="1"/>
  <c r="I14" i="1" l="1"/>
  <c r="I17" i="1" l="1"/>
  <c r="I19" i="1" s="1"/>
  <c r="I39" i="1" s="1"/>
  <c r="G19"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<sst xmlns="http://schemas.openxmlformats.org/spreadsheetml/2006/main" count="2337" uniqueCount="1336">
  <si>
    <t>Affordable Housing Supply Metrics</t>
  </si>
  <si>
    <t>FINAL SUMMARY</t>
  </si>
  <si>
    <t>Rent Based on Income</t>
  </si>
  <si>
    <t>Fixed below Market</t>
  </si>
  <si>
    <t>Units</t>
  </si>
  <si>
    <t>% ELIL Occupied</t>
  </si>
  <si>
    <t>Count ELIL occupied @ affordable rent</t>
  </si>
  <si>
    <t>VLIL occupied, ROUGH? high side</t>
  </si>
  <si>
    <t>Rough Count VLIL occupied @ affordable rent</t>
  </si>
  <si>
    <t>State Public Housing -- Elderly and Disabled</t>
  </si>
  <si>
    <t>State public housing</t>
  </si>
  <si>
    <t>State Public Housing -- Families</t>
  </si>
  <si>
    <t>Federal Public Housing</t>
  </si>
  <si>
    <t>Federal Mod Rehab</t>
  </si>
  <si>
    <t xml:space="preserve">Federal Project Based Section 8 Rental Assistance </t>
  </si>
  <si>
    <t>202/PRAC (Federal Supportive Housing for the Elderly )</t>
  </si>
  <si>
    <t>811/PRAC (Federal Supportive Housing for Persons with Disabilities)</t>
  </si>
  <si>
    <t>Tax Credit Units w/ federal project based vouchers</t>
  </si>
  <si>
    <t>Federal low income housing tax credit units from HUD LIHTC property database</t>
  </si>
  <si>
    <t>Tax credit units w/ federal tenant based vouchers</t>
  </si>
  <si>
    <t>Total  Identified programs</t>
  </si>
  <si>
    <t>Other Fixed Below Market Unit</t>
  </si>
  <si>
    <t>Clearly this line is high side for VLIL</t>
  </si>
  <si>
    <t xml:space="preserve">Adjustment: Tax credit projects that are preservation of Section 8 Project-Based Rental Assistance projects </t>
  </si>
  <si>
    <t>Not yet accounted for HCV</t>
  </si>
  <si>
    <t xml:space="preserve">Adjustment: Tax credit units that carry HCV project based vouchers </t>
  </si>
  <si>
    <t xml:space="preserve"> State vouchers MRVP/AHVP</t>
  </si>
  <si>
    <t>Adjustment: 40B projects not in tax credit database or HLC database</t>
  </si>
  <si>
    <t>Adjustment: Units affordable pursuant to inclusionary by laws</t>
  </si>
  <si>
    <t>Memo: Tax credit units not PBRA and on HCV-PB or HCV-TB</t>
  </si>
  <si>
    <t>Adjustment: HLC projects not in tax credit database (should be 40B . . . Poss dup)</t>
  </si>
  <si>
    <t>Total with adjustments ex last</t>
  </si>
  <si>
    <t>For State public housing estimate'</t>
  </si>
  <si>
    <t>Total with all adjustments</t>
  </si>
  <si>
    <t xml:space="preserve">   Have federal average in MA (Dashboard)</t>
  </si>
  <si>
    <t>Fed dashboard https://www.hud.gov/program_offices/public_indian_housing/programs/ph/PH_Dashboard</t>
  </si>
  <si>
    <t>Navigator difference</t>
  </si>
  <si>
    <t xml:space="preserve">   Have federal 30%AMI share</t>
  </si>
  <si>
    <t>Fed program data</t>
  </si>
  <si>
    <t xml:space="preserve">   Have state average elderly/disabled</t>
  </si>
  <si>
    <t>Ben stone</t>
  </si>
  <si>
    <t xml:space="preserve">   Have state average family</t>
  </si>
  <si>
    <t xml:space="preserve">   Weight averages by population, for state</t>
  </si>
  <si>
    <t xml:space="preserve">  Median 1 person ELI household in Boston area </t>
  </si>
  <si>
    <t>Btw 10 and 15K</t>
  </si>
  <si>
    <t>https://willbrownsberger.com/project-based-vouchers/</t>
  </si>
  <si>
    <t xml:space="preserve">  Median 4 person ELI household in Boston area </t>
  </si>
  <si>
    <t>Near 25K</t>
  </si>
  <si>
    <t xml:space="preserve">  Federal Elderly and disabled share</t>
  </si>
  <si>
    <t>SEE DASHBOARD (HIGHER, 68% HOUSEHOLDS FROM PROGRAM STATS)</t>
  </si>
  <si>
    <t>Preliminary summary</t>
  </si>
  <si>
    <t xml:space="preserve">  State Elderly and disabled share</t>
  </si>
  <si>
    <t>Housing Navigator</t>
  </si>
  <si>
    <t xml:space="preserve">  Affordable Units</t>
  </si>
  <si>
    <t>Rent based on income</t>
  </si>
  <si>
    <t>Fixed below market</t>
  </si>
  <si>
    <t xml:space="preserve">     Non-age restricted</t>
  </si>
  <si>
    <t xml:space="preserve">     Age restricted</t>
  </si>
  <si>
    <t>Total affordable</t>
  </si>
  <si>
    <t>https://public.tableau.com/app/profile/housingnavigatorma/viz/hnmi_2024_01/HousingDashboard2</t>
  </si>
  <si>
    <t>Excludes</t>
  </si>
  <si>
    <t>Predicting the rent burdened count among voucher holders</t>
  </si>
  <si>
    <t xml:space="preserve">   Naturally occuring</t>
  </si>
  <si>
    <t xml:space="preserve">     60% reporting contract rent * ELI in voucher programs</t>
  </si>
  <si>
    <t xml:space="preserve">   Homeownership</t>
  </si>
  <si>
    <t xml:space="preserve">     HCV vouchers not accounted for as project based</t>
  </si>
  <si>
    <t xml:space="preserve">   Group homes</t>
  </si>
  <si>
    <t xml:space="preserve">     ELIL HCV vouchers showing as rent burdened</t>
  </si>
  <si>
    <t xml:space="preserve">   Transitional</t>
  </si>
  <si>
    <t xml:space="preserve">     ELIL MRVP showing as rent burdened </t>
  </si>
  <si>
    <t>We include units restricted at higher AMIs than the SHI.</t>
  </si>
  <si>
    <t xml:space="preserve">     Tenant voucher holders showing as rent burdened</t>
  </si>
  <si>
    <t>Some properties have operating subsidies through a contract (e.g. project-based vouchers). This type of subsidy can be difficult to determine from public sources.</t>
  </si>
  <si>
    <t xml:space="preserve">     All ELI Households</t>
  </si>
  <si>
    <t>From NLIHC</t>
  </si>
  <si>
    <t>Ben Stone statistics (HLC, Undersecretary of Public Housing &amp; Rental Assistance)</t>
  </si>
  <si>
    <t xml:space="preserve">   Federal Public Housing</t>
  </si>
  <si>
    <t xml:space="preserve">   State Public Housing</t>
  </si>
  <si>
    <t xml:space="preserve">       Elderly disabled</t>
  </si>
  <si>
    <t xml:space="preserve">       Families</t>
  </si>
  <si>
    <t xml:space="preserve">       DMS/DDS Group homes</t>
  </si>
  <si>
    <t xml:space="preserve">   Federal Housing Choice Vouchers</t>
  </si>
  <si>
    <t xml:space="preserve">       HLC administered</t>
  </si>
  <si>
    <t xml:space="preserve">   State Vouchers, MRVP/AHVP</t>
  </si>
  <si>
    <t xml:space="preserve">   Total:</t>
  </si>
  <si>
    <t xml:space="preserve">       Units</t>
  </si>
  <si>
    <t xml:space="preserve">       Vouchers [mostly, not all mobile]</t>
  </si>
  <si>
    <t>"All told, the PHAs serve over 170,000 households, majority &lt;30% AMI"</t>
  </si>
  <si>
    <t>HUD PICTURE OF SUBSIDIZED</t>
  </si>
  <si>
    <t>total_units</t>
  </si>
  <si>
    <t>pct_occupied</t>
  </si>
  <si>
    <t>number_reported</t>
  </si>
  <si>
    <t>pct_lt30_median</t>
  </si>
  <si>
    <t>pct_lt50_median</t>
  </si>
  <si>
    <t>months_from_movein</t>
  </si>
  <si>
    <t>pct_movein</t>
  </si>
  <si>
    <t>Notes</t>
  </si>
  <si>
    <t>Summary of All HUD Programs</t>
  </si>
  <si>
    <t>Public Housing</t>
  </si>
  <si>
    <t>Housing Choice Vouchers</t>
  </si>
  <si>
    <t>&lt;VLI, income based, mobile https://www.hud.gov/topics/housing_choice_voucher_program_section_8</t>
  </si>
  <si>
    <t>Mod Rehab</t>
  </si>
  <si>
    <t>&lt;50%, &lt; 80%, income based, https://www.hud.gov/program_offices/public_indian_housing/programs/ph/modrehab</t>
  </si>
  <si>
    <t>https://www.cbpp.org/research/housing/section-8-project-based-rental-assistance</t>
  </si>
  <si>
    <t>Project Based Section 8</t>
  </si>
  <si>
    <t>LI/VLI, income based. https://www.hud.gov/program_offices/housing/mfh/rfp/s8bkinfo</t>
  </si>
  <si>
    <t>202/PRAC</t>
  </si>
  <si>
    <t>Elder VLIL, income based? https://www.hud.gov/program_offices/housing/mfh/progdesc/eld202</t>
  </si>
  <si>
    <t>811/PRAC</t>
  </si>
  <si>
    <t>Disabled VLIL/ELIL, income based? https://www.hud.gov/program_offices/housing/mfh/progdesc/disab811</t>
  </si>
  <si>
    <t>Tax Credit Data</t>
  </si>
  <si>
    <t>LIHTC Units 2022 from project database</t>
  </si>
  <si>
    <t>(imputed LI units)</t>
  </si>
  <si>
    <t>SumOfn_units from project database</t>
  </si>
  <si>
    <t>SumOfli_units from project database</t>
  </si>
  <si>
    <t>Definitely Income based</t>
  </si>
  <si>
    <t>(excluding group homes from state public housing)</t>
  </si>
  <si>
    <t>Other -- tax credit, fixed below market rent</t>
  </si>
  <si>
    <t xml:space="preserve">Voucher </t>
  </si>
  <si>
    <t>What about accounting for project based HCV's?</t>
  </si>
  <si>
    <t>19,029?</t>
  </si>
  <si>
    <t>https://www.hud.gov/program_offices/public_indian_housing/programs/hcv/dashboard</t>
  </si>
  <si>
    <t xml:space="preserve">      Some may be allocated to public housing, some to tax credit</t>
  </si>
  <si>
    <t>From above, assume following percentages of ELI</t>
  </si>
  <si>
    <t xml:space="preserve">    Income based</t>
  </si>
  <si>
    <t xml:space="preserve">    Other</t>
  </si>
  <si>
    <t>Total ELI units (excluding vouchers)</t>
  </si>
  <si>
    <t>Vouchers, additional amount ELI</t>
  </si>
  <si>
    <t xml:space="preserve">    Assume of ELI vouchers report affordable rent</t>
  </si>
  <si>
    <t xml:space="preserve">   ELI voucher units showing as affordable</t>
  </si>
  <si>
    <t>Total units showing as affordable to ELI and occupied by</t>
  </si>
  <si>
    <t>Checks to 48 per 100 level-ish; rent burden hard to explain</t>
  </si>
  <si>
    <t>Additional voucher units occuiped by ELI, but not "affordable"</t>
  </si>
  <si>
    <t>https://www.huduser.gov/portal/datasets/assthsg.html</t>
  </si>
  <si>
    <t>Quarter</t>
  </si>
  <si>
    <t>gsl</t>
  </si>
  <si>
    <t>state</t>
  </si>
  <si>
    <t>States</t>
  </si>
  <si>
    <t>MA Massachusetts</t>
  </si>
  <si>
    <t>entities</t>
  </si>
  <si>
    <t>sumlevel</t>
  </si>
  <si>
    <t>program_label</t>
  </si>
  <si>
    <t>program</t>
  </si>
  <si>
    <t>sub_program</t>
  </si>
  <si>
    <t>NA</t>
  </si>
  <si>
    <t>name</t>
  </si>
  <si>
    <t>code</t>
  </si>
  <si>
    <t>25</t>
  </si>
  <si>
    <t>pct_reported</t>
  </si>
  <si>
    <t>months_since_report</t>
  </si>
  <si>
    <t>people_per_unit</t>
  </si>
  <si>
    <t>people_total</t>
  </si>
  <si>
    <t>rent_per_month</t>
  </si>
  <si>
    <t>spending_per_month</t>
  </si>
  <si>
    <t>Total spending</t>
  </si>
  <si>
    <t>hh_income</t>
  </si>
  <si>
    <t>person_income</t>
  </si>
  <si>
    <t>pct_lt5k</t>
  </si>
  <si>
    <t>pct_5k_lt10k</t>
  </si>
  <si>
    <t>pct_10k_lt15k</t>
  </si>
  <si>
    <t>pct_15k_lt20k</t>
  </si>
  <si>
    <t>pct_ge20k</t>
  </si>
  <si>
    <t>pct_wage_major</t>
  </si>
  <si>
    <t>pct_welfare_major</t>
  </si>
  <si>
    <t>pct_other_major</t>
  </si>
  <si>
    <t>pct_median</t>
  </si>
  <si>
    <t>pct_2adults</t>
  </si>
  <si>
    <t>pct_1adult</t>
  </si>
  <si>
    <t>pct_female_head</t>
  </si>
  <si>
    <t>pct_female_head_child</t>
  </si>
  <si>
    <t>pct_disabled_lt62</t>
  </si>
  <si>
    <t>pct_disabled_ge62</t>
  </si>
  <si>
    <t>pct_disabled_all</t>
  </si>
  <si>
    <t>pct_lt24_head</t>
  </si>
  <si>
    <t>These two together imply elderly/disability%</t>
  </si>
  <si>
    <t>pct_age25_50</t>
  </si>
  <si>
    <t>pct_age51_61</t>
  </si>
  <si>
    <t>pct_age62plus</t>
  </si>
  <si>
    <t>pct_age85plus</t>
  </si>
  <si>
    <t>pct_minority</t>
  </si>
  <si>
    <t>pct_black_nonhsp</t>
  </si>
  <si>
    <t>pct_native_american_nonhsp</t>
  </si>
  <si>
    <t>pct_asian_pacific_nonhsp</t>
  </si>
  <si>
    <t>pct_white_nothsp</t>
  </si>
  <si>
    <t>pct_black_hsp</t>
  </si>
  <si>
    <t>pct_wht_hsp</t>
  </si>
  <si>
    <t>pct_oth_hsp</t>
  </si>
  <si>
    <t>pct_hispanic</t>
  </si>
  <si>
    <t>pct_multi</t>
  </si>
  <si>
    <t>months_waiting</t>
  </si>
  <si>
    <t>pct_utility_allow</t>
  </si>
  <si>
    <t>ave_util_allow</t>
  </si>
  <si>
    <t>pct_bed1</t>
  </si>
  <si>
    <t>pct_bed2</t>
  </si>
  <si>
    <t>pct_bed3</t>
  </si>
  <si>
    <t>pct_overhoused</t>
  </si>
  <si>
    <t>tpoverty</t>
  </si>
  <si>
    <t>tminority</t>
  </si>
  <si>
    <t>tpct_ownsfd</t>
  </si>
  <si>
    <t>fedhse</t>
  </si>
  <si>
    <t>cbsa</t>
  </si>
  <si>
    <t>place</t>
  </si>
  <si>
    <t>latitude</t>
  </si>
  <si>
    <t>longitude</t>
  </si>
  <si>
    <t>State</t>
  </si>
  <si>
    <t>MA</t>
  </si>
  <si>
    <t>pha_total_units</t>
  </si>
  <si>
    <t>ha_size</t>
  </si>
  <si>
    <t>https://www.huduser.gov/portal/datasets/lihtc/property.html</t>
  </si>
  <si>
    <t>Downloaded Access File</t>
  </si>
  <si>
    <t>Selection Is PROJ_ST = MA" for all</t>
  </si>
  <si>
    <t>UNIT COUNT ANALYSIS</t>
  </si>
  <si>
    <t>OTHER VARIABLES All ma properties (Yes = 1, 2 = No, "" = missing)</t>
  </si>
  <si>
    <t>All projects, including unit counts missing, li units imputed based on total units @83.9%</t>
  </si>
  <si>
    <t>With total or li count missing</t>
  </si>
  <si>
    <t>Tax Exempt bond financing</t>
  </si>
  <si>
    <t>yr_pis</t>
  </si>
  <si>
    <t>SumOfn_units</t>
  </si>
  <si>
    <t>SumOfli_units</t>
  </si>
  <si>
    <t>imputed_li_units</t>
  </si>
  <si>
    <t>CountOfhud_id</t>
  </si>
  <si>
    <t>bond</t>
  </si>
  <si>
    <t>Committed some units to lower then required ceiling</t>
  </si>
  <si>
    <t>low_ceil</t>
  </si>
  <si>
    <t>Income ceiling (1=50% of AMGI, 2=60% of AMGI)</t>
  </si>
  <si>
    <t>inc_ceil</t>
  </si>
  <si>
    <t>With both counts missing</t>
  </si>
  <si>
    <t>Other links:</t>
  </si>
  <si>
    <t>National missing data rates</t>
  </si>
  <si>
    <t>https://lihtc.huduser.gov/missing.pdf</t>
  </si>
  <si>
    <t>National totals</t>
  </si>
  <si>
    <t>With neither count missing</t>
  </si>
  <si>
    <t>https://www.huduser.gov/portal/Datasets/lihtc/LIHTC-2022-Tables.pdf</t>
  </si>
  <si>
    <t xml:space="preserve"> -- checks to Access for 2022 total properties and n_unitsr and n_unitsr under monitoring</t>
  </si>
  <si>
    <t xml:space="preserve">Checks to access for </t>
  </si>
  <si>
    <t xml:space="preserve">   National total property count</t>
  </si>
  <si>
    <t xml:space="preserve">   National count properties under monitoring</t>
  </si>
  <si>
    <t xml:space="preserve">   National n_unitsr</t>
  </si>
  <si>
    <t xml:space="preserve">   National n_unitsr under monitoring</t>
  </si>
  <si>
    <t xml:space="preserve">   National record status (new, existing, updated)</t>
  </si>
  <si>
    <t xml:space="preserve">   MA record status</t>
  </si>
  <si>
    <t xml:space="preserve">   n_unitsr is n_units or li_units if n_units missing</t>
  </si>
  <si>
    <t>COMPARISON TO REPRESENTATION OF PROPERRTY DATA IN TENANT DATA</t>
  </si>
  <si>
    <t>Property counts and units counts check for MA where unit count = li_units or, if li_units missing, n_units</t>
  </si>
  <si>
    <t>Properties</t>
  </si>
  <si>
    <t>US</t>
  </si>
  <si>
    <t>Property count  slightly low and unit count slightly high for US in tenant presentation of property data (s/b 43,466, 3,056,584)</t>
  </si>
  <si>
    <t>Total</t>
  </si>
  <si>
    <t>Total less 8888</t>
  </si>
  <si>
    <t>8888=placed in service status not confirmed</t>
  </si>
  <si>
    <t>No units imputed for six properties with both counts missing.</t>
  </si>
  <si>
    <t>Could imput 408 affordable units to these based on 68 li_units per property</t>
  </si>
  <si>
    <t>Note that for 225 properties with 8888, most also have 8888 for yr_alloc (199)</t>
  </si>
  <si>
    <t>NOTE:  No properties show as NONPROG or with NLM_reason -- all in monitoring(?)</t>
  </si>
  <si>
    <t>Looking at return rates in 8610's for capped 9% credit</t>
  </si>
  <si>
    <t>Tot Credits Issued</t>
  </si>
  <si>
    <t>Returned from prior</t>
  </si>
  <si>
    <t>With affordable count present, but total absent</t>
  </si>
  <si>
    <t>If return rates for 9% based on 8610's also represent tax exempt fairly, then 8888's</t>
  </si>
  <si>
    <t>are probably just missing data, not never placed in service.  This makes most sense</t>
  </si>
  <si>
    <t>with total present but affordable absent</t>
  </si>
  <si>
    <t>because both years (alloc and pis) missing for most.</t>
  </si>
  <si>
    <t>UNITS for which yr_alloc present, but year_pis absent -- see cross tab by date below</t>
  </si>
  <si>
    <t>Reasonable to exclude these from total -- very close to right percentage</t>
  </si>
  <si>
    <t>Best guess totals for properties placed in service:</t>
  </si>
  <si>
    <t>YEAR_pis (ROWS  VS YEAR ALLOC (COLUMNS) -- COUNT PROPERTIES</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</si>
  <si>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</si>
  <si>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</si>
  <si>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</si>
  <si>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</si>
  <si>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</si>
  <si>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</si>
  <si>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</si>
  <si>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</si>
  <si>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</si>
  <si>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</si>
  <si>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</si>
  <si>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</si>
  <si>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</si>
  <si>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</si>
  <si>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</si>
  <si>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</si>
  <si>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</si>
  <si>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</si>
  <si>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</si>
  <si>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</si>
  <si>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</si>
  <si>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</si>
  <si>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</si>
  <si>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</si>
  <si>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</si>
  <si>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</si>
  <si>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</si>
  <si>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</si>
  <si>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</si>
  <si>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</si>
  <si>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</si>
  <si>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</si>
  <si>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</si>
  <si>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</si>
  <si>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</si>
  <si>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8888</t>
  </si>
  <si>
    <t>9999</t>
  </si>
  <si>
    <t>https://www.huduser.gov/portal/datasets/lihtc/tenant.html</t>
  </si>
  <si>
    <t>https://www.huduser.gov/portal/Datasets/lihtc/LIHTC-TenantDataDocumentation.pdf</t>
  </si>
  <si>
    <t>HUD collects LIHTC tenant data mandated by 2008 HERA act</t>
  </si>
  <si>
    <t>For various reasons incomplete -- not used in program administration</t>
  </si>
  <si>
    <t>Many states, however, were unable to submit information for all active properties for several reasons.</t>
  </si>
  <si>
    <t>Table 1: Comparison of 2021 and 2022 LIHTC Property and Tenant Data Submissions</t>
  </si>
  <si>
    <t>LIHTC Properties PIS Database</t>
  </si>
  <si>
    <t>LIHTC HERA-Mandated Tenant Submission</t>
  </si>
  <si>
    <r>
      <t>2021 Data</t>
    </r>
    <r>
      <rPr>
        <b/>
        <vertAlign val="superscript"/>
        <sz val="11"/>
        <color theme="1"/>
        <rFont val="Aptos Narrow"/>
        <family val="2"/>
        <scheme val="minor"/>
      </rPr>
      <t>1</t>
    </r>
  </si>
  <si>
    <t>2022 Data</t>
  </si>
  <si>
    <t>Difference 2021-2022</t>
  </si>
  <si>
    <t>2021 Data</t>
  </si>
  <si>
    <t>Massachusetts</t>
  </si>
  <si>
    <t>HERA = Housing and Economic Recovery Act. LIHTC = low-income housing tax credit. PIS = LIHTC properties placed in service database.</t>
  </si>
  <si>
    <t>Note: American Samoa placed 119 properties in service using the Tax Credit Exchange Program (TCAP), but otherwise does not actively administer LIHTCs and therefore is exempt from HERA requirements.</t>
  </si>
  <si>
    <r>
      <rPr>
        <vertAlign val="superscript"/>
        <sz val="9"/>
        <color theme="1"/>
        <rFont val="Aptos Narrow"/>
        <family val="2"/>
        <scheme val="minor"/>
      </rPr>
      <t>1</t>
    </r>
    <r>
      <rPr>
        <sz val="9"/>
        <color theme="1"/>
        <rFont val="Aptos Narrow"/>
        <family val="2"/>
        <scheme val="minor"/>
      </rPr>
      <t xml:space="preserve"> The 2021 data are identical to those reported in Data on Tenants in LIHTC Units as of December 31, 2021, and do not include information on properties placed in service prior to 2021 that was reported with the </t>
    </r>
  </si>
  <si>
    <t>2022 PIS data collection.</t>
  </si>
  <si>
    <t>The HUD PIS database also has known undercounting, primarily for the most recently collected placed-in-service years</t>
  </si>
  <si>
    <t>In addition, the PIS database also fails to correctly identify some properties that are no longer monitored for program compliance, which inflates the true number of properties in service. H</t>
  </si>
  <si>
    <t>Hence, the databases are not expected to be 100 percent complete, and, from the data available to HUD, it is not possible to provide a definitive assessment of completeness based on one number. R</t>
  </si>
  <si>
    <t>Table 5: Disability Status of Households</t>
  </si>
  <si>
    <t>Properties Matched                                           (%)</t>
  </si>
  <si>
    <r>
      <t>All Household Members Reported</t>
    </r>
    <r>
      <rPr>
        <b/>
        <vertAlign val="superscript"/>
        <sz val="11"/>
        <color theme="1"/>
        <rFont val="Aptos Narrow"/>
        <family val="2"/>
        <scheme val="minor"/>
      </rPr>
      <t>1</t>
    </r>
    <r>
      <rPr>
        <b/>
        <sz val="11"/>
        <color theme="1"/>
        <rFont val="Aptos Narrow"/>
        <family val="2"/>
        <scheme val="minor"/>
      </rPr>
      <t xml:space="preserve">                                       (%)</t>
    </r>
  </si>
  <si>
    <t>Disability Status Reported for At Least One Member             (%)</t>
  </si>
  <si>
    <t>At least One Member Reported as Disabled                               (%)</t>
  </si>
  <si>
    <t>Table 7: Family Composition: Households with Children and Elderly Members</t>
  </si>
  <si>
    <r>
      <t>All Household Members Reported</t>
    </r>
    <r>
      <rPr>
        <b/>
        <vertAlign val="superscript"/>
        <sz val="11"/>
        <color theme="1"/>
        <rFont val="Aptos Narrow"/>
        <family val="2"/>
        <scheme val="minor"/>
      </rPr>
      <t>1</t>
    </r>
    <r>
      <rPr>
        <b/>
        <sz val="11"/>
        <color theme="1"/>
        <rFont val="Aptos Narrow"/>
        <family val="2"/>
        <scheme val="minor"/>
      </rPr>
      <t xml:space="preserve">               (% of Households)</t>
    </r>
  </si>
  <si>
    <t>Valid Date of Birth Provided for</t>
  </si>
  <si>
    <t>At Least One Member &lt; 18          (%)</t>
  </si>
  <si>
    <t>At Least One Member &gt;= 62                 (%)</t>
  </si>
  <si>
    <t>Reported Head of Household &gt;= 62                     (%)</t>
  </si>
  <si>
    <t>Head of Household          (%)</t>
  </si>
  <si>
    <t>All Reported Members         (%)</t>
  </si>
  <si>
    <t>Table 8: Distribution of Annual Household Income</t>
  </si>
  <si>
    <r>
      <t xml:space="preserve">Properties Matched                </t>
    </r>
    <r>
      <rPr>
        <b/>
        <sz val="10"/>
        <color theme="1"/>
        <rFont val="Aptos Narrow"/>
        <family val="2"/>
        <scheme val="minor"/>
      </rPr>
      <t>(%)</t>
    </r>
  </si>
  <si>
    <r>
      <t xml:space="preserve">Income Reported            </t>
    </r>
    <r>
      <rPr>
        <b/>
        <sz val="8"/>
        <color theme="1"/>
        <rFont val="Aptos Narrow"/>
        <family val="2"/>
        <scheme val="minor"/>
      </rPr>
      <t>(%)</t>
    </r>
  </si>
  <si>
    <r>
      <t>Households with Reported Annual Income</t>
    </r>
    <r>
      <rPr>
        <b/>
        <vertAlign val="superscript"/>
        <sz val="11"/>
        <color theme="1"/>
        <rFont val="Aptos Narrow"/>
        <family val="2"/>
        <scheme val="minor"/>
      </rPr>
      <t>2</t>
    </r>
  </si>
  <si>
    <t>Median Income               ($)</t>
  </si>
  <si>
    <t>&lt;= $5,000                         (%)</t>
  </si>
  <si>
    <t>$5,001 to $10,000                         (%)</t>
  </si>
  <si>
    <t>$10,001 to $15,000                         (%)</t>
  </si>
  <si>
    <t>$15,001 to $20,000                         (%)</t>
  </si>
  <si>
    <t>&gt; $20,000                         (%)</t>
  </si>
  <si>
    <r>
      <rPr>
        <vertAlign val="superscript"/>
        <sz val="9"/>
        <color theme="1"/>
        <rFont val="Aptos Narrow"/>
        <family val="2"/>
        <scheme val="minor"/>
      </rPr>
      <t>2</t>
    </r>
    <r>
      <rPr>
        <sz val="9"/>
        <color theme="1"/>
        <rFont val="Aptos Narrow"/>
        <family val="2"/>
        <scheme val="minor"/>
      </rPr>
      <t xml:space="preserve"> Includes only households with income certified in 2021, 2022 or 2023. </t>
    </r>
  </si>
  <si>
    <r>
      <t>Table 9: Total Annual Household Income Relative to Derived Area Median Gross Income (AMGI)</t>
    </r>
    <r>
      <rPr>
        <b/>
        <vertAlign val="superscript"/>
        <sz val="12"/>
        <color theme="1"/>
        <rFont val="Aptos Narrow"/>
        <family val="2"/>
        <scheme val="minor"/>
      </rPr>
      <t>1</t>
    </r>
  </si>
  <si>
    <t>Properties Matched                (%)</t>
  </si>
  <si>
    <r>
      <t>Income Reported</t>
    </r>
    <r>
      <rPr>
        <b/>
        <vertAlign val="superscript"/>
        <sz val="11"/>
        <color theme="1"/>
        <rFont val="Aptos Narrow"/>
        <family val="2"/>
        <scheme val="minor"/>
      </rPr>
      <t>2</t>
    </r>
    <r>
      <rPr>
        <b/>
        <sz val="11"/>
        <color theme="1"/>
        <rFont val="Aptos Narrow"/>
        <family val="2"/>
        <scheme val="minor"/>
      </rPr>
      <t xml:space="preserve">                (%)</t>
    </r>
  </si>
  <si>
    <r>
      <t>Income</t>
    </r>
    <r>
      <rPr>
        <b/>
        <vertAlign val="superscript"/>
        <sz val="11"/>
        <color theme="1"/>
        <rFont val="Aptos Narrow"/>
        <family val="2"/>
        <scheme val="minor"/>
      </rPr>
      <t>2</t>
    </r>
    <r>
      <rPr>
        <b/>
        <sz val="11"/>
        <color theme="1"/>
        <rFont val="Aptos Narrow"/>
        <family val="2"/>
        <scheme val="minor"/>
      </rPr>
      <t>, Income Limit and Income Restriction Reported                                        (%)</t>
    </r>
  </si>
  <si>
    <t>Total Household Annual Income as Percent of Derived Area Median Gross Income (AMGI)</t>
  </si>
  <si>
    <t>0                 (%)</t>
  </si>
  <si>
    <t>0.1 to 30.0                (%)</t>
  </si>
  <si>
    <t>30.1 to 40.0                (%)</t>
  </si>
  <si>
    <t>40.1 to 50.0                (%)</t>
  </si>
  <si>
    <t>50.1 to 60.0                (%)</t>
  </si>
  <si>
    <t>Great than 60.0                (%)</t>
  </si>
  <si>
    <t>Total                 (%)</t>
  </si>
  <si>
    <r>
      <rPr>
        <vertAlign val="superscript"/>
        <sz val="9"/>
        <color theme="1"/>
        <rFont val="Aptos Narrow"/>
        <family val="2"/>
        <scheme val="minor"/>
      </rPr>
      <t>1</t>
    </r>
    <r>
      <rPr>
        <sz val="9"/>
        <color theme="1"/>
        <rFont val="Aptos Narrow"/>
        <family val="2"/>
        <scheme val="minor"/>
      </rPr>
      <t xml:space="preserve"> Area Median Gross Income (AMGI) was derived by dividing the Income Limit by Percent Income Restriction.</t>
    </r>
  </si>
  <si>
    <t>The AMGI must either be determined by address or derived from information provided on the LIHTC Tenant Data Collection Form, specifically the percentage of income or rent restriction (50 or 60 percent of AMGI) and the applicable income limit for each unit. The distribution provided in this report uses the latter method because it yielded a larger sample on which the distribution could be calculated.</t>
  </si>
  <si>
    <t>Table 10: Tenant-Paid Rent as Percentage of Annual Household Income</t>
  </si>
  <si>
    <r>
      <t>Household Income</t>
    </r>
    <r>
      <rPr>
        <b/>
        <vertAlign val="superscript"/>
        <sz val="11"/>
        <color theme="1"/>
        <rFont val="Aptos Narrow"/>
        <family val="2"/>
        <scheme val="minor"/>
      </rPr>
      <t>1</t>
    </r>
    <r>
      <rPr>
        <b/>
        <sz val="11"/>
        <color theme="1"/>
        <rFont val="Aptos Narrow"/>
        <family val="2"/>
        <scheme val="minor"/>
      </rPr>
      <t xml:space="preserve"> and Rent Reported                   (%)</t>
    </r>
  </si>
  <si>
    <t>Tenant Paid Rent as % of Total Annual Household Income</t>
  </si>
  <si>
    <r>
      <rPr>
        <b/>
        <sz val="11"/>
        <color theme="1"/>
        <rFont val="Aptos Narrow"/>
        <family val="2"/>
        <scheme val="minor"/>
      </rPr>
      <t>Income    = $0</t>
    </r>
    <r>
      <rPr>
        <b/>
        <vertAlign val="superscript"/>
        <sz val="11"/>
        <color theme="1"/>
        <rFont val="Aptos Narrow"/>
        <family val="2"/>
        <scheme val="minor"/>
      </rPr>
      <t xml:space="preserve">                          </t>
    </r>
  </si>
  <si>
    <t xml:space="preserve">0.1 to 30.0                          </t>
  </si>
  <si>
    <t xml:space="preserve">30.1 to 40.0                          </t>
  </si>
  <si>
    <t xml:space="preserve">40.1 to 50.0                          </t>
  </si>
  <si>
    <t xml:space="preserve">50.1 or Greater                          </t>
  </si>
  <si>
    <t xml:space="preserve">Total                  </t>
  </si>
  <si>
    <r>
      <rPr>
        <vertAlign val="superscript"/>
        <sz val="9"/>
        <color theme="1"/>
        <rFont val="Aptos Narrow"/>
        <family val="2"/>
        <scheme val="minor"/>
      </rPr>
      <t>1</t>
    </r>
    <r>
      <rPr>
        <sz val="9"/>
        <color theme="1"/>
        <rFont val="Aptos Narrow"/>
        <family val="2"/>
        <scheme val="minor"/>
      </rPr>
      <t xml:space="preserve"> Includes only households with income certified in 2021, 2022 or 2023. </t>
    </r>
  </si>
  <si>
    <t>Note: The calculation of this table has changed from previous versions.  See footnote 1 for explanation.</t>
  </si>
  <si>
    <t>Table 11: Use of Rental Assistance</t>
  </si>
  <si>
    <r>
      <t>Amount of Monthly Rental Assistance</t>
    </r>
    <r>
      <rPr>
        <b/>
        <vertAlign val="superscript"/>
        <sz val="11"/>
        <color theme="1"/>
        <rFont val="Aptos Narrow"/>
        <family val="2"/>
        <scheme val="minor"/>
      </rPr>
      <t>1</t>
    </r>
  </si>
  <si>
    <t>Not Reported                (%)</t>
  </si>
  <si>
    <t>$0                              (%)</t>
  </si>
  <si>
    <t>&gt; $0                             (%)</t>
  </si>
  <si>
    <t>Total                               (%)</t>
  </si>
  <si>
    <t xml:space="preserve">Note: The calculation of this table has changed from previous versions.  </t>
  </si>
  <si>
    <t>This version includes tenants with a reported positive amount of Total Rental Assistance, even if reported Federal Rental Assistance (FRA) is $0. Previous versions only included tenants with a reported postive amount of FRA.</t>
  </si>
  <si>
    <t>Table 12: Use of Federal Rental Assistance</t>
  </si>
  <si>
    <r>
      <t>Reported Amount of Federal Rental Assistance &gt; $0</t>
    </r>
    <r>
      <rPr>
        <b/>
        <vertAlign val="superscript"/>
        <sz val="11"/>
        <color theme="1"/>
        <rFont val="Aptos Narrow"/>
        <family val="2"/>
        <scheme val="minor"/>
      </rPr>
      <t>2</t>
    </r>
    <r>
      <rPr>
        <b/>
        <sz val="11"/>
        <color theme="1"/>
        <rFont val="Aptos Narrow"/>
        <family val="2"/>
        <scheme val="minor"/>
      </rPr>
      <t xml:space="preserve">                            (%)</t>
    </r>
  </si>
  <si>
    <r>
      <t>Source of Federal Rental Assistance</t>
    </r>
    <r>
      <rPr>
        <b/>
        <vertAlign val="superscript"/>
        <sz val="11"/>
        <color theme="1"/>
        <rFont val="Aptos Narrow"/>
        <family val="2"/>
        <scheme val="minor"/>
      </rPr>
      <t>1</t>
    </r>
  </si>
  <si>
    <t>HUD Multi-Family Project-Based Rental Assistance (PBRA)                               (%)</t>
  </si>
  <si>
    <t>HUD Section 8 Moderate Rehabilitation                               (%)</t>
  </si>
  <si>
    <t>Public Housing Operating Subsidy                               (%)</t>
  </si>
  <si>
    <t>HOME Rental Assistance                               (%)</t>
  </si>
  <si>
    <t>HUD Housing Choice Voucher (HCV), Tenant-Based                               (%)</t>
  </si>
  <si>
    <t>HUD Project-Based Voucher (PBV)                               (%)</t>
  </si>
  <si>
    <t>USDA Section 521 Rental Assistance Program                               (%)</t>
  </si>
  <si>
    <t>Other Federal Rental Assistance                                (%)</t>
  </si>
  <si>
    <t>Not Reported               (%)</t>
  </si>
  <si>
    <t>Translate to % Units</t>
  </si>
  <si>
    <t>https://www.hud.gov/sites/dfiles/CFO/documents/24_FY21CJ_PBRA.pdf</t>
  </si>
  <si>
    <t>https://www.hud.gov/sites/documents/RFS10_PBV_PBRA.PDF</t>
  </si>
  <si>
    <t>https://www.hud.gov/hudprograms -- office of housing, Renew of Section 8 Project-Based Rental Assistance (contracts</t>
  </si>
  <si>
    <t>Using data from HLC Intelligrants system as of October 2024</t>
  </si>
  <si>
    <t>Imputed Affordable Units</t>
  </si>
  <si>
    <t>Total post 2015</t>
  </si>
  <si>
    <t>With Fed LIHTC</t>
  </si>
  <si>
    <t>Without</t>
  </si>
  <si>
    <t>without/with</t>
  </si>
  <si>
    <t>Tax credit projects</t>
  </si>
  <si>
    <t>From HUD Database</t>
  </si>
  <si>
    <t>Add 8% to TC projects</t>
  </si>
  <si>
    <t>https://www.huduser.gov/portal/datasets/il/il2024/2024summary.odn?inputname=METRO14460MM1120*Boston-Cambridge-Quincy%2C+MA-NH+HUD+Metro+FMR+Area&amp;wherefrom=&amp;selection_type=hmfa&amp;year=2024</t>
  </si>
  <si>
    <t>Boston-Cambridge-Quincy, MA-NH HUD Metro FMR Area</t>
  </si>
  <si>
    <t>ANALYSIS OF ZILLO CURRENT VS. CURRENT AMI LEVELS</t>
  </si>
  <si>
    <t>3 Bedroom Search results from Zillo  on 10/31/2024</t>
  </si>
  <si>
    <t>Income Level</t>
  </si>
  <si>
    <t>Affordable Rent</t>
  </si>
  <si>
    <t>Brighton</t>
  </si>
  <si>
    <t>Roxbury</t>
  </si>
  <si>
    <t>Everett</t>
  </si>
  <si>
    <t>Malden</t>
  </si>
  <si>
    <t>Lynn</t>
  </si>
  <si>
    <t>Back cast of rent levels to 2022 via ZORI</t>
  </si>
  <si>
    <t>Extremely Low Income Limits</t>
  </si>
  <si>
    <t>Very Low (50%) Income Limits</t>
  </si>
  <si>
    <t>2x ELIL</t>
  </si>
  <si>
    <t>Low (80%) Income Limits </t>
  </si>
  <si>
    <t>Median Family Income</t>
  </si>
  <si>
    <t>Any level</t>
  </si>
  <si>
    <t>Any size search results from zillow on 10/31/2024</t>
  </si>
  <si>
    <t>0*</t>
  </si>
  <si>
    <t>.</t>
  </si>
  <si>
    <t>*1 property shown saying call for rent</t>
  </si>
  <si>
    <t>October 31 2022</t>
  </si>
  <si>
    <t>https://en.wikipedia.org/wiki/List_of_Massachusetts_locations_by_per_capita_income</t>
  </si>
  <si>
    <t>Lynn, Malden Everett rank 332, 327, 322 among Massachusetts communities by PCI</t>
  </si>
  <si>
    <t>Boston is 135th</t>
  </si>
  <si>
    <t>Question:  Has rent diverged from income much?</t>
  </si>
  <si>
    <t>2022 Boston-Cambridge-Quincy, MA-NH HUD Metro FMR Area</t>
  </si>
  <si>
    <t>https://www.huduser.gov/portal/datasets/il/il2022/2022summary.odn?states=%24states%24&amp;data=2022&amp;inputname=METRO14460MM1120*Boston-Cambridge-Quincy%2C+MA-NH+HUD+Metro+FMR+Area&amp;stname=%24stname%24&amp;statefp=99&amp;year=2022&amp;selection_type=hmfa</t>
  </si>
  <si>
    <t>From ZORI, Boston MSA increase in rent levels 2024 over 2022</t>
  </si>
  <si>
    <t>MSA AMI Income Change</t>
  </si>
  <si>
    <t>Compare Springfield</t>
  </si>
  <si>
    <t>2022 AMI</t>
  </si>
  <si>
    <t>https://www.huduser.gov/portal/datasets/il/il2022/2022summary.odn?states=%24states%24&amp;data=2022&amp;inputname=METRO44140M44140*Springfield%2C+MA+HUD+Metro+FMR+Area&amp;stname=%24stname%24&amp;statefp=99&amp;year=2022&amp;selection_type=hmfa</t>
  </si>
  <si>
    <t>2024 HUD AMI</t>
  </si>
  <si>
    <t>https://www.huduser.gov/portal/datasets/il/il2024/2024summary.odn?inputname=METRO44140M44140*Springfield%2C+MA+HUD+Metro+FMR+Area&amp;wherefrom=&amp;selection_type=hmfa&amp;year=2024</t>
  </si>
  <si>
    <t>3 Bedroom Search results from Zikllo  on 10/31/2024</t>
  </si>
  <si>
    <t>Springfield</t>
  </si>
  <si>
    <t>Holyoke</t>
  </si>
  <si>
    <t>27*</t>
  </si>
  <si>
    <t>* 28 including  one "Learn more" from Connecticut</t>
  </si>
  <si>
    <t>From ZORI, Springfield MSA increase in rent levels 2024 over 2022</t>
  </si>
  <si>
    <t>Statewide listings available</t>
  </si>
  <si>
    <t xml:space="preserve">Bump 15% above limits -- </t>
  </si>
  <si>
    <t>ACS 2022</t>
  </si>
  <si>
    <t>Zillo 2024 (using inflation-adjusted range)</t>
  </si>
  <si>
    <t xml:space="preserve">Up to 500/575 </t>
  </si>
  <si>
    <t>Less than $500</t>
  </si>
  <si>
    <t>501/576 to 1000/1150</t>
  </si>
  <si>
    <t>$500 to $999</t>
  </si>
  <si>
    <t>1001/1151 to 1500/1725</t>
  </si>
  <si>
    <t>$1,000 to $1,499</t>
  </si>
  <si>
    <t>Search Massachusetts on November 2</t>
  </si>
  <si>
    <t>ANALYSIS OF ZILLOW USING OVER INFLATED RENT LEVELS AS IF 2022 CENSUS MEDIAN WAS BASED ON MARKET DATA -- THIS IS A COUNTERFACTUAL EXERCISE</t>
  </si>
  <si>
    <t>Chart in text uses Zillow Massachusetts analysis and factual 15% inflation rate</t>
  </si>
  <si>
    <t>Drawn Metropolitan Area Listing Count on 11/1</t>
  </si>
  <si>
    <t>Boston</t>
  </si>
  <si>
    <t>Level</t>
  </si>
  <si>
    <t xml:space="preserve">Inflate </t>
  </si>
  <si>
    <t>All</t>
  </si>
  <si>
    <t>All in Range</t>
  </si>
  <si>
    <t>All in Range%</t>
  </si>
  <si>
    <t>Census % in Range</t>
  </si>
  <si>
    <t>3BR</t>
  </si>
  <si>
    <t>$1,500 to $1,999</t>
  </si>
  <si>
    <t>$2,000 to $2,499</t>
  </si>
  <si>
    <t>$2,500 to $2,999</t>
  </si>
  <si>
    <t>$3,000 or more</t>
  </si>
  <si>
    <t>Any</t>
  </si>
  <si>
    <t>From other sheets</t>
  </si>
  <si>
    <t>Worceter</t>
  </si>
  <si>
    <t>Census Area Median 2022</t>
  </si>
  <si>
    <t>ZORI  2022 (12 months)</t>
  </si>
  <si>
    <t>ZORI for 9/30</t>
  </si>
  <si>
    <t>Zillow Area Median in listings 11/1</t>
  </si>
  <si>
    <t>Adjustment factor: Census to today median</t>
  </si>
  <si>
    <t>Adjustment factor: ZORI 2022 to ZORI 9/30</t>
  </si>
  <si>
    <t>Note that in the 5-year data, rents are inflation adjusted to the reference year -- we are using 2022 5-year data</t>
  </si>
  <si>
    <t>https://www2.census.gov/programs-surveys/acs/tech_docs/subject_definitions/2022_ACSSubjectDefinitions.pdf</t>
  </si>
  <si>
    <t>Boston 2022 AMI</t>
  </si>
  <si>
    <t>1 person</t>
  </si>
  <si>
    <t>1 rent</t>
  </si>
  <si>
    <t>4person</t>
  </si>
  <si>
    <t>4 rent</t>
  </si>
  <si>
    <t>Springfield 2022 AMI</t>
  </si>
  <si>
    <t>Finding Boston area median in listings by trial and error</t>
  </si>
  <si>
    <t>1BR</t>
  </si>
  <si>
    <t>2BR</t>
  </si>
  <si>
    <t>https://www.zillow.com/homes/for_rent/?searchQueryState=%7B%22isMapVisible%22%3Atrue%2C%22mapBounds%22%3A%7B%22west%22%3A-72.22539479131122%2C%22east%22%3A-70.22862965459247%2C%22south%22%3A41.66364344517204%2C%22north%22%3A42.85479136835497%7D%2C%22filterState%22%3A%7B%22fr%22%3A%7B%22value%22%3Atrue%7D%2C%22fsba%22%3A%7B%22value%22%3Afalse%7D%2C%22fsbo%22%3A%7B%22value%22%3Afalse%7D%2C%22nc%22%3A%7B%22value%22%3Afalse%7D%2C%22cmsn%22%3A%7B%22value%22%3Afalse%7D%2C%22auc%22%3A%7B%22value%22%3Afalse%7D%2C%22fore%22%3A%7B%22value%22%3Afalse%7D%2C%22mf%22%3A%7B%22value%22%3Afalse%7D%2C%22land%22%3A%7B%22value%22%3Afalse%7D%2C%22manu%22%3A%7B%22value%22%3Afalse%7D%2C%22beds%22%3A%7B%22min%22%3A3%7D%2C%22mp%22%3A%7B%22max%22%3A5090%7D%7D%2C%22isListVisible%22%3Atrue%2C%22usersSearchTerm%22%3A%22%22%2C%22customRegionId%22%3A%22f933d67251X1-CRhnrq25konlmm_rb9qx%22%2C%22pagination%22%3A%7B%7D%7D</t>
  </si>
  <si>
    <t>Census Map to Compare: https://data.census.gov/map/310XX00US14460?layer=VT_2022_310_M7_PY_D1&amp;loc=42.5774,-71.2124,z8.1101</t>
  </si>
  <si>
    <t>Also compare HUD area definitions -- similar, but smaller: https://www.mass.gov/doc/12917/download (2012)</t>
  </si>
  <si>
    <t>NOTE: Missing nothing to the north -- no listings within visually determined northern extent of Boston MSA</t>
  </si>
  <si>
    <t xml:space="preserve">Compare expanded area -- boundary removed -- 28192 listings -- not many more </t>
  </si>
  <si>
    <t>Finding Springfield Median by trial and error</t>
  </si>
  <si>
    <t xml:space="preserve">All </t>
  </si>
  <si>
    <t>325  listings</t>
  </si>
  <si>
    <t>169 listings</t>
  </si>
  <si>
    <t>165 listings</t>
  </si>
  <si>
    <t>164 listings</t>
  </si>
  <si>
    <t>https://www.zillow.com/homes/for_rent/?searchQueryState=%7B%22isMapVisible%22%3Atrue%2C%22mapBounds%22%3A%7B%22west%22%3A-72.85529919867146%2C%22east%22%3A-72.06806012396443%2C%22south%22%3A42.02202964530904%2C%22north%22%3A42.29028408733701%7D%2C%22usersSearchTerm%22%3A%22%22%2C%22filterState%22%3A%7B%22fr%22%3A%7B%22value%22%3Atrue%7D%2C%22fsba%22%3A%7B%22value%22%3Afalse%7D%2C%22fsbo%22%3A%7B%22value%22%3Afalse%7D%2C%22nc%22%3A%7B%22value%22%3Afalse%7D%2C%22cmsn%22%3A%7B%22value%22%3Afalse%7D%2C%22auc%22%3A%7B%22value%22%3Afalse%7D%2C%22fore%22%3A%7B%22value%22%3Afalse%7D%2C%22mp%22%3A%7B%22min%22%3Anull%7D%2C%22mf%22%3A%7B%22value%22%3Afalse%7D%2C%22land%22%3A%7B%22value%22%3Afalse%7D%2C%22manu%22%3A%7B%22value%22%3Afalse%7D%7D%2C%22isListVisible%22%3Atrue%2C%22mapZoom%22%3A12%2C%22customRegionId%22%3A%22800c267252X1-CR1ptrvntpelb6e_1ex3mm%22%7D</t>
  </si>
  <si>
    <t>If remove boundary and do larger area, do double listings: 762 rentals available (include CT)</t>
  </si>
  <si>
    <t>https://www.zillow.com/research/data/</t>
  </si>
  <si>
    <t>ZORI (Smoothed): All Homes Plus Multifamily Time Series ($) Downloaded for US and Metro</t>
  </si>
  <si>
    <t>RegionID</t>
  </si>
  <si>
    <t>SizeRank</t>
  </si>
  <si>
    <t>RegionName</t>
  </si>
  <si>
    <t>RegionType</t>
  </si>
  <si>
    <t>StateName</t>
  </si>
  <si>
    <t>Boston, MA</t>
  </si>
  <si>
    <t>msa</t>
  </si>
  <si>
    <t>Percent Change first 9 months of 2022 vs first 9 months of 2024</t>
  </si>
  <si>
    <t>Springfield, MA</t>
  </si>
  <si>
    <r>
      <t>Zillow Observed Rent Index (ZORI)</t>
    </r>
    <r>
      <rPr>
        <sz val="12"/>
        <color rgb="FF2A2A33"/>
        <rFont val="Tahoma"/>
        <family val="2"/>
      </rPr>
      <t>: A smoothed measure of the typical observed market rate rent across a given region. ZORI is a repeat-rent index that is weighted to the rental housing stock to ensure representativeness across the entire market, not just those homes currently listed for-rent. The index is dollar-denominated by computing the mean of listed rents that fall into the 35th to 65th percentile range for all homes and apartments in a given region, which is weighted to reflect the rental housing stock.</t>
    </r>
  </si>
  <si>
    <t>Worcester, MA</t>
  </si>
  <si>
    <t>https://data.census.gov/table/ACSDP5Y2022.DP04?q=rent%20in%20boston%20massachusetts%20in%202022&amp;g=310XX00US14460,44140&amp;moe=true</t>
  </si>
  <si>
    <t>Selected Housing Characteristics</t>
  </si>
  <si>
    <t>Note: The table shown may have been modified by user selections. Some information may be missing.</t>
  </si>
  <si>
    <t>DATA NOTES</t>
  </si>
  <si>
    <t/>
  </si>
  <si>
    <t>TABLE ID:</t>
  </si>
  <si>
    <t>DP04</t>
  </si>
  <si>
    <t>SURVEY/PROGRAM:</t>
  </si>
  <si>
    <t>American Community Survey</t>
  </si>
  <si>
    <t>VINTAGE:</t>
  </si>
  <si>
    <t>2022</t>
  </si>
  <si>
    <t>DATASET:</t>
  </si>
  <si>
    <t>ACSDP5Y2022</t>
  </si>
  <si>
    <t>PRODUCT:</t>
  </si>
  <si>
    <t>ACS 5-Year Estimates Data Profiles</t>
  </si>
  <si>
    <t>UNIVERSE:</t>
  </si>
  <si>
    <t>None</t>
  </si>
  <si>
    <t>MLA:</t>
  </si>
  <si>
    <t>U.S. Census Bureau. "Selected Housing Characteristics." American Community Survey, ACS 5-Year Estimates Data Profiles, Table DP04, 2022, https://data.census.gov/table/ACSDP5Y2022.DP04?q=rent in boston massachusetts in 2022&amp;g=310XX00US14460,44140&amp;moe=true. Accessed on November 1, 2024.</t>
  </si>
  <si>
    <t>FTP URL:</t>
  </si>
  <si>
    <t>API URL:</t>
  </si>
  <si>
    <t>https://api.census.gov/data/2022/acs/acs5/profile</t>
  </si>
  <si>
    <t>USER SELECTIONS</t>
  </si>
  <si>
    <t>GEOS</t>
  </si>
  <si>
    <t>Boston city, Massachusetts; Boston-Cambridge-Newton, MA-NH Metro Area; Springfield, MA Metro Area</t>
  </si>
  <si>
    <t>VINTAGES</t>
  </si>
  <si>
    <t>EXCLUDED COLUMNS</t>
  </si>
  <si>
    <t>APPLIED FILTERS</t>
  </si>
  <si>
    <t>APPLIED SORTS</t>
  </si>
  <si>
    <t>PIVOT &amp; GROUPING</t>
  </si>
  <si>
    <t>PIVOT COLUMNS</t>
  </si>
  <si>
    <t>PIVOT MODE</t>
  </si>
  <si>
    <t>Off</t>
  </si>
  <si>
    <t>ROW GROUPS</t>
  </si>
  <si>
    <t>VALUE COLUMNS</t>
  </si>
  <si>
    <t>WEB ADDRESS</t>
  </si>
  <si>
    <t>TABLE NOTES</t>
  </si>
  <si>
    <t>Although the American Community Survey (ACS) produces population, demographic and housing unit estimates, the decennial census is the official source of population totals for April 1st of each decennial year. In between censuses, the Census Bureau's Population Estimates Program produces and disseminates the official estimates of the population for the nation, states, counties, cities, and towns and estimates of housing units for states and counties.</t>
  </si>
  <si>
    <t>Information about the American Community Survey (ACS) can be found on the ACS website. Supporting documentation including code lists, subject definitions, data accuracy, and statistical testing, and a full list of ACS tables and table shells (without estimates) can be found on the Technical Documentation section of the ACS website.
Sample size and data quality measures (including coverage rates, allocation rates, and response rates) can be found on the American Community Survey website in the Methodology section.</t>
  </si>
  <si>
    <t>Source: U.S. Census Bureau, 2018-2022 American Community Survey 5-Year Estimates</t>
  </si>
  <si>
    <t>Data are based on a sample and are subject to sampling variability. The degree of uncertainty for an estimate arising from sampling variability is represented through the use of a margin of error. The value shown here is the 90 percent margin of error. The margin of error can be interpreted roughly as providing a 90 percent probability that the interval defined by the estimate minus the margin of error and the estimate plus the margin of error (the lower and upper confidence bounds) contains the true value. In addition to sampling variability, the ACS estimates are subject to nonsampling error (for a discussion of nonsampling variability, see ACS Technical Documentation). The effect of nonsampling error is not represented in these tables.</t>
  </si>
  <si>
    <t>Households not paying cash rent are excluded from the calculation of median gross rent.</t>
  </si>
  <si>
    <t>Telephone service data are not available for certain geographic areas due to problems with data collection of this question that occurred in 2019. Both ACS 1-year and ACS 5-year files were affected. It may take several years in the ACS 5-year files until the estimates are available for the geographic areas affected.</t>
  </si>
  <si>
    <t>The 2018-2022 American Community Survey (ACS) data generally reflect the March 2020 Office of Management and Budget (OMB) delineations of metropolitan and micropolitan statistical areas. In certain instances, the names, codes, and boundaries of the principal cities shown in ACS tables may differ from the OMB delineation lists due to differences in the effective dates of the geographic entities.</t>
  </si>
  <si>
    <t>Estimates of urban and rural populations, housing units, and characteristics reflect boundaries of urban areas defined based on 2020 Census data. As a result, data for urban and rural areas from the ACS do not necessarily reflect the results of ongoing urbanization.</t>
  </si>
  <si>
    <t>Explanation of Symbols:- The estimate could not be computed because there were an insufficient number of sample observations. For a ratio of medians estimate, one or both of the median estimates falls in the lowest interval or highest interval of an open-ended distribution. For a 5-year median estimate, the margin of error associated with a median was larger than the median itself.N The estimate or margin of error cannot be displayed because there were an insufficient number of sample cases in the selected geographic area. (X) The estimate or margin of error is not applicable or not available.median- The median falls in the lowest interval of an open-ended distribution (for example "2,500-")median+ The median falls in the highest interval of an open-ended distribution (for example "250,000+").** The margin of error could not be computed because there were an insufficient number of sample observations.*** The margin of error could not be computed because the median falls in the lowest interval or highest interval of an open-ended distribution.***** A margin of error is not appropriate because the corresponding estimate is controlled to an independent population or housing estimate. Effectively, the corresponding estimate has no sampling error and the margin of error may be treated as zero.</t>
  </si>
  <si>
    <t>COLUMN NOTES</t>
  </si>
  <si>
    <t>Boston city, Massachusetts</t>
  </si>
  <si>
    <t>Boston-Cambridge-Newton, MA-NH Metro Area</t>
  </si>
  <si>
    <t>Springfield, MA Metro Area</t>
  </si>
  <si>
    <t>Label</t>
  </si>
  <si>
    <t>Estimate</t>
  </si>
  <si>
    <t>Margin of Error</t>
  </si>
  <si>
    <t>Percent</t>
  </si>
  <si>
    <t>Percent Margin of Error</t>
  </si>
  <si>
    <t>HOUSING OCCUPANCY</t>
  </si>
  <si>
    <t>Total housing units</t>
  </si>
  <si>
    <t>±895</t>
  </si>
  <si>
    <t>304,079</t>
  </si>
  <si>
    <t>(X)</t>
  </si>
  <si>
    <t>±334</t>
  </si>
  <si>
    <t>2,033,504</t>
  </si>
  <si>
    <t>±173</t>
  </si>
  <si>
    <t>297,526</t>
  </si>
  <si>
    <t>Occupied housing units</t>
  </si>
  <si>
    <t>±1,667</t>
  </si>
  <si>
    <t>90.8%</t>
  </si>
  <si>
    <t>±0.5</t>
  </si>
  <si>
    <t>±3,983</t>
  </si>
  <si>
    <t>94.1%</t>
  </si>
  <si>
    <t>±0.2</t>
  </si>
  <si>
    <t>±1,223</t>
  </si>
  <si>
    <t>92.8%</t>
  </si>
  <si>
    <t>±0.4</t>
  </si>
  <si>
    <t>Vacant housing units</t>
  </si>
  <si>
    <t>±1,438</t>
  </si>
  <si>
    <t>9.2%</t>
  </si>
  <si>
    <t>±3,915</t>
  </si>
  <si>
    <t>5.9%</t>
  </si>
  <si>
    <t>±1,234</t>
  </si>
  <si>
    <t>7.2%</t>
  </si>
  <si>
    <t>Homeowner vacancy rate</t>
  </si>
  <si>
    <t>±0.3</t>
  </si>
  <si>
    <t>±0.1</t>
  </si>
  <si>
    <t>Rental vacancy rate</t>
  </si>
  <si>
    <t>±0.6</t>
  </si>
  <si>
    <t>UNITS IN STRUCTURE</t>
  </si>
  <si>
    <t>1-unit, detached</t>
  </si>
  <si>
    <t>±1,255</t>
  </si>
  <si>
    <t>12.0%</t>
  </si>
  <si>
    <t>±4,864</t>
  </si>
  <si>
    <t>47.1%</t>
  </si>
  <si>
    <t>±1,975</t>
  </si>
  <si>
    <t>58.1%</t>
  </si>
  <si>
    <t>±0.7</t>
  </si>
  <si>
    <t>1-unit, attached</t>
  </si>
  <si>
    <t>±1,015</t>
  </si>
  <si>
    <t>6.1%</t>
  </si>
  <si>
    <t>±2,870</t>
  </si>
  <si>
    <t>6.3%</t>
  </si>
  <si>
    <t>±873</t>
  </si>
  <si>
    <t>4.6%</t>
  </si>
  <si>
    <t>2 units</t>
  </si>
  <si>
    <t>±1,528</t>
  </si>
  <si>
    <t>12.4%</t>
  </si>
  <si>
    <t>±4,123</t>
  </si>
  <si>
    <t>9.8%</t>
  </si>
  <si>
    <t>±1,414</t>
  </si>
  <si>
    <t>11.0%</t>
  </si>
  <si>
    <t>3 or 4 units</t>
  </si>
  <si>
    <t>±1,710</t>
  </si>
  <si>
    <t>23.4%</t>
  </si>
  <si>
    <t>±3,532</t>
  </si>
  <si>
    <t>10.5%</t>
  </si>
  <si>
    <t>±1,146</t>
  </si>
  <si>
    <t>8.0%</t>
  </si>
  <si>
    <t>5 to 9 units</t>
  </si>
  <si>
    <t>11.3%</t>
  </si>
  <si>
    <t>±3,342</t>
  </si>
  <si>
    <t>5.8%</t>
  </si>
  <si>
    <t>±1,175</t>
  </si>
  <si>
    <t>10 to 19 units</t>
  </si>
  <si>
    <t>±1,230</t>
  </si>
  <si>
    <t>7.8%</t>
  </si>
  <si>
    <t>±2,947</t>
  </si>
  <si>
    <t>4.9%</t>
  </si>
  <si>
    <t>±681</t>
  </si>
  <si>
    <t>3.1%</t>
  </si>
  <si>
    <t>20 or more units</t>
  </si>
  <si>
    <t>±1,645</t>
  </si>
  <si>
    <t>26.7%</t>
  </si>
  <si>
    <t>±3,867</t>
  </si>
  <si>
    <t>14.5%</t>
  </si>
  <si>
    <t>±996</t>
  </si>
  <si>
    <t>7.3%</t>
  </si>
  <si>
    <t>Mobile home</t>
  </si>
  <si>
    <t>±184</t>
  </si>
  <si>
    <t>0.2%</t>
  </si>
  <si>
    <t>±1,151</t>
  </si>
  <si>
    <t>1.1%</t>
  </si>
  <si>
    <t>±440</t>
  </si>
  <si>
    <t>1.5%</t>
  </si>
  <si>
    <t>Boat, RV, van, etc.</t>
  </si>
  <si>
    <t>±58</t>
  </si>
  <si>
    <t>0.0%</t>
  </si>
  <si>
    <t>±236</t>
  </si>
  <si>
    <t>±36</t>
  </si>
  <si>
    <t>YEAR STRUCTURE BUILT</t>
  </si>
  <si>
    <t>Built 2020 or later</t>
  </si>
  <si>
    <t>±321</t>
  </si>
  <si>
    <t>0.5%</t>
  </si>
  <si>
    <t>±660</t>
  </si>
  <si>
    <t>0.4%</t>
  </si>
  <si>
    <t>±180</t>
  </si>
  <si>
    <t>Built 2010 to 2019</t>
  </si>
  <si>
    <t>±1,054</t>
  </si>
  <si>
    <t>8.3%</t>
  </si>
  <si>
    <t>±2,414</t>
  </si>
  <si>
    <t>6.6%</t>
  </si>
  <si>
    <t>±816</t>
  </si>
  <si>
    <t>3.0%</t>
  </si>
  <si>
    <t>Built 2000 to 2009</t>
  </si>
  <si>
    <t>±1,056</t>
  </si>
  <si>
    <t>6.4%</t>
  </si>
  <si>
    <t>±3,001</t>
  </si>
  <si>
    <t>7.5%</t>
  </si>
  <si>
    <t>±1,020</t>
  </si>
  <si>
    <t>5.3%</t>
  </si>
  <si>
    <t>Built 1990 to 1999</t>
  </si>
  <si>
    <t>±960</t>
  </si>
  <si>
    <t>4.3%</t>
  </si>
  <si>
    <t>±3,178</t>
  </si>
  <si>
    <t>±1,276</t>
  </si>
  <si>
    <t>7.0%</t>
  </si>
  <si>
    <t>Built 1980 to 1989</t>
  </si>
  <si>
    <t>±1,065</t>
  </si>
  <si>
    <t>5.7%</t>
  </si>
  <si>
    <t>±3,278</t>
  </si>
  <si>
    <t>10.4%</t>
  </si>
  <si>
    <t>±1,087</t>
  </si>
  <si>
    <t>10.8%</t>
  </si>
  <si>
    <t>Built 1970 to 1979</t>
  </si>
  <si>
    <t>±1,133</t>
  </si>
  <si>
    <t>7.7%</t>
  </si>
  <si>
    <t>±3,729</t>
  </si>
  <si>
    <t>10.7%</t>
  </si>
  <si>
    <t>±1,291</t>
  </si>
  <si>
    <t>12.6%</t>
  </si>
  <si>
    <t>Built 1960 to 1969</t>
  </si>
  <si>
    <t>±1,340</t>
  </si>
  <si>
    <t>7.4%</t>
  </si>
  <si>
    <t>±3,310</t>
  </si>
  <si>
    <t>9.9%</t>
  </si>
  <si>
    <t>±1,126</t>
  </si>
  <si>
    <t>10.9%</t>
  </si>
  <si>
    <t>Built 1950 to 1959</t>
  </si>
  <si>
    <t>±1,385</t>
  </si>
  <si>
    <t>±3,372</t>
  </si>
  <si>
    <t>±1,473</t>
  </si>
  <si>
    <t>Built 1940 to 1949</t>
  </si>
  <si>
    <t>±1,143</t>
  </si>
  <si>
    <t>5.2%</t>
  </si>
  <si>
    <t>±2,599</t>
  </si>
  <si>
    <t>±1,219</t>
  </si>
  <si>
    <t>Built 1939 or earlier</t>
  </si>
  <si>
    <t>±2,485</t>
  </si>
  <si>
    <t>47.3%</t>
  </si>
  <si>
    <t>±0.8</t>
  </si>
  <si>
    <t>±4,525</t>
  </si>
  <si>
    <t>31.9%</t>
  </si>
  <si>
    <t>±1,894</t>
  </si>
  <si>
    <t>29.3%</t>
  </si>
  <si>
    <t>ROOMS</t>
  </si>
  <si>
    <t>1 room</t>
  </si>
  <si>
    <t>±1,256</t>
  </si>
  <si>
    <t>7.1%</t>
  </si>
  <si>
    <t>±2,114</t>
  </si>
  <si>
    <t>2.9%</t>
  </si>
  <si>
    <t>±758</t>
  </si>
  <si>
    <t>2.5%</t>
  </si>
  <si>
    <t>2 rooms</t>
  </si>
  <si>
    <t>±1,202</t>
  </si>
  <si>
    <t>±2,434</t>
  </si>
  <si>
    <t>4.1%</t>
  </si>
  <si>
    <t>±720</t>
  </si>
  <si>
    <t>2.7%</t>
  </si>
  <si>
    <t>3 rooms</t>
  </si>
  <si>
    <t>±1,772</t>
  </si>
  <si>
    <t>19.0%</t>
  </si>
  <si>
    <t>±3,343</t>
  </si>
  <si>
    <t>11.4%</t>
  </si>
  <si>
    <t>±1,206</t>
  </si>
  <si>
    <t>8.5%</t>
  </si>
  <si>
    <t>4 rooms</t>
  </si>
  <si>
    <t>±2,104</t>
  </si>
  <si>
    <t>22.4%</t>
  </si>
  <si>
    <t>±4,987</t>
  </si>
  <si>
    <t>15.9%</t>
  </si>
  <si>
    <t>±1,554</t>
  </si>
  <si>
    <t>15.6%</t>
  </si>
  <si>
    <t>5 rooms</t>
  </si>
  <si>
    <t>±2,097</t>
  </si>
  <si>
    <t>18.3%</t>
  </si>
  <si>
    <t>±4,552</t>
  </si>
  <si>
    <t>±1,728</t>
  </si>
  <si>
    <t>21.5%</t>
  </si>
  <si>
    <t>6 rooms</t>
  </si>
  <si>
    <t>12.1%</t>
  </si>
  <si>
    <t>±4,515</t>
  </si>
  <si>
    <t>15.5%</t>
  </si>
  <si>
    <t>±1,488</t>
  </si>
  <si>
    <t>19.2%</t>
  </si>
  <si>
    <t>7 rooms</t>
  </si>
  <si>
    <t>±1,100</t>
  </si>
  <si>
    <t>±3,419</t>
  </si>
  <si>
    <t>11.7%</t>
  </si>
  <si>
    <t>±1,541</t>
  </si>
  <si>
    <t>12.2%</t>
  </si>
  <si>
    <t>8 rooms</t>
  </si>
  <si>
    <t>±829</t>
  </si>
  <si>
    <t>3.4%</t>
  </si>
  <si>
    <t>±3,101</t>
  </si>
  <si>
    <t>9.5%</t>
  </si>
  <si>
    <t>±1,147</t>
  </si>
  <si>
    <t>9 rooms or more</t>
  </si>
  <si>
    <t>±1,041</t>
  </si>
  <si>
    <t>4.7%</t>
  </si>
  <si>
    <t>±3,313</t>
  </si>
  <si>
    <t>13.2%</t>
  </si>
  <si>
    <t>Median rooms</t>
  </si>
  <si>
    <t>BEDROOMS</t>
  </si>
  <si>
    <t>No bedroom</t>
  </si>
  <si>
    <t>±1,315</t>
  </si>
  <si>
    <t>7.9%</t>
  </si>
  <si>
    <t>±2,064</t>
  </si>
  <si>
    <t>3.3%</t>
  </si>
  <si>
    <t>±775</t>
  </si>
  <si>
    <t>1 bedroom</t>
  </si>
  <si>
    <t>±2,069</t>
  </si>
  <si>
    <t>24.0%</t>
  </si>
  <si>
    <t>±4,419</t>
  </si>
  <si>
    <t>14.8%</t>
  </si>
  <si>
    <t>±1,157</t>
  </si>
  <si>
    <t>2 bedrooms</t>
  </si>
  <si>
    <t>±2,136</t>
  </si>
  <si>
    <t>33.9%</t>
  </si>
  <si>
    <t>±4,844</t>
  </si>
  <si>
    <t>28.4%</t>
  </si>
  <si>
    <t>±1,963</t>
  </si>
  <si>
    <t>27.8%</t>
  </si>
  <si>
    <t>3 bedrooms</t>
  </si>
  <si>
    <t>±1,832</t>
  </si>
  <si>
    <t>23.6%</t>
  </si>
  <si>
    <t>±4,911</t>
  </si>
  <si>
    <t>31.8%</t>
  </si>
  <si>
    <t>±1,759</t>
  </si>
  <si>
    <t>38.5%</t>
  </si>
  <si>
    <t>4 bedrooms</t>
  </si>
  <si>
    <t>±1,243</t>
  </si>
  <si>
    <t>7.6%</t>
  </si>
  <si>
    <t>±4,605</t>
  </si>
  <si>
    <t>16.8%</t>
  </si>
  <si>
    <t>±1,138</t>
  </si>
  <si>
    <t>14.9%</t>
  </si>
  <si>
    <t>5 or more bedrooms</t>
  </si>
  <si>
    <t>±734</t>
  </si>
  <si>
    <t>±2,203</t>
  </si>
  <si>
    <t>4.8%</t>
  </si>
  <si>
    <t>±780</t>
  </si>
  <si>
    <t>4.0%</t>
  </si>
  <si>
    <t>HOUSING TENURE</t>
  </si>
  <si>
    <t>276,053</t>
  </si>
  <si>
    <t>1,913,599</t>
  </si>
  <si>
    <t>276,028</t>
  </si>
  <si>
    <t>Owner-occupied</t>
  </si>
  <si>
    <t>±1,996</t>
  </si>
  <si>
    <t>34.8%</t>
  </si>
  <si>
    <t>±6,492</t>
  </si>
  <si>
    <t>61.5%</t>
  </si>
  <si>
    <t>±1,697</t>
  </si>
  <si>
    <t>64.2%</t>
  </si>
  <si>
    <t>Renter-occupied</t>
  </si>
  <si>
    <t>±2,471</t>
  </si>
  <si>
    <t>65.2%</t>
  </si>
  <si>
    <t>±5,609</t>
  </si>
  <si>
    <t>±1,702</t>
  </si>
  <si>
    <t>35.8%</t>
  </si>
  <si>
    <t>Average household size of owner-occupied unit</t>
  </si>
  <si>
    <t>±0.03</t>
  </si>
  <si>
    <t>±0.01</t>
  </si>
  <si>
    <t>±0.02</t>
  </si>
  <si>
    <t>Average household size of renter-occupied unit</t>
  </si>
  <si>
    <t>YEAR HOUSEHOLDER MOVED INTO UNIT</t>
  </si>
  <si>
    <t>Moved in 2021 or later</t>
  </si>
  <si>
    <t>±1,036</t>
  </si>
  <si>
    <t>±2,617</t>
  </si>
  <si>
    <t>±831</t>
  </si>
  <si>
    <t>3.6%</t>
  </si>
  <si>
    <t>Moved in 2018 to 2020</t>
  </si>
  <si>
    <t>±2,141</t>
  </si>
  <si>
    <t>25.0%</t>
  </si>
  <si>
    <t>±4,678</t>
  </si>
  <si>
    <t>19.3%</t>
  </si>
  <si>
    <t>±1,563</t>
  </si>
  <si>
    <t>16.6%</t>
  </si>
  <si>
    <t>Moved in 2010 to 2017</t>
  </si>
  <si>
    <t>±2,164</t>
  </si>
  <si>
    <t>36.1%</t>
  </si>
  <si>
    <t>±5,225</t>
  </si>
  <si>
    <t>33.7%</t>
  </si>
  <si>
    <t>±2,176</t>
  </si>
  <si>
    <t>31.5%</t>
  </si>
  <si>
    <t>Moved in 2000 to 2009</t>
  </si>
  <si>
    <t>±1,547</t>
  </si>
  <si>
    <t>15.2%</t>
  </si>
  <si>
    <t>±3,910</t>
  </si>
  <si>
    <t>18.0%</t>
  </si>
  <si>
    <t>±1,644</t>
  </si>
  <si>
    <t>20.2%</t>
  </si>
  <si>
    <t>Moved in 1990 to 1999</t>
  </si>
  <si>
    <t>±1,090</t>
  </si>
  <si>
    <t>±3,142</t>
  </si>
  <si>
    <t>±1,125</t>
  </si>
  <si>
    <t>Moved in 1989 and earlier</t>
  </si>
  <si>
    <t>±1,127</t>
  </si>
  <si>
    <t>±3,057</t>
  </si>
  <si>
    <t>±1,287</t>
  </si>
  <si>
    <t>16.0%</t>
  </si>
  <si>
    <t>VEHICLES AVAILABLE</t>
  </si>
  <si>
    <t>No vehicles available</t>
  </si>
  <si>
    <t>±2,353</t>
  </si>
  <si>
    <t>±3,964</t>
  </si>
  <si>
    <t>12.7%</t>
  </si>
  <si>
    <t>±1,390</t>
  </si>
  <si>
    <t>10.6%</t>
  </si>
  <si>
    <t>1 vehicle available</t>
  </si>
  <si>
    <t>±2,008</t>
  </si>
  <si>
    <t>42.8%</t>
  </si>
  <si>
    <t>±5,371</t>
  </si>
  <si>
    <t>35.3%</t>
  </si>
  <si>
    <t>±2,454</t>
  </si>
  <si>
    <t>36.5%</t>
  </si>
  <si>
    <t>±0.9</t>
  </si>
  <si>
    <t>2 vehicles available</t>
  </si>
  <si>
    <t>±1,709</t>
  </si>
  <si>
    <t>17.9%</t>
  </si>
  <si>
    <t>±5,977</t>
  </si>
  <si>
    <t>35.7%</t>
  </si>
  <si>
    <t>±2,303</t>
  </si>
  <si>
    <t>36.0%</t>
  </si>
  <si>
    <t>3 or more vehicles available</t>
  </si>
  <si>
    <t>±911</t>
  </si>
  <si>
    <t>5.5%</t>
  </si>
  <si>
    <t>±3,668</t>
  </si>
  <si>
    <t>16.2%</t>
  </si>
  <si>
    <t>±1,553</t>
  </si>
  <si>
    <t>17.0%</t>
  </si>
  <si>
    <t>HOUSE HEATING FUEL</t>
  </si>
  <si>
    <t>Utility gas</t>
  </si>
  <si>
    <t>±2,315</t>
  </si>
  <si>
    <t>58.0%</t>
  </si>
  <si>
    <t>±5,547</t>
  </si>
  <si>
    <t>53.1%</t>
  </si>
  <si>
    <t>±2,265</t>
  </si>
  <si>
    <t>41.6%</t>
  </si>
  <si>
    <t>Bottled, tank, or LP gas</t>
  </si>
  <si>
    <t>±551</t>
  </si>
  <si>
    <t>±2,579</t>
  </si>
  <si>
    <t>5.0%</t>
  </si>
  <si>
    <t>±964</t>
  </si>
  <si>
    <t>Electricity</t>
  </si>
  <si>
    <t>±2,021</t>
  </si>
  <si>
    <t>29.8%</t>
  </si>
  <si>
    <t>±4,735</t>
  </si>
  <si>
    <t>17.3%</t>
  </si>
  <si>
    <t>±1,684</t>
  </si>
  <si>
    <t>18.9%</t>
  </si>
  <si>
    <t>Fuel oil, kerosene, etc.</t>
  </si>
  <si>
    <t>±1,216</t>
  </si>
  <si>
    <t>±4,688</t>
  </si>
  <si>
    <t>22.3%</t>
  </si>
  <si>
    <t>±1,921</t>
  </si>
  <si>
    <t>28.0%</t>
  </si>
  <si>
    <t>Coal or coke</t>
  </si>
  <si>
    <t>±21</t>
  </si>
  <si>
    <t>±283</t>
  </si>
  <si>
    <t>±104</t>
  </si>
  <si>
    <t>0.1%</t>
  </si>
  <si>
    <t>Wood</t>
  </si>
  <si>
    <t>±96</t>
  </si>
  <si>
    <t>±883</t>
  </si>
  <si>
    <t>0.7%</t>
  </si>
  <si>
    <t>±505</t>
  </si>
  <si>
    <t>3.2%</t>
  </si>
  <si>
    <t>Solar energy</t>
  </si>
  <si>
    <t>±94</t>
  </si>
  <si>
    <t>±357</t>
  </si>
  <si>
    <t>±168</t>
  </si>
  <si>
    <t>0.3%</t>
  </si>
  <si>
    <t>Other fuel</t>
  </si>
  <si>
    <t>±293</t>
  </si>
  <si>
    <t>0.6%</t>
  </si>
  <si>
    <t>±801</t>
  </si>
  <si>
    <t>±404</t>
  </si>
  <si>
    <t>1.2%</t>
  </si>
  <si>
    <t>No fuel used</t>
  </si>
  <si>
    <t>±527</t>
  </si>
  <si>
    <t>±955</t>
  </si>
  <si>
    <t>±548</t>
  </si>
  <si>
    <t>SELECTED CHARACTERISTICS</t>
  </si>
  <si>
    <t>Lacking complete plumbing facilities</t>
  </si>
  <si>
    <t>±248</t>
  </si>
  <si>
    <t>±555</t>
  </si>
  <si>
    <t>±165</t>
  </si>
  <si>
    <t>Lacking complete kitchen facilities</t>
  </si>
  <si>
    <t>±479</t>
  </si>
  <si>
    <t>0.9%</t>
  </si>
  <si>
    <t>±1,089</t>
  </si>
  <si>
    <t>0.8%</t>
  </si>
  <si>
    <t>±333</t>
  </si>
  <si>
    <t>No telephone service available</t>
  </si>
  <si>
    <t>±531</t>
  </si>
  <si>
    <t>±1,077</t>
  </si>
  <si>
    <t>±477</t>
  </si>
  <si>
    <t>1.3%</t>
  </si>
  <si>
    <t>OCCUPANTS PER ROOM</t>
  </si>
  <si>
    <t>1.00 or less</t>
  </si>
  <si>
    <t>±1,751</t>
  </si>
  <si>
    <t>96.4%</t>
  </si>
  <si>
    <t>±4,169</t>
  </si>
  <si>
    <t>97.7%</t>
  </si>
  <si>
    <t>±1,326</t>
  </si>
  <si>
    <t>98.4%</t>
  </si>
  <si>
    <t>1.01 to 1.50</t>
  </si>
  <si>
    <t>±608</t>
  </si>
  <si>
    <t>1.9%</t>
  </si>
  <si>
    <t>±1,592</t>
  </si>
  <si>
    <t>±409</t>
  </si>
  <si>
    <t>1.0%</t>
  </si>
  <si>
    <t>1.51 or more</t>
  </si>
  <si>
    <t>±644</t>
  </si>
  <si>
    <t>1.7%</t>
  </si>
  <si>
    <t>±1,318</t>
  </si>
  <si>
    <t>±380</t>
  </si>
  <si>
    <t>VALUE</t>
  </si>
  <si>
    <t>Owner-occupied units</t>
  </si>
  <si>
    <t>96,186</t>
  </si>
  <si>
    <t>1,177,476</t>
  </si>
  <si>
    <t>177,220</t>
  </si>
  <si>
    <t>Less than $50,000</t>
  </si>
  <si>
    <t>±400</t>
  </si>
  <si>
    <t>2.4%</t>
  </si>
  <si>
    <t>1.6%</t>
  </si>
  <si>
    <t>±487</t>
  </si>
  <si>
    <t>$50,000 to $99,999</t>
  </si>
  <si>
    <t>±176</t>
  </si>
  <si>
    <t>±861</t>
  </si>
  <si>
    <t>2.1%</t>
  </si>
  <si>
    <t>$100,000 to $149,999</t>
  </si>
  <si>
    <t>±85</t>
  </si>
  <si>
    <t>±928</t>
  </si>
  <si>
    <t>±604</t>
  </si>
  <si>
    <t>5.4%</t>
  </si>
  <si>
    <t>$150,000 to $199,999</t>
  </si>
  <si>
    <t>±1,142</t>
  </si>
  <si>
    <t>1.4%</t>
  </si>
  <si>
    <t>±991</t>
  </si>
  <si>
    <t>$200,000 to $299,999</t>
  </si>
  <si>
    <t>±549</t>
  </si>
  <si>
    <t>3.9%</t>
  </si>
  <si>
    <t>±2,352</t>
  </si>
  <si>
    <t>±1,583</t>
  </si>
  <si>
    <t>$300,000 to $499,999</t>
  </si>
  <si>
    <t>±1,045</t>
  </si>
  <si>
    <t>18.7%</t>
  </si>
  <si>
    <t>±1.0</t>
  </si>
  <si>
    <t>±4,535</t>
  </si>
  <si>
    <t>29.5%</t>
  </si>
  <si>
    <t>±1,417</t>
  </si>
  <si>
    <t>32.4%</t>
  </si>
  <si>
    <t>$500,000 to $999,999</t>
  </si>
  <si>
    <t>±1,788</t>
  </si>
  <si>
    <t>52.3%</t>
  </si>
  <si>
    <t>±1.3</t>
  </si>
  <si>
    <t>±4,528</t>
  </si>
  <si>
    <t>45.3%</t>
  </si>
  <si>
    <t>±783</t>
  </si>
  <si>
    <t>$1,000,000 or more</t>
  </si>
  <si>
    <t>±2,283</t>
  </si>
  <si>
    <t>±355</t>
  </si>
  <si>
    <t>Median (dollars)</t>
  </si>
  <si>
    <t>±8,481</t>
  </si>
  <si>
    <t>±2,124</t>
  </si>
  <si>
    <t>±1,931</t>
  </si>
  <si>
    <t>MORTGAGE STATUS</t>
  </si>
  <si>
    <t>Housing units with a mortgage</t>
  </si>
  <si>
    <t>±1,774</t>
  </si>
  <si>
    <t>71.0%</t>
  </si>
  <si>
    <t>±1.2</t>
  </si>
  <si>
    <t>±5,455</t>
  </si>
  <si>
    <t>68.5%</t>
  </si>
  <si>
    <t>±1,936</t>
  </si>
  <si>
    <t>63.8%</t>
  </si>
  <si>
    <t>Housing units without a mortgage</t>
  </si>
  <si>
    <t>±1,285</t>
  </si>
  <si>
    <t>29.0%</t>
  </si>
  <si>
    <t>±4,469</t>
  </si>
  <si>
    <t>±1,552</t>
  </si>
  <si>
    <t>36.2%</t>
  </si>
  <si>
    <t>SELECTED MONTHLY OWNER COSTS (SMOC)</t>
  </si>
  <si>
    <t>68,297</t>
  </si>
  <si>
    <t>806,246</t>
  </si>
  <si>
    <t>113,115</t>
  </si>
  <si>
    <t>±232</t>
  </si>
  <si>
    <t>±394</t>
  </si>
  <si>
    <t>±289</t>
  </si>
  <si>
    <t>2.0%</t>
  </si>
  <si>
    <t>±1,012</t>
  </si>
  <si>
    <t>±572</t>
  </si>
  <si>
    <t>±436</t>
  </si>
  <si>
    <t>6.5%</t>
  </si>
  <si>
    <t>±1,761</t>
  </si>
  <si>
    <t>6.2%</t>
  </si>
  <si>
    <t>±1,335</t>
  </si>
  <si>
    <t>20.6%</t>
  </si>
  <si>
    <t>±1.1</t>
  </si>
  <si>
    <t>±914</t>
  </si>
  <si>
    <t>13.3%</t>
  </si>
  <si>
    <t>±2,822</t>
  </si>
  <si>
    <t>12.8%</t>
  </si>
  <si>
    <t>±1,361</t>
  </si>
  <si>
    <t>30.4%</t>
  </si>
  <si>
    <t>±959</t>
  </si>
  <si>
    <t>±3,360</t>
  </si>
  <si>
    <t>17.8%</t>
  </si>
  <si>
    <t>±1,271</t>
  </si>
  <si>
    <t>20.8%</t>
  </si>
  <si>
    <t>±944</t>
  </si>
  <si>
    <t>17.1%</t>
  </si>
  <si>
    <t>±3,051</t>
  </si>
  <si>
    <t>18.4%</t>
  </si>
  <si>
    <t>±948</t>
  </si>
  <si>
    <t>±1,169</t>
  </si>
  <si>
    <t>43.1%</t>
  </si>
  <si>
    <t>±1.6</t>
  </si>
  <si>
    <t>±3,766</t>
  </si>
  <si>
    <t>42.9%</t>
  </si>
  <si>
    <t>±718</t>
  </si>
  <si>
    <t>11.2%</t>
  </si>
  <si>
    <t>±43</t>
  </si>
  <si>
    <t>±11</t>
  </si>
  <si>
    <t>±19</t>
  </si>
  <si>
    <t>27,889</t>
  </si>
  <si>
    <t>371,230</t>
  </si>
  <si>
    <t>64,105</t>
  </si>
  <si>
    <t>Less than $250</t>
  </si>
  <si>
    <t>±200</t>
  </si>
  <si>
    <t>±275</t>
  </si>
  <si>
    <t>2.2%</t>
  </si>
  <si>
    <t>$250 to $399</t>
  </si>
  <si>
    <t>±220</t>
  </si>
  <si>
    <t>3.7%</t>
  </si>
  <si>
    <t>±588</t>
  </si>
  <si>
    <t>±288</t>
  </si>
  <si>
    <t>$400 to $599</t>
  </si>
  <si>
    <t>±515</t>
  </si>
  <si>
    <t>13.8%</t>
  </si>
  <si>
    <t>±1.7</t>
  </si>
  <si>
    <t>±1,119</t>
  </si>
  <si>
    <t>6.7%</t>
  </si>
  <si>
    <t>±764</t>
  </si>
  <si>
    <t>16.9%</t>
  </si>
  <si>
    <t>$600 to $799</t>
  </si>
  <si>
    <t>±526</t>
  </si>
  <si>
    <t>±1,817</t>
  </si>
  <si>
    <t>13.9%</t>
  </si>
  <si>
    <t>±949</t>
  </si>
  <si>
    <t>30.8%</t>
  </si>
  <si>
    <t>$800 to $999</t>
  </si>
  <si>
    <t>±428</t>
  </si>
  <si>
    <t>±1.5</t>
  </si>
  <si>
    <t>±2,189</t>
  </si>
  <si>
    <t>19.7%</t>
  </si>
  <si>
    <t>±672</t>
  </si>
  <si>
    <t>$1,000 or more</t>
  </si>
  <si>
    <t>±930</t>
  </si>
  <si>
    <t>47.0%</t>
  </si>
  <si>
    <t>±2.4</t>
  </si>
  <si>
    <t>±3,236</t>
  </si>
  <si>
    <t>55.8%</t>
  </si>
  <si>
    <t>±936</t>
  </si>
  <si>
    <t>24.8%</t>
  </si>
  <si>
    <t>±35</t>
  </si>
  <si>
    <t>±7</t>
  </si>
  <si>
    <t>±9</t>
  </si>
  <si>
    <t>SELECTED MONTHLY OWNER COSTS AS A PERCENTAGE OF HOUSEHOLD INCOME (SMOCAPI)</t>
  </si>
  <si>
    <t>Housing units with a mortgage (excluding units where SMOCAPI cannot be computed)</t>
  </si>
  <si>
    <t>±1,753</t>
  </si>
  <si>
    <t>67,789</t>
  </si>
  <si>
    <t>±5,436</t>
  </si>
  <si>
    <t>803,812</t>
  </si>
  <si>
    <t>±1,920</t>
  </si>
  <si>
    <t>112,659</t>
  </si>
  <si>
    <t>Less than 20.0 percent</t>
  </si>
  <si>
    <t>±1,240</t>
  </si>
  <si>
    <t>46.8%</t>
  </si>
  <si>
    <t>±1.4</t>
  </si>
  <si>
    <t>±4,629</t>
  </si>
  <si>
    <t>43.2%</t>
  </si>
  <si>
    <t>±1,514</t>
  </si>
  <si>
    <t>42.7%</t>
  </si>
  <si>
    <t>20.0 to 24.9 percent</t>
  </si>
  <si>
    <t>±880</t>
  </si>
  <si>
    <t>13.0%</t>
  </si>
  <si>
    <t>±2,758</t>
  </si>
  <si>
    <t>16.3%</t>
  </si>
  <si>
    <t>±968</t>
  </si>
  <si>
    <t>16.1%</t>
  </si>
  <si>
    <t>25.0 to 29.9 percent</t>
  </si>
  <si>
    <t>±556</t>
  </si>
  <si>
    <t>8.9%</t>
  </si>
  <si>
    <t>±2,476</t>
  </si>
  <si>
    <t>30.0 to 34.9 percent</t>
  </si>
  <si>
    <t>±1,948</t>
  </si>
  <si>
    <t>±679</t>
  </si>
  <si>
    <t>35.0 percent or more</t>
  </si>
  <si>
    <t>±998</t>
  </si>
  <si>
    <t>24.4%</t>
  </si>
  <si>
    <t>±3,447</t>
  </si>
  <si>
    <t>22.5%</t>
  </si>
  <si>
    <t>±1,456</t>
  </si>
  <si>
    <t>23.2%</t>
  </si>
  <si>
    <t>Not computed</t>
  </si>
  <si>
    <t>±148</t>
  </si>
  <si>
    <t>±194</t>
  </si>
  <si>
    <t>Housing unit without a mortgage (excluding units where SMOCAPI cannot be computed)</t>
  </si>
  <si>
    <t>±1,288</t>
  </si>
  <si>
    <t>27,412</t>
  </si>
  <si>
    <t>±4,508</t>
  </si>
  <si>
    <t>367,475</t>
  </si>
  <si>
    <t>±1,546</t>
  </si>
  <si>
    <t>63,448</t>
  </si>
  <si>
    <t>Less than 10.0 percent</t>
  </si>
  <si>
    <t>45.9%</t>
  </si>
  <si>
    <t>±2.3</t>
  </si>
  <si>
    <t>±2,959</t>
  </si>
  <si>
    <t>±1,051</t>
  </si>
  <si>
    <t>35.1%</t>
  </si>
  <si>
    <t>10.0 to 14.9 percent</t>
  </si>
  <si>
    <t>±546</t>
  </si>
  <si>
    <t>16.4%</t>
  </si>
  <si>
    <t>±1.8</t>
  </si>
  <si>
    <t>±1,746</t>
  </si>
  <si>
    <t>±811</t>
  </si>
  <si>
    <t>20.4%</t>
  </si>
  <si>
    <t>15.0 to 19.9 percent</t>
  </si>
  <si>
    <t>±389</t>
  </si>
  <si>
    <t>10.1%</t>
  </si>
  <si>
    <t>±1,555</t>
  </si>
  <si>
    <t>12.3%</t>
  </si>
  <si>
    <t>±649</t>
  </si>
  <si>
    <t>±241</t>
  </si>
  <si>
    <t>±1,081</t>
  </si>
  <si>
    <t>±508</t>
  </si>
  <si>
    <t>8.4%</t>
  </si>
  <si>
    <t>±196</t>
  </si>
  <si>
    <t>±963</t>
  </si>
  <si>
    <t>5.1%</t>
  </si>
  <si>
    <t>±460</t>
  </si>
  <si>
    <t>±197</t>
  </si>
  <si>
    <t>2.8%</t>
  </si>
  <si>
    <t>±339</t>
  </si>
  <si>
    <t>±553</t>
  </si>
  <si>
    <t>15.0%</t>
  </si>
  <si>
    <t>±1.9</t>
  </si>
  <si>
    <t>±2,011</t>
  </si>
  <si>
    <t>±690</t>
  </si>
  <si>
    <t>14.6%</t>
  </si>
  <si>
    <t>±163</t>
  </si>
  <si>
    <t>±517</t>
  </si>
  <si>
    <t>±170</t>
  </si>
  <si>
    <t>GROSS RENT</t>
  </si>
  <si>
    <t>Occupied units paying rent</t>
  </si>
  <si>
    <t>±2,443</t>
  </si>
  <si>
    <t>176,304</t>
  </si>
  <si>
    <t>±5,893</t>
  </si>
  <si>
    <t>712,737</t>
  </si>
  <si>
    <t>±1,649</t>
  </si>
  <si>
    <t>94,654</t>
  </si>
  <si>
    <t>±1,193</t>
  </si>
  <si>
    <t>±2,113</t>
  </si>
  <si>
    <t>±1,063</t>
  </si>
  <si>
    <t>±1,048</t>
  </si>
  <si>
    <t>±1,898</t>
  </si>
  <si>
    <t>9.1%</t>
  </si>
  <si>
    <t>±1,420</t>
  </si>
  <si>
    <t>26.2%</t>
  </si>
  <si>
    <t>±1,203</t>
  </si>
  <si>
    <t>±3,067</t>
  </si>
  <si>
    <t>±1,472</t>
  </si>
  <si>
    <t>36.7%</t>
  </si>
  <si>
    <t>±1,163</t>
  </si>
  <si>
    <t>±3,403</t>
  </si>
  <si>
    <t>22.7%</t>
  </si>
  <si>
    <t>±946</t>
  </si>
  <si>
    <t>±1,510</t>
  </si>
  <si>
    <t>±3,253</t>
  </si>
  <si>
    <t>±419</t>
  </si>
  <si>
    <t>±1,060</t>
  </si>
  <si>
    <t>11.6%</t>
  </si>
  <si>
    <t>±2,139</t>
  </si>
  <si>
    <t>±217</t>
  </si>
  <si>
    <t>18.1%</t>
  </si>
  <si>
    <t>±2,101</t>
  </si>
  <si>
    <t>12.5%</t>
  </si>
  <si>
    <t>±26</t>
  </si>
  <si>
    <t>±10</t>
  </si>
  <si>
    <t>±15</t>
  </si>
  <si>
    <t>No rent paid</t>
  </si>
  <si>
    <t>±511</t>
  </si>
  <si>
    <t>±1,429</t>
  </si>
  <si>
    <t>±596</t>
  </si>
  <si>
    <t>GROSS RENT AS A PERCENTAGE OF HOUSEHOLD INCOME (GRAPI)</t>
  </si>
  <si>
    <t>Occupied units paying rent (excluding units where GRAPI cannot be computed)</t>
  </si>
  <si>
    <t>170,577</t>
  </si>
  <si>
    <t>±5,840</t>
  </si>
  <si>
    <t>697,790</t>
  </si>
  <si>
    <t>±1,610</t>
  </si>
  <si>
    <t>92,421</t>
  </si>
  <si>
    <t>Less than 15.0 percent</t>
  </si>
  <si>
    <t>±1,307</t>
  </si>
  <si>
    <t>±2,430</t>
  </si>
  <si>
    <t>±912</t>
  </si>
  <si>
    <t>±1,128</t>
  </si>
  <si>
    <t>11.9%</t>
  </si>
  <si>
    <t>±2,614</t>
  </si>
  <si>
    <t>±815</t>
  </si>
  <si>
    <t>10.2%</t>
  </si>
  <si>
    <t>±1,316</t>
  </si>
  <si>
    <t>±2,896</t>
  </si>
  <si>
    <t>±803</t>
  </si>
  <si>
    <t>±1,556</t>
  </si>
  <si>
    <t>±2,970</t>
  </si>
  <si>
    <t>±823</t>
  </si>
  <si>
    <t>±1,034</t>
  </si>
  <si>
    <t>9.3%</t>
  </si>
  <si>
    <t>±2,323</t>
  </si>
  <si>
    <t>9.7%</t>
  </si>
  <si>
    <t>±863</t>
  </si>
  <si>
    <t>±2,126</t>
  </si>
  <si>
    <t>40.8%</t>
  </si>
  <si>
    <t>±4,106</t>
  </si>
  <si>
    <t>40.1%</t>
  </si>
  <si>
    <t>43.0%</t>
  </si>
  <si>
    <t>±793</t>
  </si>
  <si>
    <t>±1,768</t>
  </si>
  <si>
    <t>±747</t>
  </si>
  <si>
    <t>COMPUTED PERCENTAGES</t>
  </si>
  <si>
    <t>Surplus (Deficit) of A/A Units</t>
  </si>
  <si>
    <t>A/A per 100 HH at or &lt; Threshold</t>
  </si>
  <si>
    <t>ELI</t>
  </si>
  <si>
    <t>VLI</t>
  </si>
  <si>
    <t>Implied Population (Households)</t>
  </si>
  <si>
    <t>Implied Units</t>
  </si>
  <si>
    <t>Check AA rate</t>
  </si>
  <si>
    <t>VLI, but not ELI</t>
  </si>
  <si>
    <t xml:space="preserve">     Housholds</t>
  </si>
  <si>
    <t xml:space="preserve">    Units</t>
  </si>
  <si>
    <t xml:space="preserve">    Deficit within band</t>
  </si>
  <si>
    <t xml:space="preserve">    Within band A/A/100</t>
  </si>
  <si>
    <t xml:space="preserve">TABLE for Post </t>
  </si>
  <si>
    <t>VLI but not ELI</t>
  </si>
  <si>
    <t>All VLI</t>
  </si>
  <si>
    <t>Housholds</t>
  </si>
  <si>
    <t>Affordable Available Units per NHILC</t>
  </si>
  <si>
    <t>NHLIC Affordable/Available percent</t>
  </si>
  <si>
    <t>Affordable Available Units corrected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</si>
</sst>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43" formatCode="_(* #,##0.00_);_(* \(#,##0.00\);_(* &quot;-&quot;??_);_(@_)"/>
    <numFmt numFmtId="164" formatCode="0.0"/>
    <numFmt numFmtId="165" formatCode="_(* #,##0_);_(* \(#,##0\);_(* &quot;-&quot;??_);_(@_)"/>
    <numFmt numFmtId="166" formatCode="0.0%"/>
    <numFmt numFmtId="167" formatCode="_(\ #,##0.0_);_(\ \(#,##0.0\);_(\ &quot;-&quot;?_);_(@_)"/>
    <numFmt numFmtId="168" formatCode="0.000"/>
    <numFmt numFmtId="169" formatCode="_(&quot;$&quot;* #,##0_);_(&quot;$&quot;* \(#,##0\);_(&quot;$&quot;* &quot;-&quot;??_);_(@_)"/>
    <numFmt numFmtId="170" formatCode="_(&quot;$&quot;* #,##0.0_);_(&quot;$&quot;* \(#,##0.0\);_(&quot;$&quot;* &quot;-&quot;?_);_(@_)"/>
  </numFmts>
  <fonts count="40" x14ac:knownFonts="1">
    <font>
      <sz val="11"/>
      <color theme="1"/>
      <name val="Aptos Narrow"/>
      <family val="2"/>
      <scheme val="minor"/>
    </font>
    <font>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b/>
      <sz val="11"/>
      <color theme="1"/>
      <name val="Aptos Narrow"/>
      <family val="2"/>
      <scheme val="minor"/>
    </font>
    <font>
      <sz val="11"/>
      <color theme="0"/>
      <name val="Aptos Narrow"/>
      <family val="2"/>
      <scheme val="minor"/>
    </font>
    <font>
      <u/>
      <sz val="11"/>
      <color theme="10"/>
      <name val="Aptos Narrow"/>
      <family val="2"/>
      <scheme val="minor"/>
    </font>
    <font>
      <b/>
      <sz val="9"/>
      <color rgb="FF000000"/>
      <name val="Arial"/>
      <family val="2"/>
    </font>
    <font>
      <sz val="8"/>
      <color rgb="FF000000"/>
      <name val="Arial"/>
      <family val="2"/>
    </font>
    <font>
      <b/>
      <sz val="12"/>
      <color rgb="FF000000"/>
      <name val="Arial"/>
      <family val="2"/>
    </font>
    <font>
      <sz val="11"/>
      <color indexed="8"/>
      <name val="Calibri"/>
      <family val="2"/>
    </font>
    <font>
      <sz val="10"/>
      <color indexed="8"/>
      <name val="Arial"/>
      <family val="2"/>
    </font>
    <font>
      <b/>
      <sz val="11"/>
      <color rgb="FF006100"/>
      <name val="Aptos Narrow"/>
      <family val="2"/>
      <scheme val="minor"/>
    </font>
    <font>
      <b/>
      <vertAlign val="superscript"/>
      <sz val="11"/>
      <color theme="1"/>
      <name val="Aptos Narrow"/>
      <family val="2"/>
      <scheme val="minor"/>
    </font>
    <font>
      <b/>
      <sz val="10"/>
      <color theme="1"/>
      <name val="Aptos Narrow"/>
      <family val="2"/>
      <scheme val="minor"/>
    </font>
    <font>
      <b/>
      <sz val="8"/>
      <color theme="1"/>
      <name val="Aptos Narrow"/>
      <family val="2"/>
      <scheme val="minor"/>
    </font>
    <font>
      <b/>
      <sz val="12"/>
      <color theme="1"/>
      <name val="Aptos Narrow"/>
      <family val="2"/>
      <scheme val="minor"/>
    </font>
    <font>
      <b/>
      <vertAlign val="superscript"/>
      <sz val="12"/>
      <color theme="1"/>
      <name val="Aptos Narrow"/>
      <family val="2"/>
      <scheme val="minor"/>
    </font>
    <font>
      <sz val="12"/>
      <color theme="1"/>
      <name val="Aptos Narrow"/>
      <family val="2"/>
      <scheme val="minor"/>
    </font>
    <font>
      <sz val="9"/>
      <color theme="1"/>
      <name val="Aptos Narrow"/>
      <family val="2"/>
      <scheme val="minor"/>
    </font>
    <font>
      <vertAlign val="superscript"/>
      <sz val="9"/>
      <color theme="1"/>
      <name val="Aptos Narrow"/>
      <family val="2"/>
      <scheme val="minor"/>
    </font>
    <font>
      <sz val="10"/>
      <color theme="1"/>
      <name val="Aptos Narrow"/>
      <family val="2"/>
      <scheme val="minor"/>
    </font>
    <font>
      <b/>
      <i/>
      <sz val="11"/>
      <color theme="1"/>
      <name val="Aptos Narrow"/>
      <family val="2"/>
      <scheme val="minor"/>
    </font>
    <font>
      <i/>
      <sz val="10"/>
      <color theme="1"/>
      <name val="Aptos Narrow"/>
      <family val="2"/>
      <scheme val="minor"/>
    </font>
    <font>
      <b/>
      <sz val="16"/>
      <name val="Calibri"/>
      <family val="2"/>
    </font>
    <font>
      <b/>
      <sz val="11"/>
      <name val="Calibri"/>
      <family val="2"/>
    </font>
    <font>
      <b/>
      <sz val="12"/>
      <color rgb="FF2A2A33"/>
      <name val="Tahoma"/>
      <family val="2"/>
    </font>
    <font>
      <sz val="12"/>
      <color rgb="FF2A2A33"/>
      <name val="Tahoma"/>
      <family val="2"/>
    </font>
  </fonts>
  <fills count="4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2"/>
        <bgColor indexed="0"/>
      </patternFill>
    </fill>
    <fill>
      <patternFill patternType="solid">
        <fgColor theme="0" tint="-0.49998474074526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s>
  <borders count="6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top/>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bottom style="thin">
        <color indexed="64"/>
      </bottom>
      <diagonal/>
    </border>
    <border>
      <left/>
      <right/>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hair">
        <color indexed="64"/>
      </right>
      <top/>
      <bottom/>
      <diagonal/>
    </border>
    <border>
      <left/>
      <right/>
      <top style="thin">
        <color indexed="64"/>
      </top>
      <bottom/>
      <diagonal/>
    </border>
    <border>
      <left/>
      <right style="thin">
        <color indexed="64"/>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medium">
        <color auto="1"/>
      </top>
      <bottom style="medium">
        <color auto="1"/>
      </bottom>
      <diagonal/>
    </border>
    <border>
      <left style="thin">
        <color rgb="FF7F7F7F"/>
      </left>
      <right style="thin">
        <color rgb="FF7F7F7F"/>
      </right>
      <top style="thin">
        <color rgb="FF7F7F7F"/>
      </top>
      <bottom/>
      <diagonal/>
    </border>
    <border>
      <left style="double">
        <color rgb="FF3F3F3F"/>
      </left>
      <right style="double">
        <color rgb="FF3F3F3F"/>
      </right>
      <top style="double">
        <color rgb="FF3F3F3F"/>
      </top>
      <bottom/>
      <diagonal/>
    </border>
    <border>
      <left/>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4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applyNumberFormat="0" applyFill="0" applyBorder="0" applyAlignment="0" applyProtection="0"/>
    <xf numFmtId="0" fontId="23" fillId="0" borderId="0"/>
    <xf numFmtId="0" fontId="23" fillId="0" borderId="0"/>
  </cellStyleXfs>
  <cellXfs count="239">
    <xf numFmtId="0" fontId="0" fillId="0" borderId="0" xfId="0"/>
    <xf numFmtId="0" fontId="16" fillId="0" borderId="0" xfId="0" applyFont="1"/>
    <xf numFmtId="0" fontId="6" fillId="2" borderId="0" xfId="9"/>
    <xf numFmtId="0" fontId="0" fillId="0" borderId="10" xfId="0" applyBorder="1"/>
    <xf numFmtId="0" fontId="6" fillId="2" borderId="10" xfId="9" applyBorder="1"/>
    <xf numFmtId="0" fontId="16" fillId="0" borderId="10" xfId="0" applyFont="1" applyBorder="1"/>
    <xf numFmtId="0" fontId="0" fillId="0" borderId="11" xfId="0" applyBorder="1"/>
    <xf numFmtId="0" fontId="19" fillId="33" borderId="10" xfId="0" applyFont="1" applyFill="1" applyBorder="1" applyAlignment="1">
      <alignment horizontal="left" vertical="center" wrapText="1"/>
    </xf>
    <xf numFmtId="15" fontId="20" fillId="33" borderId="10" xfId="0" applyNumberFormat="1" applyFont="1" applyFill="1" applyBorder="1" applyAlignment="1">
      <alignment horizontal="left" vertical="top" wrapText="1"/>
    </xf>
    <xf numFmtId="0" fontId="20" fillId="33" borderId="10" xfId="0" applyFont="1" applyFill="1" applyBorder="1" applyAlignment="1">
      <alignment horizontal="left" vertical="top" wrapText="1"/>
    </xf>
    <xf numFmtId="49" fontId="20" fillId="33" borderId="10" xfId="0" applyNumberFormat="1" applyFont="1" applyFill="1" applyBorder="1" applyAlignment="1">
      <alignment horizontal="center" vertical="top" wrapText="1"/>
    </xf>
    <xf numFmtId="0" fontId="21" fillId="33" borderId="10" xfId="0" applyFont="1" applyFill="1" applyBorder="1" applyAlignment="1">
      <alignment horizontal="left" vertical="center" wrapText="1"/>
    </xf>
    <xf numFmtId="0" fontId="21" fillId="33" borderId="10" xfId="0" applyFont="1" applyFill="1" applyBorder="1" applyAlignment="1">
      <alignment horizontal="left" vertical="top" wrapText="1"/>
    </xf>
    <xf numFmtId="0" fontId="20" fillId="33" borderId="10" xfId="0" applyFont="1" applyFill="1" applyBorder="1" applyAlignment="1">
      <alignment horizontal="right" vertical="top" wrapText="1"/>
    </xf>
    <xf numFmtId="49" fontId="20" fillId="33" borderId="10" xfId="0" applyNumberFormat="1" applyFont="1" applyFill="1" applyBorder="1" applyAlignment="1">
      <alignment horizontal="left" vertical="top" wrapText="1"/>
    </xf>
    <xf numFmtId="0" fontId="6" fillId="33" borderId="10" xfId="9" applyFill="1" applyBorder="1" applyAlignment="1">
      <alignment horizontal="left" vertical="center" wrapText="1"/>
    </xf>
    <xf numFmtId="1" fontId="6" fillId="33" borderId="10" xfId="9" applyNumberFormat="1" applyFill="1" applyBorder="1" applyAlignment="1">
      <alignment horizontal="right" vertical="top" wrapText="1"/>
    </xf>
    <xf numFmtId="1" fontId="20" fillId="33" borderId="10" xfId="0" applyNumberFormat="1" applyFont="1" applyFill="1" applyBorder="1" applyAlignment="1">
      <alignment horizontal="right" vertical="top" wrapText="1"/>
    </xf>
    <xf numFmtId="0" fontId="7" fillId="3" borderId="10" xfId="10" applyBorder="1" applyAlignment="1">
      <alignment horizontal="left" vertical="center" wrapText="1"/>
    </xf>
    <xf numFmtId="1" fontId="7" fillId="3" borderId="10" xfId="10" applyNumberFormat="1" applyBorder="1" applyAlignment="1">
      <alignment horizontal="right" vertical="top" wrapText="1"/>
    </xf>
    <xf numFmtId="164" fontId="20" fillId="33" borderId="10" xfId="0" applyNumberFormat="1" applyFont="1" applyFill="1" applyBorder="1" applyAlignment="1">
      <alignment horizontal="right" vertical="top" wrapText="1"/>
    </xf>
    <xf numFmtId="0" fontId="6" fillId="2" borderId="10" xfId="9" applyBorder="1" applyAlignment="1">
      <alignment horizontal="left" vertical="center" wrapText="1"/>
    </xf>
    <xf numFmtId="165" fontId="6" fillId="2" borderId="10" xfId="9" applyNumberFormat="1" applyBorder="1" applyAlignment="1">
      <alignment horizontal="right" vertical="top" wrapText="1"/>
    </xf>
    <xf numFmtId="1" fontId="20" fillId="33" borderId="10" xfId="0" applyNumberFormat="1" applyFont="1" applyFill="1" applyBorder="1" applyAlignment="1">
      <alignment horizontal="right" vertical="top"/>
    </xf>
    <xf numFmtId="0" fontId="0" fillId="33" borderId="10" xfId="0" applyFill="1" applyBorder="1"/>
    <xf numFmtId="0" fontId="0" fillId="33" borderId="10" xfId="0" applyFill="1" applyBorder="1" applyAlignment="1">
      <alignment horizontal="left" wrapText="1"/>
    </xf>
    <xf numFmtId="9" fontId="0" fillId="0" borderId="0" xfId="3" applyFont="1"/>
    <xf numFmtId="0" fontId="22" fillId="0" borderId="13" xfId="46" applyFont="1" applyBorder="1" applyAlignment="1">
      <alignment horizontal="right" wrapText="1"/>
    </xf>
    <xf numFmtId="0" fontId="8" fillId="4" borderId="0" xfId="11"/>
    <xf numFmtId="0" fontId="23" fillId="0" borderId="0" xfId="46"/>
    <xf numFmtId="0" fontId="7" fillId="3" borderId="10" xfId="10" applyBorder="1"/>
    <xf numFmtId="0" fontId="0" fillId="35" borderId="10" xfId="0" applyFill="1" applyBorder="1"/>
    <xf numFmtId="0" fontId="8" fillId="4" borderId="10" xfId="11" applyBorder="1"/>
    <xf numFmtId="0" fontId="6" fillId="2" borderId="14" xfId="9" applyBorder="1"/>
    <xf numFmtId="0" fontId="6" fillId="2" borderId="15" xfId="9" applyBorder="1"/>
    <xf numFmtId="0" fontId="8" fillId="4" borderId="16" xfId="11" applyBorder="1"/>
    <xf numFmtId="0" fontId="8" fillId="4" borderId="17" xfId="11" applyBorder="1"/>
    <xf numFmtId="0" fontId="7" fillId="3" borderId="18" xfId="10" applyBorder="1"/>
    <xf numFmtId="0" fontId="7" fillId="3" borderId="19" xfId="10" applyBorder="1"/>
    <xf numFmtId="9" fontId="0" fillId="0" borderId="0" xfId="0" applyNumberFormat="1"/>
    <xf numFmtId="43" fontId="0" fillId="0" borderId="0" xfId="1" applyFont="1"/>
    <xf numFmtId="165" fontId="0" fillId="0" borderId="0" xfId="1" applyNumberFormat="1" applyFont="1"/>
    <xf numFmtId="1" fontId="0" fillId="0" borderId="0" xfId="0" applyNumberFormat="1"/>
    <xf numFmtId="9" fontId="0" fillId="0" borderId="10" xfId="0" applyNumberFormat="1" applyBorder="1"/>
    <xf numFmtId="1" fontId="0" fillId="0" borderId="10" xfId="0" applyNumberFormat="1" applyBorder="1"/>
    <xf numFmtId="1" fontId="0" fillId="0" borderId="10" xfId="1" applyNumberFormat="1" applyFont="1" applyBorder="1"/>
    <xf numFmtId="0" fontId="16" fillId="0" borderId="11" xfId="0" applyFont="1" applyBorder="1"/>
    <xf numFmtId="0" fontId="16" fillId="33" borderId="10" xfId="0" applyFont="1" applyFill="1" applyBorder="1" applyAlignment="1">
      <alignment vertical="top"/>
    </xf>
    <xf numFmtId="0" fontId="22" fillId="34" borderId="12" xfId="47" applyFont="1" applyFill="1" applyBorder="1" applyAlignment="1">
      <alignment horizontal="center"/>
    </xf>
    <xf numFmtId="0" fontId="22" fillId="0" borderId="13" xfId="47" applyFont="1" applyBorder="1" applyAlignment="1">
      <alignment horizontal="right" wrapText="1"/>
    </xf>
    <xf numFmtId="0" fontId="7" fillId="3" borderId="13" xfId="10" applyBorder="1" applyAlignment="1">
      <alignment horizontal="right" wrapText="1"/>
    </xf>
    <xf numFmtId="0" fontId="22" fillId="34" borderId="10" xfId="47" applyFont="1" applyFill="1" applyBorder="1" applyAlignment="1">
      <alignment horizontal="center"/>
    </xf>
    <xf numFmtId="0" fontId="22" fillId="0" borderId="10" xfId="47" applyFont="1" applyBorder="1" applyAlignment="1">
      <alignment horizontal="right" wrapText="1"/>
    </xf>
    <xf numFmtId="0" fontId="7" fillId="3" borderId="10" xfId="10" applyBorder="1" applyAlignment="1">
      <alignment horizontal="right" wrapText="1"/>
    </xf>
    <xf numFmtId="0" fontId="23" fillId="0" borderId="0" xfId="47"/>
    <xf numFmtId="166" fontId="0" fillId="0" borderId="0" xfId="3" applyNumberFormat="1" applyFont="1"/>
    <xf numFmtId="10" fontId="0" fillId="0" borderId="0" xfId="3" applyNumberFormat="1" applyFont="1"/>
    <xf numFmtId="0" fontId="22" fillId="34" borderId="0" xfId="47" applyFont="1" applyFill="1" applyAlignment="1">
      <alignment horizontal="center"/>
    </xf>
    <xf numFmtId="0" fontId="22" fillId="0" borderId="0" xfId="47" applyFont="1" applyAlignment="1">
      <alignment horizontal="right" wrapText="1"/>
    </xf>
    <xf numFmtId="1" fontId="22" fillId="0" borderId="10" xfId="47" applyNumberFormat="1" applyFont="1" applyBorder="1" applyAlignment="1">
      <alignment horizontal="right" wrapText="1"/>
    </xf>
    <xf numFmtId="1" fontId="6" fillId="2" borderId="10" xfId="9" applyNumberFormat="1" applyBorder="1"/>
    <xf numFmtId="0" fontId="23" fillId="0" borderId="10" xfId="47" applyBorder="1"/>
    <xf numFmtId="0" fontId="23" fillId="0" borderId="11" xfId="47" applyBorder="1"/>
    <xf numFmtId="0" fontId="0" fillId="0" borderId="0" xfId="0" quotePrefix="1"/>
    <xf numFmtId="166" fontId="6" fillId="2" borderId="0" xfId="9" applyNumberFormat="1"/>
    <xf numFmtId="165" fontId="0" fillId="0" borderId="0" xfId="0" applyNumberFormat="1"/>
    <xf numFmtId="166" fontId="8" fillId="4" borderId="0" xfId="11" applyNumberFormat="1"/>
    <xf numFmtId="9" fontId="8" fillId="4" borderId="0" xfId="11" applyNumberFormat="1" applyBorder="1" applyAlignment="1">
      <alignment horizontal="right" wrapText="1"/>
    </xf>
    <xf numFmtId="0" fontId="6" fillId="2" borderId="10" xfId="9" applyBorder="1" applyAlignment="1">
      <alignment horizontal="center"/>
    </xf>
    <xf numFmtId="0" fontId="22" fillId="34" borderId="20" xfId="47" applyFont="1" applyFill="1" applyBorder="1" applyAlignment="1">
      <alignment horizontal="center"/>
    </xf>
    <xf numFmtId="0" fontId="24" fillId="2" borderId="0" xfId="9" applyFont="1"/>
    <xf numFmtId="3" fontId="16" fillId="0" borderId="0" xfId="0" applyNumberFormat="1" applyFont="1"/>
    <xf numFmtId="3" fontId="0" fillId="0" borderId="0" xfId="0" applyNumberFormat="1"/>
    <xf numFmtId="3" fontId="6" fillId="2" borderId="49" xfId="9" applyNumberFormat="1" applyBorder="1"/>
    <xf numFmtId="9" fontId="6" fillId="2" borderId="0" xfId="9" applyNumberFormat="1"/>
    <xf numFmtId="3" fontId="6" fillId="2" borderId="44" xfId="9" applyNumberFormat="1" applyBorder="1"/>
    <xf numFmtId="3" fontId="6" fillId="2" borderId="43" xfId="9" applyNumberFormat="1" applyBorder="1"/>
    <xf numFmtId="164" fontId="6" fillId="2" borderId="44" xfId="9" applyNumberFormat="1" applyBorder="1" applyAlignment="1">
      <alignment horizontal="center"/>
    </xf>
    <xf numFmtId="0" fontId="6" fillId="2" borderId="33" xfId="9" applyBorder="1" applyAlignment="1">
      <alignment horizontal="center"/>
    </xf>
    <xf numFmtId="0" fontId="6" fillId="2" borderId="31" xfId="9" applyBorder="1" applyAlignment="1">
      <alignment horizontal="center"/>
    </xf>
    <xf numFmtId="3" fontId="8" fillId="4" borderId="38" xfId="11" applyNumberFormat="1" applyBorder="1"/>
    <xf numFmtId="2" fontId="16" fillId="0" borderId="28" xfId="0" applyNumberFormat="1" applyFont="1" applyBorder="1" applyAlignment="1">
      <alignment horizontal="center" wrapText="1"/>
    </xf>
    <xf numFmtId="0" fontId="0" fillId="0" borderId="25" xfId="0" applyBorder="1"/>
    <xf numFmtId="0" fontId="16" fillId="0" borderId="37" xfId="0" applyFont="1" applyBorder="1" applyAlignment="1">
      <alignment wrapText="1"/>
    </xf>
    <xf numFmtId="0" fontId="16" fillId="0" borderId="39" xfId="0" applyFont="1" applyBorder="1" applyAlignment="1">
      <alignment wrapText="1"/>
    </xf>
    <xf numFmtId="0" fontId="16" fillId="0" borderId="41" xfId="0" applyFont="1" applyBorder="1" applyAlignment="1">
      <alignment horizontal="center" wrapText="1"/>
    </xf>
    <xf numFmtId="0" fontId="30" fillId="0" borderId="0" xfId="0" applyFont="1"/>
    <xf numFmtId="2" fontId="16" fillId="0" borderId="31" xfId="0" applyNumberFormat="1" applyFont="1" applyBorder="1" applyAlignment="1">
      <alignment horizontal="center" wrapText="1"/>
    </xf>
    <xf numFmtId="0" fontId="0" fillId="0" borderId="39" xfId="0" applyBorder="1"/>
    <xf numFmtId="0" fontId="16" fillId="0" borderId="38" xfId="0" applyFont="1" applyBorder="1"/>
    <xf numFmtId="0" fontId="0" fillId="0" borderId="37" xfId="0" applyBorder="1"/>
    <xf numFmtId="3" fontId="0" fillId="0" borderId="43" xfId="0" applyNumberFormat="1" applyBorder="1"/>
    <xf numFmtId="3" fontId="0" fillId="0" borderId="44" xfId="0" applyNumberFormat="1" applyBorder="1"/>
    <xf numFmtId="3" fontId="0" fillId="0" borderId="46" xfId="0" applyNumberFormat="1" applyBorder="1"/>
    <xf numFmtId="3" fontId="16" fillId="0" borderId="36" xfId="0" applyNumberFormat="1" applyFont="1" applyBorder="1"/>
    <xf numFmtId="0" fontId="0" fillId="0" borderId="37" xfId="0" applyBorder="1" applyAlignment="1">
      <alignment wrapText="1"/>
    </xf>
    <xf numFmtId="0" fontId="0" fillId="0" borderId="39" xfId="0" applyBorder="1" applyAlignment="1">
      <alignment wrapText="1"/>
    </xf>
    <xf numFmtId="0" fontId="16" fillId="0" borderId="38" xfId="0" applyFont="1" applyBorder="1" applyAlignment="1">
      <alignment wrapText="1"/>
    </xf>
    <xf numFmtId="2" fontId="16" fillId="0" borderId="41" xfId="0" applyNumberFormat="1" applyFont="1" applyBorder="1" applyAlignment="1">
      <alignment horizontal="center" wrapText="1"/>
    </xf>
    <xf numFmtId="3" fontId="16" fillId="0" borderId="38" xfId="0" applyNumberFormat="1" applyFont="1" applyBorder="1"/>
    <xf numFmtId="0" fontId="16" fillId="0" borderId="39" xfId="0" applyFont="1" applyBorder="1"/>
    <xf numFmtId="0" fontId="16" fillId="0" borderId="31" xfId="0" applyFont="1" applyBorder="1" applyAlignment="1">
      <alignment horizontal="center"/>
    </xf>
    <xf numFmtId="0" fontId="16" fillId="0" borderId="33" xfId="0" applyFont="1" applyBorder="1" applyAlignment="1">
      <alignment horizontal="center"/>
    </xf>
    <xf numFmtId="0" fontId="16" fillId="0" borderId="35" xfId="0" applyFont="1" applyBorder="1" applyAlignment="1">
      <alignment horizontal="center"/>
    </xf>
    <xf numFmtId="0" fontId="0" fillId="0" borderId="43" xfId="0" applyBorder="1"/>
    <xf numFmtId="0" fontId="16" fillId="0" borderId="11" xfId="0" applyFont="1" applyBorder="1" applyAlignment="1">
      <alignment wrapText="1"/>
    </xf>
    <xf numFmtId="164" fontId="0" fillId="0" borderId="43" xfId="0" applyNumberFormat="1" applyBorder="1" applyAlignment="1">
      <alignment horizontal="center"/>
    </xf>
    <xf numFmtId="164" fontId="0" fillId="0" borderId="45" xfId="0" applyNumberFormat="1" applyBorder="1" applyAlignment="1">
      <alignment horizontal="center"/>
    </xf>
    <xf numFmtId="164" fontId="0" fillId="0" borderId="44" xfId="0" applyNumberFormat="1" applyBorder="1" applyAlignment="1">
      <alignment horizontal="center"/>
    </xf>
    <xf numFmtId="164" fontId="0" fillId="0" borderId="47" xfId="0" applyNumberFormat="1" applyBorder="1" applyAlignment="1">
      <alignment horizontal="center"/>
    </xf>
    <xf numFmtId="3" fontId="0" fillId="0" borderId="47" xfId="0" applyNumberFormat="1" applyBorder="1" applyAlignment="1">
      <alignment horizontal="center"/>
    </xf>
    <xf numFmtId="2" fontId="16" fillId="0" borderId="32" xfId="0" quotePrefix="1" applyNumberFormat="1" applyFont="1" applyBorder="1" applyAlignment="1">
      <alignment horizontal="center" wrapText="1"/>
    </xf>
    <xf numFmtId="2" fontId="16" fillId="0" borderId="33" xfId="0" quotePrefix="1" applyNumberFormat="1" applyFont="1" applyBorder="1" applyAlignment="1">
      <alignment horizontal="center" wrapText="1"/>
    </xf>
    <xf numFmtId="2" fontId="16" fillId="0" borderId="35" xfId="0" quotePrefix="1" applyNumberFormat="1" applyFont="1" applyBorder="1" applyAlignment="1">
      <alignment horizontal="center" wrapText="1"/>
    </xf>
    <xf numFmtId="167" fontId="0" fillId="0" borderId="46" xfId="0" applyNumberFormat="1" applyBorder="1" applyAlignment="1">
      <alignment horizontal="center"/>
    </xf>
    <xf numFmtId="167" fontId="0" fillId="0" borderId="48" xfId="0" applyNumberFormat="1" applyBorder="1" applyAlignment="1">
      <alignment horizontal="center"/>
    </xf>
    <xf numFmtId="167" fontId="0" fillId="0" borderId="49" xfId="0" applyNumberFormat="1" applyBorder="1" applyAlignment="1">
      <alignment horizontal="center"/>
    </xf>
    <xf numFmtId="2" fontId="16" fillId="0" borderId="41" xfId="0" quotePrefix="1" applyNumberFormat="1" applyFont="1" applyBorder="1" applyAlignment="1">
      <alignment horizontal="center" wrapText="1"/>
    </xf>
    <xf numFmtId="2" fontId="16" fillId="0" borderId="25" xfId="0" quotePrefix="1" applyNumberFormat="1" applyFont="1" applyBorder="1" applyAlignment="1">
      <alignment horizontal="center" wrapText="1"/>
    </xf>
    <xf numFmtId="164" fontId="0" fillId="0" borderId="48" xfId="0" applyNumberFormat="1" applyBorder="1" applyAlignment="1">
      <alignment horizontal="center"/>
    </xf>
    <xf numFmtId="0" fontId="16" fillId="0" borderId="32" xfId="0" applyFont="1" applyBorder="1" applyAlignment="1">
      <alignment horizontal="center" wrapText="1"/>
    </xf>
    <xf numFmtId="164" fontId="0" fillId="0" borderId="46" xfId="0" applyNumberFormat="1" applyBorder="1" applyAlignment="1">
      <alignment horizontal="center"/>
    </xf>
    <xf numFmtId="3" fontId="0" fillId="0" borderId="49" xfId="0" applyNumberFormat="1" applyBorder="1"/>
    <xf numFmtId="3" fontId="16" fillId="0" borderId="34" xfId="0" applyNumberFormat="1" applyFont="1" applyBorder="1"/>
    <xf numFmtId="3" fontId="16" fillId="0" borderId="29" xfId="0" applyNumberFormat="1" applyFont="1" applyBorder="1"/>
    <xf numFmtId="164" fontId="0" fillId="0" borderId="47" xfId="3" applyNumberFormat="1" applyFont="1" applyBorder="1" applyAlignment="1">
      <alignment horizontal="center"/>
    </xf>
    <xf numFmtId="0" fontId="25" fillId="0" borderId="51" xfId="0" applyFont="1" applyBorder="1" applyAlignment="1">
      <alignment horizontal="center" wrapText="1"/>
    </xf>
    <xf numFmtId="2" fontId="16" fillId="0" borderId="52" xfId="0" applyNumberFormat="1" applyFont="1" applyBorder="1" applyAlignment="1">
      <alignment horizontal="center" wrapText="1"/>
    </xf>
    <xf numFmtId="164" fontId="0" fillId="0" borderId="53" xfId="0" applyNumberFormat="1" applyBorder="1" applyAlignment="1">
      <alignment horizontal="center"/>
    </xf>
    <xf numFmtId="164" fontId="0" fillId="0" borderId="54" xfId="0" applyNumberFormat="1" applyBorder="1" applyAlignment="1">
      <alignment horizontal="center"/>
    </xf>
    <xf numFmtId="1" fontId="8" fillId="4" borderId="0" xfId="11" applyNumberFormat="1"/>
    <xf numFmtId="0" fontId="18" fillId="0" borderId="0" xfId="45"/>
    <xf numFmtId="43" fontId="0" fillId="0" borderId="0" xfId="0" applyNumberFormat="1"/>
    <xf numFmtId="165" fontId="0" fillId="0" borderId="0" xfId="0" applyNumberFormat="1" applyAlignment="1">
      <alignment wrapText="1"/>
    </xf>
    <xf numFmtId="168" fontId="0" fillId="0" borderId="10" xfId="0" applyNumberFormat="1" applyBorder="1"/>
    <xf numFmtId="169" fontId="0" fillId="0" borderId="10" xfId="2" applyNumberFormat="1" applyFont="1" applyBorder="1"/>
    <xf numFmtId="169" fontId="0" fillId="0" borderId="0" xfId="2" applyNumberFormat="1" applyFont="1"/>
    <xf numFmtId="169" fontId="0" fillId="0" borderId="10" xfId="2" applyNumberFormat="1" applyFont="1" applyBorder="1" applyAlignment="1">
      <alignment wrapText="1"/>
    </xf>
    <xf numFmtId="0" fontId="0" fillId="0" borderId="55" xfId="0" applyBorder="1"/>
    <xf numFmtId="2" fontId="16" fillId="0" borderId="0" xfId="1" applyNumberFormat="1" applyFont="1"/>
    <xf numFmtId="0" fontId="0" fillId="0" borderId="0" xfId="0" applyAlignment="1">
      <alignment wrapText="1"/>
    </xf>
    <xf numFmtId="0" fontId="37" fillId="0" borderId="0" xfId="0" applyFont="1" applyAlignment="1">
      <alignment vertical="top" wrapText="1"/>
    </xf>
    <xf numFmtId="2" fontId="16" fillId="0" borderId="0" xfId="0" applyNumberFormat="1" applyFont="1"/>
    <xf numFmtId="0" fontId="0" fillId="0" borderId="0" xfId="0" applyAlignment="1">
      <alignment wrapText="1" indent="1"/>
    </xf>
    <xf numFmtId="0" fontId="0" fillId="0" borderId="0" xfId="0" applyAlignment="1">
      <alignment wrapText="1" indent="2"/>
    </xf>
    <xf numFmtId="44" fontId="0" fillId="0" borderId="0" xfId="0" applyNumberFormat="1"/>
    <xf numFmtId="0" fontId="0" fillId="0" borderId="0" xfId="0" applyAlignment="1">
      <alignment horizontal="left" wrapText="1"/>
    </xf>
    <xf numFmtId="0" fontId="0" fillId="0" borderId="0" xfId="0" applyAlignment="1">
      <alignment horizontal="left"/>
    </xf>
    <xf numFmtId="0" fontId="6" fillId="2" borderId="0" xfId="9" applyAlignment="1">
      <alignment wrapText="1"/>
    </xf>
    <xf numFmtId="0" fontId="0" fillId="0" borderId="10" xfId="0" applyBorder="1" applyAlignment="1">
      <alignment wrapText="1" indent="2"/>
    </xf>
    <xf numFmtId="165" fontId="0" fillId="0" borderId="10" xfId="1" applyNumberFormat="1" applyFont="1" applyBorder="1"/>
    <xf numFmtId="169" fontId="0" fillId="0" borderId="10" xfId="0" applyNumberFormat="1" applyBorder="1"/>
    <xf numFmtId="165" fontId="0" fillId="0" borderId="11" xfId="1" applyNumberFormat="1" applyFont="1" applyFill="1" applyBorder="1"/>
    <xf numFmtId="166" fontId="0" fillId="0" borderId="10" xfId="3" applyNumberFormat="1" applyFont="1" applyBorder="1"/>
    <xf numFmtId="0" fontId="0" fillId="0" borderId="10" xfId="0" applyBorder="1" applyAlignment="1">
      <alignment horizontal="left" wrapText="1"/>
    </xf>
    <xf numFmtId="44" fontId="0" fillId="0" borderId="10" xfId="0" applyNumberFormat="1" applyBorder="1"/>
    <xf numFmtId="44" fontId="0" fillId="37" borderId="10" xfId="0" applyNumberFormat="1" applyFill="1" applyBorder="1"/>
    <xf numFmtId="165" fontId="0" fillId="37" borderId="10" xfId="1" applyNumberFormat="1" applyFont="1" applyFill="1" applyBorder="1"/>
    <xf numFmtId="169" fontId="0" fillId="0" borderId="10" xfId="2" applyNumberFormat="1" applyFont="1" applyFill="1" applyBorder="1"/>
    <xf numFmtId="44" fontId="0" fillId="38" borderId="10" xfId="0" applyNumberFormat="1" applyFill="1" applyBorder="1"/>
    <xf numFmtId="169" fontId="0" fillId="38" borderId="10" xfId="0" applyNumberFormat="1" applyFill="1" applyBorder="1"/>
    <xf numFmtId="44" fontId="0" fillId="39" borderId="10" xfId="0" applyNumberFormat="1" applyFill="1" applyBorder="1"/>
    <xf numFmtId="165" fontId="0" fillId="39" borderId="10" xfId="1" applyNumberFormat="1" applyFont="1" applyFill="1" applyBorder="1"/>
    <xf numFmtId="44" fontId="0" fillId="40" borderId="10" xfId="0" applyNumberFormat="1" applyFill="1" applyBorder="1"/>
    <xf numFmtId="165" fontId="0" fillId="40" borderId="10" xfId="1" applyNumberFormat="1" applyFont="1" applyFill="1" applyBorder="1"/>
    <xf numFmtId="166" fontId="0" fillId="0" borderId="0" xfId="3" applyNumberFormat="1" applyFont="1" applyBorder="1"/>
    <xf numFmtId="0" fontId="34" fillId="0" borderId="0" xfId="0" applyFont="1"/>
    <xf numFmtId="14" fontId="0" fillId="0" borderId="0" xfId="0" applyNumberFormat="1"/>
    <xf numFmtId="1" fontId="20" fillId="41" borderId="10" xfId="0" applyNumberFormat="1" applyFont="1" applyFill="1" applyBorder="1" applyAlignment="1">
      <alignment horizontal="right" vertical="top" wrapText="1"/>
    </xf>
    <xf numFmtId="0" fontId="0" fillId="41" borderId="0" xfId="0" applyFill="1"/>
    <xf numFmtId="165" fontId="0" fillId="41" borderId="0" xfId="0" applyNumberFormat="1" applyFill="1"/>
    <xf numFmtId="0" fontId="0" fillId="0" borderId="59" xfId="0" applyBorder="1"/>
    <xf numFmtId="165" fontId="0" fillId="0" borderId="59" xfId="0" applyNumberFormat="1" applyBorder="1"/>
    <xf numFmtId="0" fontId="0" fillId="0" borderId="60" xfId="0" applyBorder="1" applyAlignment="1">
      <alignment horizontal="center"/>
    </xf>
    <xf numFmtId="0" fontId="0" fillId="0" borderId="60" xfId="0" applyBorder="1"/>
    <xf numFmtId="0" fontId="0" fillId="38" borderId="0" xfId="0" applyFill="1"/>
    <xf numFmtId="9" fontId="0" fillId="38" borderId="0" xfId="0" applyNumberFormat="1" applyFill="1"/>
    <xf numFmtId="165" fontId="0" fillId="38" borderId="0" xfId="0" applyNumberFormat="1" applyFill="1"/>
    <xf numFmtId="0" fontId="16" fillId="0" borderId="25" xfId="0" applyFont="1" applyBorder="1" applyAlignment="1">
      <alignment horizontal="center" wrapText="1"/>
    </xf>
    <xf numFmtId="2" fontId="16" fillId="0" borderId="23" xfId="0" applyNumberFormat="1" applyFont="1" applyBorder="1" applyAlignment="1">
      <alignment horizontal="center" wrapText="1"/>
    </xf>
    <xf numFmtId="2" fontId="16" fillId="0" borderId="26" xfId="0" applyNumberFormat="1" applyFont="1" applyBorder="1" applyAlignment="1">
      <alignment horizontal="center" wrapText="1"/>
    </xf>
    <xf numFmtId="2" fontId="16" fillId="0" borderId="37" xfId="0" applyNumberFormat="1" applyFont="1" applyBorder="1" applyAlignment="1">
      <alignment horizontal="center" wrapText="1"/>
    </xf>
    <xf numFmtId="2" fontId="16" fillId="0" borderId="32" xfId="0" applyNumberFormat="1" applyFont="1" applyBorder="1" applyAlignment="1">
      <alignment horizontal="center" wrapText="1"/>
    </xf>
    <xf numFmtId="2" fontId="16" fillId="0" borderId="35" xfId="0" applyNumberFormat="1" applyFont="1" applyBorder="1" applyAlignment="1">
      <alignment horizontal="center" wrapText="1"/>
    </xf>
    <xf numFmtId="2" fontId="16" fillId="0" borderId="42" xfId="0" applyNumberFormat="1" applyFont="1" applyBorder="1" applyAlignment="1">
      <alignment horizontal="center" wrapText="1"/>
    </xf>
    <xf numFmtId="2" fontId="16" fillId="0" borderId="24" xfId="0" applyNumberFormat="1" applyFont="1" applyBorder="1" applyAlignment="1">
      <alignment horizontal="center" wrapText="1"/>
    </xf>
    <xf numFmtId="0" fontId="0" fillId="0" borderId="0" xfId="0" applyAlignment="1">
      <alignment vertical="top" wrapText="1"/>
    </xf>
    <xf numFmtId="0" fontId="37" fillId="0" borderId="10" xfId="0" applyFont="1" applyBorder="1" applyAlignment="1">
      <alignment horizontal="left" vertical="center" wrapText="1" indent="1"/>
    </xf>
    <xf numFmtId="170" fontId="0" fillId="0" borderId="0" xfId="0" applyNumberFormat="1"/>
    <xf numFmtId="0" fontId="0" fillId="0" borderId="59" xfId="0" applyBorder="1" applyAlignment="1">
      <alignment wrapText="1"/>
    </xf>
    <xf numFmtId="0" fontId="0" fillId="42" borderId="59" xfId="0" applyFill="1" applyBorder="1" applyAlignment="1">
      <alignment wrapText="1"/>
    </xf>
    <xf numFmtId="9" fontId="0" fillId="0" borderId="59" xfId="0" applyNumberFormat="1" applyBorder="1"/>
    <xf numFmtId="9" fontId="0" fillId="42" borderId="59" xfId="0" applyNumberFormat="1" applyFill="1" applyBorder="1"/>
    <xf numFmtId="165" fontId="0" fillId="42" borderId="59" xfId="0" applyNumberFormat="1" applyFill="1" applyBorder="1"/>
    <xf numFmtId="9" fontId="0" fillId="0" borderId="59" xfId="3" applyFont="1" applyBorder="1"/>
    <xf numFmtId="43" fontId="0" fillId="0" borderId="59" xfId="0" applyNumberFormat="1" applyBorder="1"/>
    <xf numFmtId="0" fontId="0" fillId="42" borderId="59" xfId="0" applyFill="1" applyBorder="1"/>
    <xf numFmtId="1" fontId="0" fillId="0" borderId="59" xfId="0" applyNumberFormat="1" applyBorder="1"/>
    <xf numFmtId="0" fontId="31" fillId="0" borderId="0" xfId="0" applyFont="1" applyAlignment="1">
      <alignment horizontal="left" indent="1"/>
    </xf>
    <xf numFmtId="0" fontId="31" fillId="0" borderId="0" xfId="0" applyFont="1"/>
    <xf numFmtId="0" fontId="28" fillId="0" borderId="0" xfId="0" applyFont="1"/>
    <xf numFmtId="0" fontId="16" fillId="0" borderId="23" xfId="0" applyFont="1" applyBorder="1" applyAlignment="1">
      <alignment horizontal="center"/>
    </xf>
    <xf numFmtId="0" fontId="16" fillId="0" borderId="24" xfId="0" applyFont="1" applyBorder="1" applyAlignment="1">
      <alignment horizontal="center"/>
    </xf>
    <xf numFmtId="0" fontId="16" fillId="0" borderId="26" xfId="0" applyFont="1" applyBorder="1" applyAlignment="1">
      <alignment horizontal="center"/>
    </xf>
    <xf numFmtId="0" fontId="16" fillId="0" borderId="21" xfId="0" applyFont="1" applyBorder="1" applyAlignment="1">
      <alignment horizontal="center"/>
    </xf>
    <xf numFmtId="0" fontId="16" fillId="0" borderId="22" xfId="0" applyFont="1" applyBorder="1" applyAlignment="1">
      <alignment horizontal="center"/>
    </xf>
    <xf numFmtId="0" fontId="28" fillId="0" borderId="30" xfId="0" applyFont="1" applyBorder="1"/>
    <xf numFmtId="0" fontId="16" fillId="0" borderId="30" xfId="0" applyFont="1" applyBorder="1"/>
    <xf numFmtId="0" fontId="16" fillId="0" borderId="25" xfId="0" applyFont="1" applyBorder="1" applyAlignment="1">
      <alignment horizontal="center" wrapText="1"/>
    </xf>
    <xf numFmtId="0" fontId="16" fillId="0" borderId="11" xfId="0" applyFont="1" applyBorder="1" applyAlignment="1">
      <alignment horizontal="center" wrapText="1"/>
    </xf>
    <xf numFmtId="0" fontId="16" fillId="0" borderId="24" xfId="0" applyFont="1" applyBorder="1" applyAlignment="1">
      <alignment horizontal="center" wrapText="1"/>
    </xf>
    <xf numFmtId="0" fontId="16" fillId="0" borderId="26" xfId="0" applyFont="1" applyBorder="1" applyAlignment="1">
      <alignment horizontal="center" wrapText="1"/>
    </xf>
    <xf numFmtId="2" fontId="16" fillId="0" borderId="23" xfId="0" applyNumberFormat="1" applyFont="1" applyBorder="1" applyAlignment="1">
      <alignment horizontal="center" wrapText="1"/>
    </xf>
    <xf numFmtId="2" fontId="16" fillId="0" borderId="26" xfId="0" applyNumberFormat="1" applyFont="1" applyBorder="1" applyAlignment="1">
      <alignment horizontal="center" wrapText="1"/>
    </xf>
    <xf numFmtId="2" fontId="16" fillId="0" borderId="37" xfId="0" applyNumberFormat="1" applyFont="1" applyBorder="1" applyAlignment="1">
      <alignment horizontal="center" wrapText="1"/>
    </xf>
    <xf numFmtId="2" fontId="16" fillId="0" borderId="39" xfId="0" applyNumberFormat="1" applyFont="1" applyBorder="1" applyAlignment="1">
      <alignment horizontal="center" wrapText="1"/>
    </xf>
    <xf numFmtId="2" fontId="16" fillId="0" borderId="32" xfId="0" applyNumberFormat="1" applyFont="1" applyBorder="1" applyAlignment="1">
      <alignment horizontal="center" wrapText="1"/>
    </xf>
    <xf numFmtId="2" fontId="16" fillId="0" borderId="50" xfId="0" applyNumberFormat="1" applyFont="1" applyBorder="1" applyAlignment="1">
      <alignment horizontal="center" wrapText="1"/>
    </xf>
    <xf numFmtId="2" fontId="16" fillId="0" borderId="35" xfId="0" applyNumberFormat="1" applyFont="1" applyBorder="1" applyAlignment="1">
      <alignment horizontal="center" wrapText="1"/>
    </xf>
    <xf numFmtId="2" fontId="16" fillId="0" borderId="42" xfId="0" applyNumberFormat="1" applyFont="1" applyBorder="1" applyAlignment="1">
      <alignment horizontal="center" wrapText="1"/>
    </xf>
    <xf numFmtId="0" fontId="16" fillId="0" borderId="31" xfId="0" applyFont="1" applyBorder="1" applyAlignment="1">
      <alignment horizontal="center" wrapText="1"/>
    </xf>
    <xf numFmtId="0" fontId="16" fillId="0" borderId="40" xfId="0" applyFont="1" applyBorder="1" applyAlignment="1">
      <alignment horizontal="center" wrapText="1"/>
    </xf>
    <xf numFmtId="0" fontId="16" fillId="0" borderId="35" xfId="0" applyFont="1" applyBorder="1" applyAlignment="1">
      <alignment horizontal="center" wrapText="1"/>
    </xf>
    <xf numFmtId="0" fontId="16" fillId="0" borderId="42" xfId="0" applyFont="1" applyBorder="1" applyAlignment="1">
      <alignment horizontal="center" wrapText="1"/>
    </xf>
    <xf numFmtId="0" fontId="16" fillId="0" borderId="27" xfId="0" applyFont="1" applyBorder="1" applyAlignment="1">
      <alignment horizontal="center" wrapText="1"/>
    </xf>
    <xf numFmtId="2" fontId="16" fillId="0" borderId="24" xfId="0" applyNumberFormat="1" applyFont="1" applyBorder="1" applyAlignment="1">
      <alignment horizontal="center" wrapText="1"/>
    </xf>
    <xf numFmtId="0" fontId="33" fillId="36" borderId="0" xfId="0" applyFont="1" applyFill="1" applyAlignment="1">
      <alignment horizontal="center"/>
    </xf>
    <xf numFmtId="0" fontId="28" fillId="0" borderId="0" xfId="0" applyFont="1" applyAlignment="1">
      <alignment horizontal="left"/>
    </xf>
    <xf numFmtId="2" fontId="16" fillId="0" borderId="24" xfId="0" applyNumberFormat="1" applyFont="1" applyBorder="1" applyAlignment="1">
      <alignment horizontal="center" vertical="center" wrapText="1"/>
    </xf>
    <xf numFmtId="2" fontId="16" fillId="0" borderId="26" xfId="0" applyNumberFormat="1" applyFont="1" applyBorder="1" applyAlignment="1">
      <alignment horizontal="center" vertical="center" wrapText="1"/>
    </xf>
    <xf numFmtId="0" fontId="35" fillId="36" borderId="0" xfId="0" applyFont="1" applyFill="1" applyAlignment="1">
      <alignment horizontal="center" wrapText="1"/>
    </xf>
    <xf numFmtId="0" fontId="11" fillId="6" borderId="56" xfId="14" applyBorder="1" applyAlignment="1">
      <alignment horizontal="center"/>
    </xf>
    <xf numFmtId="0" fontId="13" fillId="7" borderId="57" xfId="16" applyBorder="1" applyAlignment="1">
      <alignment horizontal="center"/>
    </xf>
    <xf numFmtId="0" fontId="38" fillId="0" borderId="0" xfId="0" applyFont="1" applyAlignment="1">
      <alignment horizontal="left" wrapText="1"/>
    </xf>
    <xf numFmtId="0" fontId="0" fillId="0" borderId="0" xfId="0" applyAlignment="1">
      <alignment vertical="top" wrapText="1"/>
    </xf>
    <xf numFmtId="0" fontId="36" fillId="0" borderId="55" xfId="0" applyFont="1" applyBorder="1" applyAlignment="1">
      <alignment horizontal="center" vertical="center" wrapText="1" shrinkToFit="1"/>
    </xf>
    <xf numFmtId="0" fontId="37" fillId="0" borderId="0" xfId="0" applyFont="1"/>
    <xf numFmtId="0" fontId="37" fillId="0" borderId="10" xfId="0" applyFont="1" applyBorder="1" applyAlignment="1">
      <alignment horizontal="left" vertical="center" wrapText="1" indent="1"/>
    </xf>
    <xf numFmtId="0" fontId="0" fillId="0" borderId="58" xfId="0" applyBorder="1" applyAlignment="1">
      <alignment horizontal="center" wrapText="1"/>
    </xf>
  </cellXfs>
  <cellStyles count="48">
    <cellStyle name="20% - Accent1" xfId="22" builtinId="30" customBuiltin="1"/>
    <cellStyle name="20% - Accent2" xfId="26" builtinId="34" customBuiltin="1"/>
    <cellStyle name="20% - Accent3" xfId="30" builtinId="38" customBuiltin="1"/>
    <cellStyle name="20% - Accent4" xfId="34" builtinId="42" customBuiltin="1"/>
    <cellStyle name="20% - Accent5" xfId="38" builtinId="46" customBuiltin="1"/>
    <cellStyle name="20% - Accent6" xfId="42" builtinId="50" customBuiltin="1"/>
    <cellStyle name="40% - Accent1" xfId="23" builtinId="31" customBuiltin="1"/>
    <cellStyle name="40% - Accent2" xfId="27" builtinId="35" customBuiltin="1"/>
    <cellStyle name="40% - Accent3" xfId="31" builtinId="39" customBuiltin="1"/>
    <cellStyle name="40% - Accent4" xfId="35" builtinId="43" customBuiltin="1"/>
    <cellStyle name="40% - Accent5" xfId="39" builtinId="47" customBuiltin="1"/>
    <cellStyle name="40% - Accent6" xfId="43" builtinId="51" customBuiltin="1"/>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0" builtinId="27" customBuiltin="1"/>
    <cellStyle name="Calculation" xfId="14" builtinId="22" customBuiltin="1"/>
    <cellStyle name="Check Cell" xfId="16" builtinId="23" customBuiltin="1"/>
    <cellStyle name="Comma" xfId="1" builtinId="3"/>
    <cellStyle name="Currency" xfId="2" builtinId="4"/>
    <cellStyle name="Explanatory Text" xfId="19"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45" builtinId="8"/>
    <cellStyle name="Input" xfId="12" builtinId="20" customBuiltin="1"/>
    <cellStyle name="Linked Cell" xfId="15" builtinId="24" customBuiltin="1"/>
    <cellStyle name="Neutral" xfId="11" builtinId="28" customBuiltin="1"/>
    <cellStyle name="Normal" xfId="0" builtinId="0"/>
    <cellStyle name="Normal_HUD Tax Credit Properties DB" xfId="47" xr:uid="{BD9842E6-10EC-4C18-BB22-2DD1262F61A1}"/>
    <cellStyle name="Normal_Sheet1" xfId="46" xr:uid="{73F084AE-3605-46E0-8DF0-5DA8E7206690}"/>
    <cellStyle name="Note" xfId="18" builtinId="10" customBuiltin="1"/>
    <cellStyle name="Output" xfId="13" builtinId="21" customBuiltin="1"/>
    <cellStyle name="Percent" xfId="3" builtinId="5"/>
    <cellStyle name="Title" xfId="4" builtinId="15" customBuiltin="1"/>
    <cellStyle name="Total" xfId="20" builtinId="25" customBuiltin="1"/>
    <cellStyle name="Warning Text" xfId="17"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Percent of all Massachusetts Rental Units: ACS Units in Rent Ranges vs. </a:t>
            </a:r>
            <a:br>
              <a:rPr lang="en-US"/>
            </a:br>
            <a:r>
              <a:rPr lang="en-US"/>
              <a:t>Units</a:t>
            </a:r>
            <a:r>
              <a:rPr lang="en-US" baseline="0"/>
              <a:t> o</a:t>
            </a:r>
            <a:r>
              <a:rPr lang="en-US"/>
              <a:t>ffered on Zillo</a:t>
            </a:r>
            <a:r>
              <a:rPr lang="en-US" baseline="0"/>
              <a:t> on 11/2/24  in ZORI Inflation Adjusted Rent Ranges</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0"/>
          <c:order val="0"/>
          <c:tx>
            <c:strRef>
              <c:f>'Zillow Massachusett'!$C$4</c:f>
              <c:strCache>
                <c:ptCount val="1"/>
                <c:pt idx="0">
                  <c:v>Less than $500</c:v>
                </c:pt>
              </c:strCache>
            </c:strRef>
          </c:tx>
          <c:spPr>
            <a:solidFill>
              <a:schemeClr val="accent1"/>
            </a:solidFill>
            <a:ln>
              <a:noFill/>
            </a:ln>
            <a:effectLst/>
          </c:spPr>
          <c:invertIfNegative val="0"/>
          <c:cat>
            <c:strRef>
              <c:f>'Zillow Massachusett'!$E$3:$F$3</c:f>
              <c:strCache>
                <c:ptCount val="2"/>
                <c:pt idx="0">
                  <c:v>ACS 2022</c:v>
                </c:pt>
                <c:pt idx="1">
                  <c:v>Zillo 2024 (using inflation-adjusted range)</c:v>
                </c:pt>
              </c:strCache>
            </c:strRef>
          </c:cat>
          <c:val>
            <c:numRef>
              <c:f>'Zillow Massachusett'!$E$4:$F$4</c:f>
              <c:numCache>
                <c:formatCode>0.00%</c:formatCode>
                <c:ptCount val="2"/>
                <c:pt idx="0">
                  <c:v>9.9315736379618283E-2</c:v>
                </c:pt>
                <c:pt idx="1">
                  <c:v>2.5198891248785055E-4</c:v>
                </c:pt>
              </c:numCache>
            </c:numRef>
          </c:val>
          <c:extLst>
            <c:ext xmlns:c16="http://schemas.microsoft.com/office/drawing/2014/chart" uri="{C3380CC4-5D6E-409C-BE32-E72D297353CC}">
              <c16:uniqueId val="{00000000-6C81-4302-82AA-FAB9E404E59D}"/>
            </c:ext>
          </c:extLst>
        </c:ser>
        <c:ser>
          <c:idx val="1"/>
          <c:order val="1"/>
          <c:tx>
            <c:strRef>
              <c:f>'Zillow Massachusett'!$C$5</c:f>
              <c:strCache>
                <c:ptCount val="1"/>
                <c:pt idx="0">
                  <c:v>$500 to $999</c:v>
                </c:pt>
              </c:strCache>
            </c:strRef>
          </c:tx>
          <c:spPr>
            <a:solidFill>
              <a:schemeClr val="accent2"/>
            </a:solidFill>
            <a:ln>
              <a:noFill/>
            </a:ln>
            <a:effectLst/>
          </c:spPr>
          <c:invertIfNegative val="0"/>
          <c:cat>
            <c:strRef>
              <c:f>'Zillow Massachusett'!$E$3:$F$3</c:f>
              <c:strCache>
                <c:ptCount val="2"/>
                <c:pt idx="0">
                  <c:v>ACS 2022</c:v>
                </c:pt>
                <c:pt idx="1">
                  <c:v>Zillo 2024 (using inflation-adjusted range)</c:v>
                </c:pt>
              </c:strCache>
            </c:strRef>
          </c:cat>
          <c:val>
            <c:numRef>
              <c:f>'Zillow Massachusett'!$E$5:$F$5</c:f>
              <c:numCache>
                <c:formatCode>0.00%</c:formatCode>
                <c:ptCount val="2"/>
                <c:pt idx="0">
                  <c:v>9.1325411757773201E-2</c:v>
                </c:pt>
                <c:pt idx="1">
                  <c:v>2.5558875409481983E-3</c:v>
                </c:pt>
              </c:numCache>
            </c:numRef>
          </c:val>
          <c:extLst>
            <c:ext xmlns:c16="http://schemas.microsoft.com/office/drawing/2014/chart" uri="{C3380CC4-5D6E-409C-BE32-E72D297353CC}">
              <c16:uniqueId val="{00000001-6C81-4302-82AA-FAB9E404E59D}"/>
            </c:ext>
          </c:extLst>
        </c:ser>
        <c:ser>
          <c:idx val="2"/>
          <c:order val="2"/>
          <c:tx>
            <c:strRef>
              <c:f>'Zillow Massachusett'!$C$6</c:f>
              <c:strCache>
                <c:ptCount val="1"/>
                <c:pt idx="0">
                  <c:v>$1,000 to $1,499</c:v>
                </c:pt>
              </c:strCache>
            </c:strRef>
          </c:tx>
          <c:spPr>
            <a:solidFill>
              <a:schemeClr val="accent3"/>
            </a:solidFill>
            <a:ln>
              <a:noFill/>
            </a:ln>
            <a:effectLst/>
          </c:spPr>
          <c:invertIfNegative val="0"/>
          <c:cat>
            <c:strRef>
              <c:f>'Zillow Massachusett'!$E$3:$F$3</c:f>
              <c:strCache>
                <c:ptCount val="2"/>
                <c:pt idx="0">
                  <c:v>ACS 2022</c:v>
                </c:pt>
                <c:pt idx="1">
                  <c:v>Zillo 2024 (using inflation-adjusted range)</c:v>
                </c:pt>
              </c:strCache>
            </c:strRef>
          </c:cat>
          <c:val>
            <c:numRef>
              <c:f>'Zillow Massachusett'!$E$6:$F$6</c:f>
              <c:numCache>
                <c:formatCode>0.00%</c:formatCode>
                <c:ptCount val="2"/>
                <c:pt idx="0">
                  <c:v>0.16115060674554568</c:v>
                </c:pt>
                <c:pt idx="1">
                  <c:v>3.2326577630584254E-2</c:v>
                </c:pt>
              </c:numCache>
            </c:numRef>
          </c:val>
          <c:extLst>
            <c:ext xmlns:c16="http://schemas.microsoft.com/office/drawing/2014/chart" uri="{C3380CC4-5D6E-409C-BE32-E72D297353CC}">
              <c16:uniqueId val="{00000002-6C81-4302-82AA-FAB9E404E59D}"/>
            </c:ext>
          </c:extLst>
        </c:ser>
        <c:dLbls>
          <c:showLegendKey val="0"/>
          <c:showVal val="0"/>
          <c:showCatName val="0"/>
          <c:showSerName val="0"/>
          <c:showPercent val="0"/>
          <c:showBubbleSize val="0"/>
        </c:dLbls>
        <c:gapWidth val="150"/>
        <c:overlap val="100"/>
        <c:axId val="714497024"/>
        <c:axId val="714495584"/>
      </c:barChart>
      <c:catAx>
        <c:axId val="71449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4495584"/>
        <c:crosses val="autoZero"/>
        <c:auto val="1"/>
        <c:lblAlgn val="ctr"/>
        <c:lblOffset val="100"/>
        <c:noMultiLvlLbl val="0"/>
      </c:catAx>
      <c:valAx>
        <c:axId val="7144955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1449702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11</xdr:col>
      <xdr:colOff>561974</xdr:colOff>
      <xdr:row>5</xdr:row>
      <xdr:rowOff>504826</xdr:rowOff>
    </xdr:from>
    <xdr:to>
      <xdr:col>24</xdr:col>
      <xdr:colOff>266699</xdr:colOff>
      <xdr:row>33</xdr:row>
      <xdr:rowOff>33338</xdr:rowOff>
    </xdr:to>
    <xdr:graphicFrame macro="">
      <xdr:nvGraphicFramePr>
        <xdr:cNvPr id="2" name="Chart 1">
          <a:extLst>
            <a:ext uri="{FF2B5EF4-FFF2-40B4-BE49-F238E27FC236}">
              <a16:creationId xmlns:a16="http://schemas.microsoft.com/office/drawing/2014/main" id="{51A2644E-F160-0132-7049-9333EAD06B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20</xdr:col>
      <xdr:colOff>106491</xdr:colOff>
      <xdr:row>71</xdr:row>
      <xdr:rowOff>30068</xdr:rowOff>
    </xdr:to>
    <xdr:pic>
      <xdr:nvPicPr>
        <xdr:cNvPr id="2" name="Picture 1">
          <a:extLst>
            <a:ext uri="{FF2B5EF4-FFF2-40B4-BE49-F238E27FC236}">
              <a16:creationId xmlns:a16="http://schemas.microsoft.com/office/drawing/2014/main" id="{B698B86E-5D72-9191-9B86-7BBDF8FFAC99}"/>
            </a:ext>
          </a:extLst>
        </xdr:cNvPr>
        <xdr:cNvPicPr>
          <a:picLocks noChangeAspect="1"/>
        </xdr:cNvPicPr>
      </xdr:nvPicPr>
      <xdr:blipFill>
        <a:blip xmlns:r="http://schemas.openxmlformats.org/officeDocument/2006/relationships" r:embed="rId1"/>
        <a:stretch>
          <a:fillRect/>
        </a:stretch>
      </xdr:blipFill>
      <xdr:spPr>
        <a:xfrm>
          <a:off x="0" y="2667000"/>
          <a:ext cx="12298491" cy="10698068"/>
        </a:xfrm>
        <a:prstGeom prst="rect">
          <a:avLst/>
        </a:prstGeom>
      </xdr:spPr>
    </xdr:pic>
    <xdr:clientData/>
  </xdr:twoCellAnchor>
  <xdr:twoCellAnchor editAs="oneCell">
    <xdr:from>
      <xdr:col>0</xdr:col>
      <xdr:colOff>0</xdr:colOff>
      <xdr:row>75</xdr:row>
      <xdr:rowOff>0</xdr:rowOff>
    </xdr:from>
    <xdr:to>
      <xdr:col>28</xdr:col>
      <xdr:colOff>30961</xdr:colOff>
      <xdr:row>127</xdr:row>
      <xdr:rowOff>77593</xdr:rowOff>
    </xdr:to>
    <xdr:pic>
      <xdr:nvPicPr>
        <xdr:cNvPr id="3" name="Picture 2">
          <a:extLst>
            <a:ext uri="{FF2B5EF4-FFF2-40B4-BE49-F238E27FC236}">
              <a16:creationId xmlns:a16="http://schemas.microsoft.com/office/drawing/2014/main" id="{72F5B5E9-F1C9-9A34-2D8B-642EAD1F5E0F}"/>
            </a:ext>
          </a:extLst>
        </xdr:cNvPr>
        <xdr:cNvPicPr>
          <a:picLocks noChangeAspect="1"/>
        </xdr:cNvPicPr>
      </xdr:nvPicPr>
      <xdr:blipFill>
        <a:blip xmlns:r="http://schemas.openxmlformats.org/officeDocument/2006/relationships" r:embed="rId2"/>
        <a:stretch>
          <a:fillRect/>
        </a:stretch>
      </xdr:blipFill>
      <xdr:spPr>
        <a:xfrm>
          <a:off x="0" y="14287500"/>
          <a:ext cx="17099761" cy="998359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15</xdr:row>
      <xdr:rowOff>0</xdr:rowOff>
    </xdr:from>
    <xdr:to>
      <xdr:col>34</xdr:col>
      <xdr:colOff>136261</xdr:colOff>
      <xdr:row>66</xdr:row>
      <xdr:rowOff>68040</xdr:rowOff>
    </xdr:to>
    <xdr:pic>
      <xdr:nvPicPr>
        <xdr:cNvPr id="2" name="Picture 1">
          <a:extLst>
            <a:ext uri="{FF2B5EF4-FFF2-40B4-BE49-F238E27FC236}">
              <a16:creationId xmlns:a16="http://schemas.microsoft.com/office/drawing/2014/main" id="{4BA0122D-2E42-ACC1-5C58-7B47D8997D6F}"/>
            </a:ext>
          </a:extLst>
        </xdr:cNvPr>
        <xdr:cNvPicPr>
          <a:picLocks noChangeAspect="1"/>
        </xdr:cNvPicPr>
      </xdr:nvPicPr>
      <xdr:blipFill>
        <a:blip xmlns:r="http://schemas.openxmlformats.org/officeDocument/2006/relationships" r:embed="rId1"/>
        <a:stretch>
          <a:fillRect/>
        </a:stretch>
      </xdr:blipFill>
      <xdr:spPr>
        <a:xfrm>
          <a:off x="0" y="2857500"/>
          <a:ext cx="20862661" cy="9783540"/>
        </a:xfrm>
        <a:prstGeom prst="rect">
          <a:avLst/>
        </a:prstGeom>
      </xdr:spPr>
    </xdr:pic>
    <xdr:clientData/>
  </xdr:twoCellAnchor>
  <xdr:twoCellAnchor editAs="oneCell">
    <xdr:from>
      <xdr:col>0</xdr:col>
      <xdr:colOff>0</xdr:colOff>
      <xdr:row>70</xdr:row>
      <xdr:rowOff>0</xdr:rowOff>
    </xdr:from>
    <xdr:to>
      <xdr:col>28</xdr:col>
      <xdr:colOff>88119</xdr:colOff>
      <xdr:row>122</xdr:row>
      <xdr:rowOff>134751</xdr:rowOff>
    </xdr:to>
    <xdr:pic>
      <xdr:nvPicPr>
        <xdr:cNvPr id="3" name="Picture 2">
          <a:extLst>
            <a:ext uri="{FF2B5EF4-FFF2-40B4-BE49-F238E27FC236}">
              <a16:creationId xmlns:a16="http://schemas.microsoft.com/office/drawing/2014/main" id="{0DA8369B-C9F8-5935-91B2-05EE0B9BFEB8}"/>
            </a:ext>
          </a:extLst>
        </xdr:cNvPr>
        <xdr:cNvPicPr>
          <a:picLocks noChangeAspect="1"/>
        </xdr:cNvPicPr>
      </xdr:nvPicPr>
      <xdr:blipFill>
        <a:blip xmlns:r="http://schemas.openxmlformats.org/officeDocument/2006/relationships" r:embed="rId2"/>
        <a:stretch>
          <a:fillRect/>
        </a:stretch>
      </xdr:blipFill>
      <xdr:spPr>
        <a:xfrm>
          <a:off x="0" y="13335000"/>
          <a:ext cx="17156919" cy="1004075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www.hud.gov/hudprograms%20--%20office%20of%20housing,%20Renew%20of%20Section%208%20Project-Based%20Rental%20Assistance%20(contracts"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en.wikipedia.org/wiki/List_of_Massachusetts_locations_by_per_capita_income" TargetMode="Externa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2247C-88A8-4F5B-B248-E07F291EBBEC}">
  <dimension ref="A1:AB96"/>
  <sheetViews>
    <sheetView tabSelected="1" topLeftCell="A12" workbookViewId="0">
      <selection activeCell="L17" sqref="L17"/>
    </sheetView>
  </sheetViews>
  <sheetFormatPr defaultRowHeight="15" x14ac:dyDescent="0.25"/>
  <cols>
    <col min="1" max="1" width="91.7109375" customWidth="1"/>
    <col min="2" max="3" width="14.28515625" customWidth="1"/>
    <col min="4" max="4" width="16.5703125" customWidth="1"/>
    <col min="5" max="5" width="15.28515625" customWidth="1"/>
    <col min="6" max="6" width="49.5703125" customWidth="1"/>
    <col min="7" max="7" width="19" customWidth="1"/>
    <col min="8" max="8" width="12.28515625" customWidth="1"/>
    <col min="9" max="9" width="19.7109375" customWidth="1"/>
    <col min="10" max="10" width="11.5703125" bestFit="1" customWidth="1"/>
    <col min="11" max="11" width="11.28515625" bestFit="1" customWidth="1"/>
  </cols>
  <sheetData>
    <row r="1" spans="1:12" x14ac:dyDescent="0.25">
      <c r="A1" t="s">
        <v>0</v>
      </c>
    </row>
    <row r="6" spans="1:12" x14ac:dyDescent="0.25">
      <c r="A6" s="1" t="s">
        <v>1</v>
      </c>
      <c r="G6" s="65"/>
      <c r="H6" s="65"/>
    </row>
    <row r="7" spans="1:12" ht="75" x14ac:dyDescent="0.25">
      <c r="A7" s="65"/>
      <c r="B7" s="133" t="s">
        <v>2</v>
      </c>
      <c r="C7" s="133" t="s">
        <v>3</v>
      </c>
      <c r="F7" s="171"/>
      <c r="G7" s="171" t="s">
        <v>4</v>
      </c>
      <c r="H7" s="171" t="s">
        <v>5</v>
      </c>
      <c r="I7" s="189" t="s">
        <v>6</v>
      </c>
      <c r="J7" s="190" t="s">
        <v>7</v>
      </c>
      <c r="K7" s="189" t="s">
        <v>8</v>
      </c>
    </row>
    <row r="8" spans="1:12" x14ac:dyDescent="0.25">
      <c r="A8" s="65" t="s">
        <v>9</v>
      </c>
      <c r="B8" s="65">
        <f>+B51</f>
        <v>28700</v>
      </c>
      <c r="C8" s="65"/>
      <c r="F8" s="171" t="s">
        <v>10</v>
      </c>
      <c r="G8" s="172">
        <f>SUM(B8:B9)</f>
        <v>41500</v>
      </c>
      <c r="H8" s="191">
        <v>0.78</v>
      </c>
      <c r="I8" s="172">
        <f>H8*G8</f>
        <v>32370</v>
      </c>
      <c r="J8" s="192">
        <f>1-H8</f>
        <v>0.21999999999999997</v>
      </c>
      <c r="K8" s="193">
        <f>G8*J8</f>
        <v>9129.9999999999982</v>
      </c>
    </row>
    <row r="9" spans="1:12" x14ac:dyDescent="0.25">
      <c r="A9" s="65" t="s">
        <v>11</v>
      </c>
      <c r="B9" s="65">
        <f>+B52</f>
        <v>12800</v>
      </c>
      <c r="C9" s="65"/>
      <c r="F9" s="172" t="str">
        <f>A10</f>
        <v>Federal Public Housing</v>
      </c>
      <c r="G9" s="172">
        <f t="shared" ref="G9:G13" si="0">B10</f>
        <v>29957</v>
      </c>
      <c r="H9" s="194">
        <f>'HUD Program Data'!C35/100</f>
        <v>0.78</v>
      </c>
      <c r="I9" s="172">
        <f t="shared" ref="I9:I18" si="1">H9*G9</f>
        <v>23366.46</v>
      </c>
      <c r="J9" s="192">
        <f t="shared" ref="J9:J14" si="2">1-H9</f>
        <v>0.21999999999999997</v>
      </c>
      <c r="K9" s="193">
        <f t="shared" ref="K9:K18" si="3">G9*J9</f>
        <v>6590.5399999999991</v>
      </c>
    </row>
    <row r="10" spans="1:12" x14ac:dyDescent="0.25">
      <c r="A10" s="65" t="s">
        <v>12</v>
      </c>
      <c r="B10" s="65">
        <f>+B64</f>
        <v>29957</v>
      </c>
      <c r="C10" s="65"/>
      <c r="F10" s="172" t="str">
        <f t="shared" ref="F10:F13" si="4">A11</f>
        <v>Federal Mod Rehab</v>
      </c>
      <c r="G10" s="172">
        <f t="shared" si="0"/>
        <v>1662</v>
      </c>
      <c r="H10" s="194">
        <f>'HUD Program Data'!E35/100</f>
        <v>0.87</v>
      </c>
      <c r="I10" s="172">
        <f t="shared" si="1"/>
        <v>1445.94</v>
      </c>
      <c r="J10" s="192">
        <f t="shared" si="2"/>
        <v>0.13</v>
      </c>
      <c r="K10" s="193">
        <f t="shared" si="3"/>
        <v>216.06</v>
      </c>
    </row>
    <row r="11" spans="1:12" x14ac:dyDescent="0.25">
      <c r="A11" s="65" t="s">
        <v>13</v>
      </c>
      <c r="B11" s="65">
        <f>+B66</f>
        <v>1662</v>
      </c>
      <c r="C11" s="65"/>
      <c r="F11" s="172" t="str">
        <f t="shared" si="4"/>
        <v xml:space="preserve">Federal Project Based Section 8 Rental Assistance </v>
      </c>
      <c r="G11" s="172">
        <f t="shared" si="0"/>
        <v>59394</v>
      </c>
      <c r="H11" s="194">
        <f>'HUD Program Data'!F35/100</f>
        <v>0.79</v>
      </c>
      <c r="I11" s="172">
        <f t="shared" si="1"/>
        <v>46921.26</v>
      </c>
      <c r="J11" s="192">
        <f t="shared" si="2"/>
        <v>0.20999999999999996</v>
      </c>
      <c r="K11" s="193">
        <f t="shared" si="3"/>
        <v>12472.739999999998</v>
      </c>
    </row>
    <row r="12" spans="1:12" x14ac:dyDescent="0.25">
      <c r="A12" s="65" t="s">
        <v>14</v>
      </c>
      <c r="B12" s="65">
        <f>+B67</f>
        <v>59394</v>
      </c>
      <c r="C12" s="65"/>
      <c r="F12" s="172" t="str">
        <f t="shared" si="4"/>
        <v>202/PRAC (Federal Supportive Housing for the Elderly )</v>
      </c>
      <c r="G12" s="172">
        <f t="shared" si="0"/>
        <v>3752</v>
      </c>
      <c r="H12" s="194">
        <f>'HUD Program Data'!G35/100</f>
        <v>0.8</v>
      </c>
      <c r="I12" s="172">
        <f t="shared" si="1"/>
        <v>3001.6000000000004</v>
      </c>
      <c r="J12" s="192">
        <f t="shared" si="2"/>
        <v>0.19999999999999996</v>
      </c>
      <c r="K12" s="193">
        <f t="shared" si="3"/>
        <v>750.39999999999986</v>
      </c>
    </row>
    <row r="13" spans="1:12" x14ac:dyDescent="0.25">
      <c r="A13" s="65" t="s">
        <v>15</v>
      </c>
      <c r="B13" s="65">
        <f>+B68</f>
        <v>3752</v>
      </c>
      <c r="C13" s="65"/>
      <c r="F13" s="172" t="str">
        <f t="shared" si="4"/>
        <v>811/PRAC (Federal Supportive Housing for Persons with Disabilities)</v>
      </c>
      <c r="G13" s="172">
        <f t="shared" si="0"/>
        <v>967</v>
      </c>
      <c r="H13" s="194">
        <f>'HUD Program Data'!H35/100</f>
        <v>0.94</v>
      </c>
      <c r="I13" s="172">
        <f t="shared" si="1"/>
        <v>908.9799999999999</v>
      </c>
      <c r="J13" s="192">
        <f t="shared" si="2"/>
        <v>6.0000000000000053E-2</v>
      </c>
      <c r="K13" s="193">
        <f t="shared" si="3"/>
        <v>58.020000000000053</v>
      </c>
    </row>
    <row r="14" spans="1:12" x14ac:dyDescent="0.25">
      <c r="A14" s="65" t="s">
        <v>16</v>
      </c>
      <c r="B14" s="65">
        <f>+B69</f>
        <v>967</v>
      </c>
      <c r="C14" s="65"/>
      <c r="F14" s="172" t="s">
        <v>17</v>
      </c>
      <c r="G14" s="172">
        <f>B18</f>
        <v>12752.356456703998</v>
      </c>
      <c r="H14" s="194">
        <f>+H11</f>
        <v>0.79</v>
      </c>
      <c r="I14" s="172">
        <f t="shared" si="1"/>
        <v>10074.361600796159</v>
      </c>
      <c r="J14" s="192">
        <f t="shared" si="2"/>
        <v>0.20999999999999996</v>
      </c>
      <c r="K14" s="193">
        <f t="shared" si="3"/>
        <v>2677.9948559078389</v>
      </c>
    </row>
    <row r="15" spans="1:12" x14ac:dyDescent="0.25">
      <c r="A15" s="65" t="s">
        <v>18</v>
      </c>
      <c r="B15" s="65"/>
      <c r="C15" s="65">
        <f>B77</f>
        <v>68898.882999999987</v>
      </c>
      <c r="F15" s="171" t="s">
        <v>19</v>
      </c>
      <c r="G15" s="195">
        <f>C15*'HUD Tax Credit Tenants Data'!G71</f>
        <v>9165.7562032559963</v>
      </c>
      <c r="H15" s="194">
        <f>+'HUD Program Data'!D35/100*40%</f>
        <v>0.31200000000000006</v>
      </c>
      <c r="I15" s="172">
        <f t="shared" si="1"/>
        <v>2859.7159354158712</v>
      </c>
      <c r="J15" s="192">
        <f>+(1-'HUD Program Data'!D35/100)*40%</f>
        <v>8.7999999999999995E-2</v>
      </c>
      <c r="K15" s="193">
        <f t="shared" si="3"/>
        <v>806.58654588652757</v>
      </c>
    </row>
    <row r="16" spans="1:12" x14ac:dyDescent="0.25">
      <c r="A16" s="65" t="s">
        <v>20</v>
      </c>
      <c r="B16" s="65">
        <f>SUM(B8:B15)</f>
        <v>137232</v>
      </c>
      <c r="C16" s="65">
        <f>SUM(C8:C15)</f>
        <v>68898.882999999987</v>
      </c>
      <c r="F16" s="171" t="s">
        <v>21</v>
      </c>
      <c r="G16" s="195">
        <f>SUM(C16:C21)-G15</f>
        <v>51872.231926333377</v>
      </c>
      <c r="H16" s="191">
        <v>0</v>
      </c>
      <c r="I16" s="172">
        <f t="shared" si="1"/>
        <v>0</v>
      </c>
      <c r="J16" s="192">
        <v>1</v>
      </c>
      <c r="K16" s="193">
        <f t="shared" si="3"/>
        <v>51872.231926333377</v>
      </c>
      <c r="L16" t="s">
        <v>22</v>
      </c>
    </row>
    <row r="17" spans="1:12" x14ac:dyDescent="0.25">
      <c r="A17" s="65" t="s">
        <v>23</v>
      </c>
      <c r="B17" s="65"/>
      <c r="C17" s="65">
        <f>-C15*'HUD Tax Credit Tenants Data'!C71</f>
        <v>-21121.090381415994</v>
      </c>
      <c r="F17" s="172" t="s">
        <v>24</v>
      </c>
      <c r="G17" s="197">
        <f>'HUD Program Data'!D12-Summary!G14-Summary!G15-7000</f>
        <v>70611.887340040004</v>
      </c>
      <c r="H17" s="194">
        <f>'HUD Program Data'!C35*40%/100</f>
        <v>0.31200000000000006</v>
      </c>
      <c r="I17" s="172">
        <f t="shared" si="1"/>
        <v>22030.908850092484</v>
      </c>
      <c r="J17" s="192">
        <f>+(1-'HUD Program Data'!D35/100)*40%</f>
        <v>8.7999999999999995E-2</v>
      </c>
      <c r="K17" s="193">
        <f t="shared" si="3"/>
        <v>6213.8460859235201</v>
      </c>
      <c r="L17" s="1"/>
    </row>
    <row r="18" spans="1:12" x14ac:dyDescent="0.25">
      <c r="A18" s="65" t="s">
        <v>25</v>
      </c>
      <c r="B18" s="65">
        <f>-C18</f>
        <v>12752.356456703998</v>
      </c>
      <c r="C18" s="65">
        <f>-C15*'HUD Tax Credit Tenants Data'!H71</f>
        <v>-12752.356456703998</v>
      </c>
      <c r="F18" s="172" t="s">
        <v>26</v>
      </c>
      <c r="G18" s="171">
        <v>11000</v>
      </c>
      <c r="H18" s="191">
        <f>AVERAGE(H17,H14)</f>
        <v>0.55100000000000005</v>
      </c>
      <c r="I18" s="172">
        <f t="shared" si="1"/>
        <v>6061.0000000000009</v>
      </c>
      <c r="J18" s="192">
        <f>AVERAGE(J17,J14)</f>
        <v>0.14899999999999997</v>
      </c>
      <c r="K18" s="193">
        <f t="shared" si="3"/>
        <v>1638.9999999999995</v>
      </c>
    </row>
    <row r="19" spans="1:12" x14ac:dyDescent="0.25">
      <c r="A19" s="65" t="s">
        <v>27</v>
      </c>
      <c r="B19" s="65"/>
      <c r="C19" s="65">
        <v>16000</v>
      </c>
      <c r="F19" s="171"/>
      <c r="G19" s="172">
        <f>SUM(G8:G18)</f>
        <v>292634.23192633339</v>
      </c>
      <c r="H19" s="171"/>
      <c r="I19" s="172">
        <f>SUM(I8:I18)</f>
        <v>149040.22638630451</v>
      </c>
      <c r="J19" s="196"/>
      <c r="K19" s="193">
        <f>SUM(K8:K18)</f>
        <v>92427.419414051255</v>
      </c>
    </row>
    <row r="20" spans="1:12" x14ac:dyDescent="0.25">
      <c r="A20" s="65" t="s">
        <v>28</v>
      </c>
      <c r="B20" s="65"/>
      <c r="C20" s="65">
        <v>4242</v>
      </c>
      <c r="F20" t="s">
        <v>29</v>
      </c>
      <c r="G20" s="132">
        <f>C16+C17+C18-G15</f>
        <v>25859.679958623994</v>
      </c>
    </row>
    <row r="21" spans="1:12" x14ac:dyDescent="0.25">
      <c r="A21" s="65" t="s">
        <v>30</v>
      </c>
      <c r="C21" s="42">
        <f>'Stat from EoHLC data'!B8</f>
        <v>5770.5519677093844</v>
      </c>
    </row>
    <row r="22" spans="1:12" x14ac:dyDescent="0.25">
      <c r="A22" s="65" t="s">
        <v>31</v>
      </c>
      <c r="B22" s="65">
        <f>SUM(B16:B19)</f>
        <v>149984.356456704</v>
      </c>
      <c r="C22" s="65">
        <f>SUM(C16:C20)</f>
        <v>55267.436161879989</v>
      </c>
      <c r="F22" t="s">
        <v>32</v>
      </c>
    </row>
    <row r="23" spans="1:12" x14ac:dyDescent="0.25">
      <c r="A23" s="65" t="s">
        <v>33</v>
      </c>
      <c r="B23" s="65">
        <f>SUM(B16:B21)</f>
        <v>149984.356456704</v>
      </c>
      <c r="C23" s="65">
        <f>SUM(C16:C21)</f>
        <v>61037.988129589372</v>
      </c>
      <c r="F23" t="s">
        <v>34</v>
      </c>
      <c r="G23" s="170">
        <v>22963</v>
      </c>
      <c r="H23" t="s">
        <v>35</v>
      </c>
    </row>
    <row r="24" spans="1:12" x14ac:dyDescent="0.25">
      <c r="A24" s="65" t="s">
        <v>36</v>
      </c>
      <c r="B24" s="55">
        <f>(B23-B36)/B36</f>
        <v>1.1794411996438121E-2</v>
      </c>
      <c r="C24" s="55">
        <f>(C23-C36)/C36</f>
        <v>-5.0533329596829241E-3</v>
      </c>
      <c r="F24" t="s">
        <v>37</v>
      </c>
      <c r="G24" s="39">
        <v>0.78</v>
      </c>
      <c r="H24" t="s">
        <v>38</v>
      </c>
    </row>
    <row r="25" spans="1:12" x14ac:dyDescent="0.25">
      <c r="F25" t="s">
        <v>39</v>
      </c>
      <c r="G25">
        <v>21740</v>
      </c>
      <c r="H25" t="s">
        <v>40</v>
      </c>
    </row>
    <row r="26" spans="1:12" x14ac:dyDescent="0.25">
      <c r="F26" t="s">
        <v>41</v>
      </c>
      <c r="G26">
        <v>29755</v>
      </c>
      <c r="H26" t="s">
        <v>40</v>
      </c>
    </row>
    <row r="27" spans="1:12" x14ac:dyDescent="0.25">
      <c r="F27" t="s">
        <v>42</v>
      </c>
      <c r="G27" s="170" cm="1">
        <f t="array" ref="G27">+SUMPRODUCT(B8:B9*G25:G26)/SUM(B8:B9)</f>
        <v>24212.096385542169</v>
      </c>
    </row>
    <row r="28" spans="1:12" x14ac:dyDescent="0.25">
      <c r="F28" t="s">
        <v>43</v>
      </c>
      <c r="G28" t="s">
        <v>44</v>
      </c>
      <c r="H28" t="s">
        <v>45</v>
      </c>
    </row>
    <row r="29" spans="1:12" x14ac:dyDescent="0.25">
      <c r="D29">
        <v>64796</v>
      </c>
      <c r="F29" t="s">
        <v>46</v>
      </c>
      <c r="G29" t="s">
        <v>47</v>
      </c>
      <c r="H29" t="s">
        <v>45</v>
      </c>
    </row>
    <row r="30" spans="1:12" x14ac:dyDescent="0.25">
      <c r="D30">
        <v>61038</v>
      </c>
      <c r="F30" t="s">
        <v>48</v>
      </c>
      <c r="G30" s="39">
        <v>0.63</v>
      </c>
      <c r="H30" t="s">
        <v>49</v>
      </c>
    </row>
    <row r="31" spans="1:12" x14ac:dyDescent="0.25">
      <c r="A31" s="1" t="s">
        <v>50</v>
      </c>
      <c r="D31">
        <f>D29-4000+242-D30</f>
        <v>0</v>
      </c>
      <c r="F31" t="s">
        <v>51</v>
      </c>
      <c r="G31" s="39">
        <f>B8/SUM(B8:B9)</f>
        <v>0.69156626506024099</v>
      </c>
    </row>
    <row r="32" spans="1:12" x14ac:dyDescent="0.25">
      <c r="A32" s="1" t="s">
        <v>52</v>
      </c>
    </row>
    <row r="33" spans="1:28" ht="30" x14ac:dyDescent="0.25">
      <c r="A33" t="s">
        <v>53</v>
      </c>
      <c r="B33" s="140" t="s">
        <v>54</v>
      </c>
      <c r="C33" s="140" t="s">
        <v>55</v>
      </c>
    </row>
    <row r="34" spans="1:28" x14ac:dyDescent="0.25">
      <c r="A34" s="3" t="s">
        <v>56</v>
      </c>
      <c r="B34" s="3">
        <v>78035</v>
      </c>
      <c r="C34" s="3">
        <v>50903</v>
      </c>
      <c r="D34" s="3">
        <f>SUM(B34:C34)</f>
        <v>128938</v>
      </c>
    </row>
    <row r="35" spans="1:28" x14ac:dyDescent="0.25">
      <c r="A35" s="3" t="s">
        <v>57</v>
      </c>
      <c r="B35" s="3">
        <v>70201</v>
      </c>
      <c r="C35" s="3">
        <v>10445</v>
      </c>
      <c r="D35" s="3">
        <f>SUM(B35:C35)</f>
        <v>80646</v>
      </c>
      <c r="Z35">
        <v>488415</v>
      </c>
      <c r="AA35">
        <v>43</v>
      </c>
      <c r="AB35">
        <f>Z35*AA35/100</f>
        <v>210018.45</v>
      </c>
    </row>
    <row r="36" spans="1:28" x14ac:dyDescent="0.25">
      <c r="A36" s="3"/>
      <c r="B36" s="4">
        <f>SUM(B34:B35)</f>
        <v>148236</v>
      </c>
      <c r="C36" s="32">
        <f>SUM(C34:C35)</f>
        <v>61348</v>
      </c>
      <c r="D36" s="29">
        <f>SUM(B36:C36)</f>
        <v>209584</v>
      </c>
      <c r="Z36">
        <v>584196</v>
      </c>
      <c r="AA36">
        <v>36</v>
      </c>
      <c r="AB36">
        <f>Z36*AA36/100</f>
        <v>210310.56</v>
      </c>
    </row>
    <row r="37" spans="1:28" x14ac:dyDescent="0.25">
      <c r="A37" s="3"/>
      <c r="B37" s="3"/>
      <c r="C37" s="3"/>
      <c r="D37" s="5">
        <v>210591</v>
      </c>
      <c r="E37" t="s">
        <v>58</v>
      </c>
      <c r="Z37">
        <v>1584399</v>
      </c>
      <c r="AA37">
        <v>13</v>
      </c>
      <c r="AB37">
        <f>Z37*AA37/100</f>
        <v>205971.87</v>
      </c>
    </row>
    <row r="38" spans="1:28" x14ac:dyDescent="0.25">
      <c r="A38" t="s">
        <v>59</v>
      </c>
      <c r="Z38">
        <v>1195589</v>
      </c>
      <c r="AA38">
        <v>7</v>
      </c>
      <c r="AB38">
        <f>Z38*AA38/100</f>
        <v>83691.23</v>
      </c>
    </row>
    <row r="39" spans="1:28" x14ac:dyDescent="0.25">
      <c r="A39" t="s">
        <v>60</v>
      </c>
      <c r="F39" s="175" t="s">
        <v>61</v>
      </c>
      <c r="G39" s="175"/>
      <c r="I39" s="39">
        <f>I19/G45</f>
        <v>0.47134647387675721</v>
      </c>
      <c r="Z39">
        <v>1029654</v>
      </c>
      <c r="AA39">
        <v>20</v>
      </c>
      <c r="AB39">
        <f>Z39*AA39/100</f>
        <v>205930.8</v>
      </c>
    </row>
    <row r="40" spans="1:28" x14ac:dyDescent="0.25">
      <c r="A40" t="s">
        <v>62</v>
      </c>
      <c r="F40" s="175" t="s">
        <v>63</v>
      </c>
      <c r="G40" s="176">
        <f>60%*'HUD Program Data'!C35/100</f>
        <v>0.46799999999999997</v>
      </c>
    </row>
    <row r="41" spans="1:28" x14ac:dyDescent="0.25">
      <c r="A41" t="s">
        <v>64</v>
      </c>
      <c r="F41" s="175" t="s">
        <v>65</v>
      </c>
      <c r="G41" s="177">
        <f>G17</f>
        <v>70611.887340040004</v>
      </c>
    </row>
    <row r="42" spans="1:28" x14ac:dyDescent="0.25">
      <c r="A42" t="s">
        <v>66</v>
      </c>
      <c r="F42" s="175" t="s">
        <v>67</v>
      </c>
      <c r="G42" s="177">
        <f>G41*G40</f>
        <v>33046.363275138719</v>
      </c>
    </row>
    <row r="43" spans="1:28" x14ac:dyDescent="0.25">
      <c r="A43" t="s">
        <v>68</v>
      </c>
      <c r="F43" s="175" t="s">
        <v>69</v>
      </c>
      <c r="G43" s="177">
        <f>G40*G18/2</f>
        <v>2574</v>
      </c>
    </row>
    <row r="44" spans="1:28" x14ac:dyDescent="0.25">
      <c r="A44" t="s">
        <v>70</v>
      </c>
      <c r="F44" s="175" t="s">
        <v>71</v>
      </c>
      <c r="G44" s="177">
        <f>G43+G42</f>
        <v>35620.363275138719</v>
      </c>
      <c r="H44" s="176">
        <f>G44/G45</f>
        <v>0.1126510139915393</v>
      </c>
    </row>
    <row r="45" spans="1:28" x14ac:dyDescent="0.25">
      <c r="A45" t="s">
        <v>72</v>
      </c>
      <c r="F45" t="s">
        <v>73</v>
      </c>
      <c r="G45">
        <v>316201</v>
      </c>
      <c r="H45" t="s">
        <v>74</v>
      </c>
    </row>
    <row r="46" spans="1:28" x14ac:dyDescent="0.25">
      <c r="G46" s="65"/>
    </row>
    <row r="47" spans="1:28" x14ac:dyDescent="0.25">
      <c r="G47" s="65"/>
    </row>
    <row r="48" spans="1:28" x14ac:dyDescent="0.25">
      <c r="A48" t="s">
        <v>75</v>
      </c>
      <c r="G48" s="39"/>
    </row>
    <row r="49" spans="1:9" x14ac:dyDescent="0.25">
      <c r="A49" s="31" t="s">
        <v>76</v>
      </c>
      <c r="B49" s="31">
        <v>30008</v>
      </c>
    </row>
    <row r="50" spans="1:9" x14ac:dyDescent="0.25">
      <c r="A50" s="4" t="s">
        <v>77</v>
      </c>
      <c r="B50" s="4">
        <v>43360</v>
      </c>
    </row>
    <row r="51" spans="1:9" x14ac:dyDescent="0.25">
      <c r="A51" s="3" t="s">
        <v>78</v>
      </c>
      <c r="B51" s="3">
        <v>28700</v>
      </c>
    </row>
    <row r="52" spans="1:9" x14ac:dyDescent="0.25">
      <c r="A52" s="3" t="s">
        <v>79</v>
      </c>
      <c r="B52" s="3">
        <v>12800</v>
      </c>
    </row>
    <row r="53" spans="1:9" x14ac:dyDescent="0.25">
      <c r="A53" s="3" t="s">
        <v>80</v>
      </c>
      <c r="B53" s="3">
        <v>1850</v>
      </c>
    </row>
    <row r="54" spans="1:9" x14ac:dyDescent="0.25">
      <c r="A54" s="31" t="s">
        <v>81</v>
      </c>
      <c r="B54" s="31">
        <v>92000</v>
      </c>
    </row>
    <row r="55" spans="1:9" x14ac:dyDescent="0.25">
      <c r="A55" s="31" t="s">
        <v>82</v>
      </c>
      <c r="B55" s="31">
        <v>22500</v>
      </c>
    </row>
    <row r="56" spans="1:9" x14ac:dyDescent="0.25">
      <c r="A56" s="3" t="s">
        <v>83</v>
      </c>
      <c r="B56" s="30">
        <v>11000</v>
      </c>
    </row>
    <row r="57" spans="1:9" x14ac:dyDescent="0.25">
      <c r="A57" s="31" t="s">
        <v>84</v>
      </c>
      <c r="B57" s="31">
        <f>B49+B50+B54+B56</f>
        <v>176368</v>
      </c>
    </row>
    <row r="58" spans="1:9" x14ac:dyDescent="0.25">
      <c r="A58" s="31" t="s">
        <v>85</v>
      </c>
      <c r="B58" s="31">
        <f>B49+B50</f>
        <v>73368</v>
      </c>
    </row>
    <row r="59" spans="1:9" x14ac:dyDescent="0.25">
      <c r="A59" s="31" t="s">
        <v>86</v>
      </c>
      <c r="B59" s="31">
        <f>B56+B54</f>
        <v>103000</v>
      </c>
    </row>
    <row r="60" spans="1:9" x14ac:dyDescent="0.25">
      <c r="A60" t="s">
        <v>87</v>
      </c>
    </row>
    <row r="62" spans="1:9" x14ac:dyDescent="0.25">
      <c r="A62" s="3" t="s">
        <v>88</v>
      </c>
      <c r="B62" s="3" t="s">
        <v>89</v>
      </c>
      <c r="C62" s="3" t="s">
        <v>90</v>
      </c>
      <c r="D62" s="3" t="s">
        <v>91</v>
      </c>
      <c r="E62" s="3" t="s">
        <v>92</v>
      </c>
      <c r="F62" s="3" t="s">
        <v>93</v>
      </c>
      <c r="G62" s="3" t="s">
        <v>94</v>
      </c>
      <c r="H62" s="3" t="s">
        <v>95</v>
      </c>
      <c r="I62" s="3" t="s">
        <v>96</v>
      </c>
    </row>
    <row r="63" spans="1:9" x14ac:dyDescent="0.25">
      <c r="A63" s="31" t="s">
        <v>97</v>
      </c>
      <c r="B63" s="31">
        <v>195262</v>
      </c>
      <c r="C63" s="31">
        <v>93</v>
      </c>
      <c r="D63" s="31">
        <v>185291</v>
      </c>
      <c r="E63" s="31">
        <v>79</v>
      </c>
      <c r="F63" s="31">
        <v>95</v>
      </c>
      <c r="G63" s="31">
        <v>175</v>
      </c>
      <c r="H63" s="31">
        <v>7</v>
      </c>
      <c r="I63" s="3"/>
    </row>
    <row r="64" spans="1:9" x14ac:dyDescent="0.25">
      <c r="A64" s="4" t="s">
        <v>98</v>
      </c>
      <c r="B64" s="4">
        <v>29957</v>
      </c>
      <c r="C64" s="3">
        <v>96</v>
      </c>
      <c r="D64" s="3">
        <v>28500</v>
      </c>
      <c r="E64" s="3">
        <v>78</v>
      </c>
      <c r="F64" s="3">
        <v>93</v>
      </c>
      <c r="G64" s="3">
        <v>138</v>
      </c>
      <c r="H64" s="3">
        <v>7</v>
      </c>
      <c r="I64" s="3"/>
    </row>
    <row r="65" spans="1:10" x14ac:dyDescent="0.25">
      <c r="A65" s="30" t="s">
        <v>99</v>
      </c>
      <c r="B65" s="30">
        <v>99530</v>
      </c>
      <c r="C65" s="3">
        <v>91</v>
      </c>
      <c r="D65" s="3">
        <v>94811</v>
      </c>
      <c r="E65" s="3">
        <v>78</v>
      </c>
      <c r="F65" s="3">
        <v>94</v>
      </c>
      <c r="G65" s="3">
        <v>215</v>
      </c>
      <c r="H65" s="3">
        <v>7</v>
      </c>
      <c r="I65" s="3" t="s">
        <v>100</v>
      </c>
    </row>
    <row r="66" spans="1:10" x14ac:dyDescent="0.25">
      <c r="A66" s="4" t="s">
        <v>101</v>
      </c>
      <c r="B66" s="4">
        <v>1662</v>
      </c>
      <c r="C66" s="3">
        <v>102</v>
      </c>
      <c r="D66" s="3">
        <v>1666</v>
      </c>
      <c r="E66" s="3">
        <v>87</v>
      </c>
      <c r="F66" s="3">
        <v>97</v>
      </c>
      <c r="G66" s="3">
        <v>100</v>
      </c>
      <c r="H66" s="3">
        <v>13</v>
      </c>
      <c r="I66" s="3" t="s">
        <v>102</v>
      </c>
      <c r="J66" t="s">
        <v>103</v>
      </c>
    </row>
    <row r="67" spans="1:10" x14ac:dyDescent="0.25">
      <c r="A67" s="4" t="s">
        <v>104</v>
      </c>
      <c r="B67" s="4">
        <v>59394</v>
      </c>
      <c r="C67" s="3">
        <v>94</v>
      </c>
      <c r="D67" s="3">
        <v>55695</v>
      </c>
      <c r="E67" s="3">
        <v>79</v>
      </c>
      <c r="F67" s="3">
        <v>95</v>
      </c>
      <c r="G67" s="3">
        <v>134</v>
      </c>
      <c r="H67" s="3">
        <v>7</v>
      </c>
      <c r="I67" s="3" t="s">
        <v>105</v>
      </c>
    </row>
    <row r="68" spans="1:10" x14ac:dyDescent="0.25">
      <c r="A68" s="4" t="s">
        <v>106</v>
      </c>
      <c r="B68" s="4">
        <v>3752</v>
      </c>
      <c r="C68" s="3">
        <v>98</v>
      </c>
      <c r="D68" s="3">
        <v>3709</v>
      </c>
      <c r="E68" s="3">
        <v>80</v>
      </c>
      <c r="F68" s="3">
        <v>99</v>
      </c>
      <c r="G68" s="3">
        <v>98</v>
      </c>
      <c r="H68" s="3">
        <v>9</v>
      </c>
      <c r="I68" s="3" t="s">
        <v>107</v>
      </c>
    </row>
    <row r="69" spans="1:10" x14ac:dyDescent="0.25">
      <c r="A69" s="4" t="s">
        <v>108</v>
      </c>
      <c r="B69" s="4">
        <v>967</v>
      </c>
      <c r="C69" s="3">
        <v>93</v>
      </c>
      <c r="D69" s="3">
        <v>910</v>
      </c>
      <c r="E69" s="3">
        <v>94</v>
      </c>
      <c r="F69" s="3">
        <v>99</v>
      </c>
      <c r="G69" s="3">
        <v>109</v>
      </c>
      <c r="H69" s="3">
        <v>11</v>
      </c>
      <c r="I69" s="3" t="s">
        <v>109</v>
      </c>
    </row>
    <row r="71" spans="1:10" x14ac:dyDescent="0.25">
      <c r="A71" t="s">
        <v>110</v>
      </c>
    </row>
    <row r="72" spans="1:10" x14ac:dyDescent="0.25">
      <c r="A72" s="28" t="s">
        <v>111</v>
      </c>
      <c r="B72" s="130">
        <f>'HUD Tax Credit Properties DB'!D75</f>
        <v>68898.882999999987</v>
      </c>
      <c r="C72" t="s">
        <v>112</v>
      </c>
    </row>
    <row r="73" spans="1:10" x14ac:dyDescent="0.25">
      <c r="A73" t="s">
        <v>113</v>
      </c>
      <c r="B73" s="27">
        <v>83451</v>
      </c>
    </row>
    <row r="74" spans="1:10" x14ac:dyDescent="0.25">
      <c r="A74" t="s">
        <v>114</v>
      </c>
      <c r="B74" s="27">
        <v>57758</v>
      </c>
    </row>
    <row r="76" spans="1:10" x14ac:dyDescent="0.25">
      <c r="A76" s="33" t="s">
        <v>115</v>
      </c>
      <c r="B76" s="34">
        <f>+B51+B52+B64+SUM(B66:B69)</f>
        <v>137232</v>
      </c>
      <c r="C76" t="s">
        <v>116</v>
      </c>
    </row>
    <row r="77" spans="1:10" x14ac:dyDescent="0.25">
      <c r="A77" s="35" t="s">
        <v>117</v>
      </c>
      <c r="B77" s="36">
        <f>B72</f>
        <v>68898.882999999987</v>
      </c>
    </row>
    <row r="78" spans="1:10" x14ac:dyDescent="0.25">
      <c r="A78" s="37" t="s">
        <v>118</v>
      </c>
      <c r="B78" s="38">
        <f>B65+B56</f>
        <v>110530</v>
      </c>
    </row>
    <row r="80" spans="1:10" x14ac:dyDescent="0.25">
      <c r="A80" t="s">
        <v>119</v>
      </c>
      <c r="B80" t="s">
        <v>120</v>
      </c>
      <c r="C80" t="s">
        <v>121</v>
      </c>
    </row>
    <row r="81" spans="1:3" x14ac:dyDescent="0.25">
      <c r="A81" t="s">
        <v>122</v>
      </c>
    </row>
    <row r="83" spans="1:3" x14ac:dyDescent="0.25">
      <c r="A83" s="3" t="s">
        <v>123</v>
      </c>
      <c r="B83" s="3"/>
    </row>
    <row r="84" spans="1:3" x14ac:dyDescent="0.25">
      <c r="A84" s="3" t="s">
        <v>124</v>
      </c>
      <c r="B84" s="43">
        <v>0.79</v>
      </c>
    </row>
    <row r="85" spans="1:3" x14ac:dyDescent="0.25">
      <c r="A85" s="3" t="s">
        <v>125</v>
      </c>
      <c r="B85" s="43">
        <v>0.1</v>
      </c>
    </row>
    <row r="86" spans="1:3" x14ac:dyDescent="0.25">
      <c r="A86" s="3" t="s">
        <v>126</v>
      </c>
      <c r="B86" s="44">
        <f>SUMPRODUCT(B76:B77,B84:B85)</f>
        <v>115303.16829999999</v>
      </c>
    </row>
    <row r="87" spans="1:3" x14ac:dyDescent="0.25">
      <c r="A87" s="3" t="s">
        <v>127</v>
      </c>
      <c r="B87" s="45">
        <f>B78*E64/100</f>
        <v>86213.4</v>
      </c>
    </row>
    <row r="88" spans="1:3" x14ac:dyDescent="0.25">
      <c r="A88" s="3" t="s">
        <v>128</v>
      </c>
      <c r="B88" s="43">
        <v>0.4</v>
      </c>
    </row>
    <row r="89" spans="1:3" x14ac:dyDescent="0.25">
      <c r="A89" s="3" t="s">
        <v>129</v>
      </c>
      <c r="B89" s="44">
        <f>B88*B87</f>
        <v>34485.360000000001</v>
      </c>
    </row>
    <row r="90" spans="1:3" x14ac:dyDescent="0.25">
      <c r="A90" s="3" t="s">
        <v>130</v>
      </c>
      <c r="B90" s="44">
        <f>+B89+B86</f>
        <v>149788.52830000001</v>
      </c>
      <c r="C90" t="s">
        <v>131</v>
      </c>
    </row>
    <row r="91" spans="1:3" x14ac:dyDescent="0.25">
      <c r="A91" s="3" t="s">
        <v>132</v>
      </c>
      <c r="B91" s="44">
        <f>(1-B88)*B87</f>
        <v>51728.039999999994</v>
      </c>
    </row>
    <row r="92" spans="1:3" x14ac:dyDescent="0.25">
      <c r="A92" s="46"/>
    </row>
    <row r="93" spans="1:3" x14ac:dyDescent="0.25">
      <c r="A93" s="1"/>
    </row>
    <row r="94" spans="1:3" x14ac:dyDescent="0.25">
      <c r="A94" s="1"/>
    </row>
    <row r="95" spans="1:3" x14ac:dyDescent="0.25">
      <c r="A95" s="1"/>
    </row>
    <row r="96" spans="1:3" x14ac:dyDescent="0.25">
      <c r="A96" s="1"/>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5C5EC-4991-4F89-B56C-18554D9A8B65}">
  <dimension ref="A1:B69"/>
  <sheetViews>
    <sheetView topLeftCell="A4" workbookViewId="0">
      <selection activeCell="A15" sqref="A15"/>
    </sheetView>
  </sheetViews>
  <sheetFormatPr defaultRowHeight="15" x14ac:dyDescent="0.25"/>
  <sheetData>
    <row r="1" spans="1:2" x14ac:dyDescent="0.25">
      <c r="A1" t="s">
        <v>498</v>
      </c>
    </row>
    <row r="3" spans="1:2" x14ac:dyDescent="0.25">
      <c r="A3" t="s">
        <v>499</v>
      </c>
      <c r="B3" t="s">
        <v>500</v>
      </c>
    </row>
    <row r="4" spans="1:2" x14ac:dyDescent="0.25">
      <c r="A4" s="72">
        <v>1695</v>
      </c>
      <c r="B4" t="s">
        <v>501</v>
      </c>
    </row>
    <row r="5" spans="1:2" x14ac:dyDescent="0.25">
      <c r="A5">
        <v>1694</v>
      </c>
      <c r="B5" t="s">
        <v>502</v>
      </c>
    </row>
    <row r="6" spans="1:2" x14ac:dyDescent="0.25">
      <c r="A6">
        <v>1680</v>
      </c>
      <c r="B6" t="s">
        <v>503</v>
      </c>
    </row>
    <row r="15" spans="1:2" x14ac:dyDescent="0.25">
      <c r="A15" t="s">
        <v>504</v>
      </c>
    </row>
    <row r="69" spans="1:1" x14ac:dyDescent="0.25">
      <c r="A69" t="s">
        <v>505</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3520A-E9C2-4CF0-A29C-A4FE0D4A375E}">
  <dimension ref="A1:AL22"/>
  <sheetViews>
    <sheetView topLeftCell="U1" workbookViewId="0">
      <selection activeCell="A6" sqref="A6:E6"/>
    </sheetView>
  </sheetViews>
  <sheetFormatPr defaultColWidth="28.85546875" defaultRowHeight="15" x14ac:dyDescent="0.25"/>
  <cols>
    <col min="1" max="38" width="16.7109375" customWidth="1"/>
  </cols>
  <sheetData>
    <row r="1" spans="1:38" x14ac:dyDescent="0.25">
      <c r="A1" t="s">
        <v>506</v>
      </c>
    </row>
    <row r="3" spans="1:38" x14ac:dyDescent="0.25">
      <c r="A3" t="s">
        <v>507</v>
      </c>
    </row>
    <row r="4" spans="1:38" x14ac:dyDescent="0.25">
      <c r="A4" t="s">
        <v>508</v>
      </c>
      <c r="B4" t="s">
        <v>509</v>
      </c>
      <c r="C4" t="s">
        <v>510</v>
      </c>
      <c r="D4" t="s">
        <v>511</v>
      </c>
      <c r="E4" t="s">
        <v>512</v>
      </c>
      <c r="F4" s="167">
        <v>44592</v>
      </c>
      <c r="G4" s="167">
        <v>44620</v>
      </c>
      <c r="H4" s="167">
        <v>44651</v>
      </c>
      <c r="I4" s="167">
        <v>44681</v>
      </c>
      <c r="J4" s="167">
        <v>44712</v>
      </c>
      <c r="K4" s="167">
        <v>44742</v>
      </c>
      <c r="L4" s="167">
        <v>44773</v>
      </c>
      <c r="M4" s="167">
        <v>44804</v>
      </c>
      <c r="N4" s="167">
        <v>44834</v>
      </c>
      <c r="O4" s="167">
        <v>44865</v>
      </c>
      <c r="P4" s="167">
        <v>44895</v>
      </c>
      <c r="Q4" s="167">
        <v>44926</v>
      </c>
      <c r="R4" s="167">
        <v>44957</v>
      </c>
      <c r="S4" s="167">
        <v>44985</v>
      </c>
      <c r="T4" s="167">
        <v>45016</v>
      </c>
      <c r="U4" s="167">
        <v>45046</v>
      </c>
      <c r="V4" s="167">
        <v>45077</v>
      </c>
      <c r="W4" s="167">
        <v>45107</v>
      </c>
      <c r="X4" s="167">
        <v>45138</v>
      </c>
      <c r="Y4" s="167">
        <v>45169</v>
      </c>
      <c r="Z4" s="167">
        <v>45199</v>
      </c>
      <c r="AA4" s="167">
        <v>45230</v>
      </c>
      <c r="AB4" s="167">
        <v>45260</v>
      </c>
      <c r="AC4" s="167">
        <v>45291</v>
      </c>
      <c r="AD4" s="167">
        <v>45322</v>
      </c>
      <c r="AE4" s="167">
        <v>45351</v>
      </c>
      <c r="AF4" s="167">
        <v>45382</v>
      </c>
      <c r="AG4" s="167">
        <v>45412</v>
      </c>
      <c r="AH4" s="167">
        <v>45443</v>
      </c>
      <c r="AI4" s="167">
        <v>45473</v>
      </c>
      <c r="AJ4" s="167">
        <v>45504</v>
      </c>
      <c r="AK4" s="167">
        <v>45535</v>
      </c>
      <c r="AL4" s="167">
        <v>45565</v>
      </c>
    </row>
    <row r="5" spans="1:38" x14ac:dyDescent="0.25">
      <c r="A5">
        <v>394404</v>
      </c>
      <c r="B5">
        <v>10</v>
      </c>
      <c r="C5" t="s">
        <v>513</v>
      </c>
      <c r="D5" t="s">
        <v>514</v>
      </c>
      <c r="E5" t="s">
        <v>205</v>
      </c>
      <c r="F5">
        <v>2511.0713794172002</v>
      </c>
      <c r="G5">
        <v>2519.0865987198099</v>
      </c>
      <c r="H5">
        <v>2540.4388610870601</v>
      </c>
      <c r="I5">
        <v>2571.1917206336798</v>
      </c>
      <c r="J5">
        <v>2614.3807262914602</v>
      </c>
      <c r="K5">
        <v>2655.0679501684699</v>
      </c>
      <c r="L5">
        <v>2687.3286096462698</v>
      </c>
      <c r="M5">
        <v>2705.3735585191098</v>
      </c>
      <c r="N5">
        <v>2718.0186820059098</v>
      </c>
      <c r="O5">
        <v>2715.5837329880901</v>
      </c>
      <c r="P5">
        <v>2714.4382709769102</v>
      </c>
      <c r="Q5">
        <v>2708.33518594408</v>
      </c>
      <c r="R5">
        <v>2712.4452480936502</v>
      </c>
      <c r="S5">
        <v>2729.4311860451899</v>
      </c>
      <c r="T5">
        <v>2755.74759713905</v>
      </c>
      <c r="U5">
        <v>2788.65088093754</v>
      </c>
      <c r="V5">
        <v>2816.5710099456201</v>
      </c>
      <c r="W5">
        <v>2839.4023515950098</v>
      </c>
      <c r="X5">
        <v>2854.0088908001699</v>
      </c>
      <c r="Y5">
        <v>2857.59358133265</v>
      </c>
      <c r="Z5">
        <v>2856.5483515856699</v>
      </c>
      <c r="AA5">
        <v>2850.50493345003</v>
      </c>
      <c r="AB5">
        <v>2856.3751546568301</v>
      </c>
      <c r="AC5">
        <v>2862.5183907415899</v>
      </c>
      <c r="AD5">
        <v>2881.2161778436298</v>
      </c>
      <c r="AE5">
        <v>2897.7748740050502</v>
      </c>
      <c r="AF5">
        <v>2919.0215511797301</v>
      </c>
      <c r="AG5">
        <v>2937.0871339537898</v>
      </c>
      <c r="AH5">
        <v>2956.5820237221101</v>
      </c>
      <c r="AI5">
        <v>2971.1928063858199</v>
      </c>
      <c r="AJ5">
        <v>2977.9449204143798</v>
      </c>
      <c r="AK5">
        <v>2964.4398074754399</v>
      </c>
      <c r="AL5">
        <v>2950.5798614369901</v>
      </c>
    </row>
    <row r="6" spans="1:38" x14ac:dyDescent="0.25">
      <c r="A6" t="s">
        <v>515</v>
      </c>
      <c r="E6">
        <f>AVERAGE(F5:N5)</f>
        <v>2613.5508984987741</v>
      </c>
    </row>
    <row r="7" spans="1:38" x14ac:dyDescent="0.25">
      <c r="E7">
        <f>AVERAGE(AD5:AL5)</f>
        <v>2939.5376840463264</v>
      </c>
    </row>
    <row r="8" spans="1:38" x14ac:dyDescent="0.25">
      <c r="E8" s="2">
        <f>+E7/E6</f>
        <v>1.124729457434634</v>
      </c>
    </row>
    <row r="10" spans="1:38" x14ac:dyDescent="0.25">
      <c r="A10" t="s">
        <v>508</v>
      </c>
      <c r="B10" t="s">
        <v>509</v>
      </c>
      <c r="C10" t="s">
        <v>510</v>
      </c>
      <c r="D10" t="s">
        <v>511</v>
      </c>
      <c r="E10" t="s">
        <v>512</v>
      </c>
      <c r="F10" s="167">
        <v>44592</v>
      </c>
      <c r="G10" s="167">
        <v>44620</v>
      </c>
      <c r="H10" s="167">
        <v>44651</v>
      </c>
      <c r="I10" s="167">
        <v>44681</v>
      </c>
      <c r="J10" s="167">
        <v>44712</v>
      </c>
      <c r="K10" s="167">
        <v>44742</v>
      </c>
      <c r="L10" s="167">
        <v>44773</v>
      </c>
      <c r="M10" s="167">
        <v>44804</v>
      </c>
      <c r="N10" s="167">
        <v>44834</v>
      </c>
      <c r="O10" s="167">
        <v>44865</v>
      </c>
      <c r="P10" s="167">
        <v>44895</v>
      </c>
      <c r="Q10" s="167">
        <v>44926</v>
      </c>
      <c r="R10" s="167">
        <v>44957</v>
      </c>
      <c r="S10" s="167">
        <v>44985</v>
      </c>
      <c r="T10" s="167">
        <v>45016</v>
      </c>
      <c r="U10" s="167">
        <v>45046</v>
      </c>
      <c r="V10" s="167">
        <v>45077</v>
      </c>
      <c r="W10" s="167">
        <v>45107</v>
      </c>
      <c r="X10" s="167">
        <v>45138</v>
      </c>
      <c r="Y10" s="167">
        <v>45169</v>
      </c>
      <c r="Z10" s="167">
        <v>45199</v>
      </c>
      <c r="AA10" s="167">
        <v>45230</v>
      </c>
      <c r="AB10" s="167">
        <v>45260</v>
      </c>
      <c r="AC10" s="167">
        <v>45291</v>
      </c>
      <c r="AD10" s="167">
        <v>45322</v>
      </c>
      <c r="AE10" s="167">
        <v>45351</v>
      </c>
      <c r="AF10" s="167">
        <v>45382</v>
      </c>
      <c r="AG10" s="167">
        <v>45412</v>
      </c>
      <c r="AH10" s="167">
        <v>45443</v>
      </c>
      <c r="AI10" s="167">
        <v>45473</v>
      </c>
      <c r="AJ10" s="167">
        <v>45504</v>
      </c>
      <c r="AK10" s="167">
        <v>45535</v>
      </c>
      <c r="AL10" s="167">
        <v>45565</v>
      </c>
    </row>
    <row r="11" spans="1:38" x14ac:dyDescent="0.25">
      <c r="A11">
        <v>395115</v>
      </c>
      <c r="B11">
        <v>85</v>
      </c>
      <c r="C11" t="s">
        <v>516</v>
      </c>
      <c r="D11" t="s">
        <v>514</v>
      </c>
      <c r="E11" t="s">
        <v>205</v>
      </c>
      <c r="F11">
        <v>1448.94479338938</v>
      </c>
      <c r="G11">
        <v>1470.83576848281</v>
      </c>
      <c r="H11">
        <v>1477.4147354776801</v>
      </c>
      <c r="I11">
        <v>1512.3141100481701</v>
      </c>
      <c r="J11">
        <v>1520.21124841441</v>
      </c>
      <c r="K11">
        <v>1539.88387359181</v>
      </c>
      <c r="L11">
        <v>1538.2078616271899</v>
      </c>
      <c r="M11">
        <v>1558.9478398246099</v>
      </c>
      <c r="N11">
        <v>1569.10426974337</v>
      </c>
      <c r="O11">
        <v>1599.89283684829</v>
      </c>
      <c r="P11">
        <v>1606.1218320993701</v>
      </c>
      <c r="Q11">
        <v>1637.9249844441499</v>
      </c>
      <c r="R11">
        <v>1636.96404934777</v>
      </c>
      <c r="S11">
        <v>1640.51847090552</v>
      </c>
      <c r="T11">
        <v>1628.9427459013</v>
      </c>
      <c r="U11">
        <v>1659.80682610499</v>
      </c>
      <c r="V11">
        <v>1682.43188524826</v>
      </c>
      <c r="W11">
        <v>1685.3282448490399</v>
      </c>
      <c r="X11">
        <v>1670.3964688373201</v>
      </c>
      <c r="Y11">
        <v>1673.0415736898999</v>
      </c>
      <c r="Z11">
        <v>1687.94245734115</v>
      </c>
      <c r="AA11">
        <v>1692.15478458541</v>
      </c>
      <c r="AB11">
        <v>1728.1756698424199</v>
      </c>
      <c r="AC11">
        <v>1749.3596608744499</v>
      </c>
      <c r="AD11">
        <v>1757.7120846477001</v>
      </c>
      <c r="AE11">
        <v>1749.1839741276799</v>
      </c>
      <c r="AF11">
        <v>1755.73702544352</v>
      </c>
      <c r="AG11">
        <v>1779.23020731883</v>
      </c>
      <c r="AH11">
        <v>1797.8767619739399</v>
      </c>
      <c r="AI11">
        <v>1787.93307548234</v>
      </c>
      <c r="AJ11">
        <v>1786.72419843526</v>
      </c>
      <c r="AK11">
        <v>1783.2578610738999</v>
      </c>
      <c r="AL11">
        <v>1814.1041666666599</v>
      </c>
    </row>
    <row r="12" spans="1:38" x14ac:dyDescent="0.25">
      <c r="A12" t="s">
        <v>515</v>
      </c>
      <c r="E12">
        <f>AVERAGE(F11:N11)</f>
        <v>1515.0960556221589</v>
      </c>
    </row>
    <row r="13" spans="1:38" x14ac:dyDescent="0.25">
      <c r="E13">
        <f>AVERAGE(AD11:AL11)</f>
        <v>1779.084372796648</v>
      </c>
    </row>
    <row r="14" spans="1:38" x14ac:dyDescent="0.25">
      <c r="E14" s="2">
        <f>+E13/E12</f>
        <v>1.174238667043513</v>
      </c>
    </row>
    <row r="16" spans="1:38" ht="15.75" customHeight="1" x14ac:dyDescent="0.25">
      <c r="A16" s="233" t="s">
        <v>517</v>
      </c>
      <c r="B16" s="233"/>
      <c r="C16" s="233"/>
      <c r="D16" s="233"/>
      <c r="E16" s="233"/>
      <c r="F16" s="233"/>
      <c r="G16" s="233"/>
      <c r="H16" s="233"/>
      <c r="I16" s="233"/>
    </row>
    <row r="17" spans="1:38" x14ac:dyDescent="0.25">
      <c r="A17" s="233"/>
      <c r="B17" s="233"/>
      <c r="C17" s="233"/>
      <c r="D17" s="233"/>
      <c r="E17" s="233"/>
      <c r="F17" s="233"/>
      <c r="G17" s="233"/>
      <c r="H17" s="233"/>
      <c r="I17" s="233"/>
    </row>
    <row r="18" spans="1:38" ht="38.25" customHeight="1" x14ac:dyDescent="0.25">
      <c r="A18" s="233"/>
      <c r="B18" s="233"/>
      <c r="C18" s="233"/>
      <c r="D18" s="233"/>
      <c r="E18" s="233"/>
      <c r="F18" s="233"/>
      <c r="G18" s="233"/>
      <c r="H18" s="233"/>
      <c r="I18" s="233"/>
    </row>
    <row r="21" spans="1:38" x14ac:dyDescent="0.25">
      <c r="A21" t="s">
        <v>508</v>
      </c>
      <c r="B21" t="s">
        <v>509</v>
      </c>
      <c r="C21" t="s">
        <v>510</v>
      </c>
      <c r="D21" t="s">
        <v>511</v>
      </c>
      <c r="E21" t="s">
        <v>512</v>
      </c>
      <c r="F21" s="167">
        <v>44592</v>
      </c>
      <c r="G21" s="167">
        <v>44620</v>
      </c>
      <c r="H21" s="167">
        <v>44651</v>
      </c>
      <c r="I21" s="167">
        <v>44681</v>
      </c>
      <c r="J21" s="167">
        <v>44712</v>
      </c>
      <c r="K21" s="167">
        <v>44742</v>
      </c>
      <c r="L21" s="167">
        <v>44773</v>
      </c>
      <c r="M21" s="167">
        <v>44804</v>
      </c>
      <c r="N21" s="167">
        <v>44834</v>
      </c>
      <c r="O21" s="167">
        <v>44865</v>
      </c>
      <c r="P21" s="167">
        <v>44895</v>
      </c>
      <c r="Q21" s="167">
        <v>44926</v>
      </c>
      <c r="R21" s="167">
        <v>44957</v>
      </c>
      <c r="S21" s="167">
        <v>44985</v>
      </c>
      <c r="T21" s="167">
        <v>45016</v>
      </c>
      <c r="U21" s="167">
        <v>45046</v>
      </c>
      <c r="V21" s="167">
        <v>45077</v>
      </c>
      <c r="W21" s="167">
        <v>45107</v>
      </c>
      <c r="X21" s="167">
        <v>45138</v>
      </c>
      <c r="Y21" s="167">
        <v>45169</v>
      </c>
      <c r="Z21" s="167">
        <v>45199</v>
      </c>
      <c r="AA21" s="167">
        <v>45230</v>
      </c>
      <c r="AB21" s="167">
        <v>45260</v>
      </c>
      <c r="AC21" s="167">
        <v>45291</v>
      </c>
      <c r="AD21" s="167">
        <v>45322</v>
      </c>
      <c r="AE21" s="167">
        <v>45351</v>
      </c>
      <c r="AF21" s="167">
        <v>45382</v>
      </c>
      <c r="AG21" s="167">
        <v>45412</v>
      </c>
      <c r="AH21" s="167">
        <v>45443</v>
      </c>
      <c r="AI21" s="167">
        <v>45473</v>
      </c>
      <c r="AJ21" s="167">
        <v>45504</v>
      </c>
      <c r="AK21" s="167">
        <v>45535</v>
      </c>
      <c r="AL21" s="167">
        <v>45565</v>
      </c>
    </row>
    <row r="22" spans="1:38" x14ac:dyDescent="0.25">
      <c r="A22">
        <v>395238</v>
      </c>
      <c r="B22">
        <v>58</v>
      </c>
      <c r="C22" t="s">
        <v>518</v>
      </c>
      <c r="D22" t="s">
        <v>514</v>
      </c>
      <c r="E22" t="s">
        <v>205</v>
      </c>
      <c r="F22">
        <v>1684.1979379857501</v>
      </c>
      <c r="G22">
        <v>1695.8175352774699</v>
      </c>
      <c r="H22">
        <v>1726.2852057027201</v>
      </c>
      <c r="I22">
        <v>1751.9105669384601</v>
      </c>
      <c r="J22">
        <v>1783.7856136057301</v>
      </c>
      <c r="K22">
        <v>1813.24973911287</v>
      </c>
      <c r="L22">
        <v>1834.7842863296401</v>
      </c>
      <c r="M22">
        <v>1835.6619249865901</v>
      </c>
      <c r="N22">
        <v>1828.1859109589</v>
      </c>
      <c r="O22">
        <v>1813.6785434640601</v>
      </c>
      <c r="P22">
        <v>1819.29897712614</v>
      </c>
      <c r="Q22">
        <v>1828.28182826328</v>
      </c>
      <c r="R22">
        <v>1848.4895871420499</v>
      </c>
      <c r="S22">
        <v>1859.98922243787</v>
      </c>
      <c r="T22">
        <v>1876.8776845238699</v>
      </c>
      <c r="U22">
        <v>1896.9378209395099</v>
      </c>
      <c r="V22">
        <v>1912.0816922551701</v>
      </c>
      <c r="W22">
        <v>1930.08608735247</v>
      </c>
      <c r="X22">
        <v>1944.4866648872701</v>
      </c>
      <c r="Y22">
        <v>1955.6374803746701</v>
      </c>
      <c r="Z22">
        <v>1960.47342244581</v>
      </c>
      <c r="AA22">
        <v>1970.49676904629</v>
      </c>
      <c r="AB22">
        <v>1963.4339667191</v>
      </c>
      <c r="AC22">
        <v>1965.86880487811</v>
      </c>
      <c r="AD22">
        <v>1964.49266174901</v>
      </c>
      <c r="AE22">
        <v>1992.5762760175901</v>
      </c>
      <c r="AF22">
        <v>2013.7556668102</v>
      </c>
      <c r="AG22">
        <v>2028.2859917245901</v>
      </c>
      <c r="AH22">
        <v>2050.91056612996</v>
      </c>
      <c r="AI22">
        <v>2065.7643633590401</v>
      </c>
      <c r="AJ22">
        <v>2093.66671556548</v>
      </c>
      <c r="AK22">
        <v>2094.0496096627598</v>
      </c>
      <c r="AL22">
        <v>2102.72053099805</v>
      </c>
    </row>
  </sheetData>
  <mergeCells count="1">
    <mergeCell ref="A16:I1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53CA4-23FB-46DB-A3E0-568105686009}">
  <dimension ref="A1:C47"/>
  <sheetViews>
    <sheetView workbookViewId="0"/>
  </sheetViews>
  <sheetFormatPr defaultRowHeight="15.95" customHeight="1" x14ac:dyDescent="0.25"/>
  <cols>
    <col min="1" max="1" width="32.85546875" customWidth="1"/>
    <col min="2" max="2" width="91.7109375" customWidth="1"/>
  </cols>
  <sheetData>
    <row r="1" spans="1:3" ht="15.95" customHeight="1" thickBot="1" x14ac:dyDescent="0.3">
      <c r="A1" t="s">
        <v>519</v>
      </c>
    </row>
    <row r="2" spans="1:3" ht="15.95" customHeight="1" thickBot="1" x14ac:dyDescent="0.3">
      <c r="A2" s="235" t="s">
        <v>520</v>
      </c>
      <c r="B2" s="235"/>
      <c r="C2" s="138"/>
    </row>
    <row r="3" spans="1:3" ht="15.95" customHeight="1" x14ac:dyDescent="0.25">
      <c r="A3" s="234"/>
      <c r="B3" s="234"/>
      <c r="C3" s="234"/>
    </row>
    <row r="4" spans="1:3" ht="15.95" customHeight="1" x14ac:dyDescent="0.25">
      <c r="A4" s="236" t="s">
        <v>521</v>
      </c>
      <c r="B4" s="236"/>
      <c r="C4" s="236"/>
    </row>
    <row r="5" spans="1:3" ht="15.95" customHeight="1" x14ac:dyDescent="0.25">
      <c r="A5" s="234"/>
      <c r="B5" s="234"/>
      <c r="C5" s="234"/>
    </row>
    <row r="6" spans="1:3" ht="15.95" customHeight="1" x14ac:dyDescent="0.25">
      <c r="A6" s="141" t="s">
        <v>522</v>
      </c>
      <c r="B6" s="234" t="s">
        <v>523</v>
      </c>
      <c r="C6" s="234"/>
    </row>
    <row r="7" spans="1:3" ht="15.95" customHeight="1" x14ac:dyDescent="0.25">
      <c r="A7" s="186" t="s">
        <v>524</v>
      </c>
      <c r="B7" s="234" t="s">
        <v>525</v>
      </c>
      <c r="C7" s="234"/>
    </row>
    <row r="8" spans="1:3" ht="15.95" customHeight="1" x14ac:dyDescent="0.25">
      <c r="A8" s="186" t="s">
        <v>526</v>
      </c>
      <c r="B8" s="234" t="s">
        <v>527</v>
      </c>
      <c r="C8" s="234"/>
    </row>
    <row r="9" spans="1:3" ht="15.95" customHeight="1" x14ac:dyDescent="0.25">
      <c r="A9" s="186" t="s">
        <v>528</v>
      </c>
      <c r="B9" s="234" t="s">
        <v>529</v>
      </c>
      <c r="C9" s="234"/>
    </row>
    <row r="10" spans="1:3" ht="15.95" customHeight="1" x14ac:dyDescent="0.25">
      <c r="A10" s="186" t="s">
        <v>530</v>
      </c>
      <c r="B10" s="234" t="s">
        <v>531</v>
      </c>
      <c r="C10" s="234"/>
    </row>
    <row r="11" spans="1:3" ht="15.95" customHeight="1" x14ac:dyDescent="0.25">
      <c r="A11" s="186" t="s">
        <v>532</v>
      </c>
      <c r="B11" s="234" t="s">
        <v>533</v>
      </c>
      <c r="C11" s="234"/>
    </row>
    <row r="12" spans="1:3" ht="15.95" customHeight="1" x14ac:dyDescent="0.25">
      <c r="A12" s="186" t="s">
        <v>534</v>
      </c>
      <c r="B12" s="234" t="s">
        <v>535</v>
      </c>
      <c r="C12" s="234"/>
    </row>
    <row r="13" spans="1:3" ht="15.95" customHeight="1" x14ac:dyDescent="0.25">
      <c r="A13" s="186" t="s">
        <v>536</v>
      </c>
      <c r="B13" s="234" t="s">
        <v>537</v>
      </c>
      <c r="C13" s="234"/>
    </row>
    <row r="14" spans="1:3" ht="15.95" customHeight="1" x14ac:dyDescent="0.25">
      <c r="A14" s="186" t="s">
        <v>538</v>
      </c>
      <c r="B14" s="234" t="s">
        <v>535</v>
      </c>
      <c r="C14" s="234"/>
    </row>
    <row r="15" spans="1:3" ht="15.95" customHeight="1" x14ac:dyDescent="0.25">
      <c r="A15" s="186" t="s">
        <v>539</v>
      </c>
      <c r="B15" s="234" t="s">
        <v>540</v>
      </c>
      <c r="C15" s="234"/>
    </row>
    <row r="16" spans="1:3" ht="15.95" customHeight="1" x14ac:dyDescent="0.25">
      <c r="A16" s="234"/>
      <c r="B16" s="234"/>
      <c r="C16" s="234"/>
    </row>
    <row r="17" spans="1:3" ht="15.95" customHeight="1" x14ac:dyDescent="0.25">
      <c r="A17" s="141" t="s">
        <v>541</v>
      </c>
      <c r="B17" s="234" t="s">
        <v>523</v>
      </c>
      <c r="C17" s="234"/>
    </row>
    <row r="18" spans="1:3" ht="15.95" customHeight="1" x14ac:dyDescent="0.25">
      <c r="A18" s="186" t="s">
        <v>542</v>
      </c>
      <c r="B18" s="234" t="s">
        <v>543</v>
      </c>
      <c r="C18" s="234"/>
    </row>
    <row r="19" spans="1:3" ht="15.95" customHeight="1" x14ac:dyDescent="0.25">
      <c r="A19" s="186" t="s">
        <v>544</v>
      </c>
      <c r="B19" s="234" t="s">
        <v>529</v>
      </c>
      <c r="C19" s="234"/>
    </row>
    <row r="20" spans="1:3" ht="15.95" customHeight="1" x14ac:dyDescent="0.25">
      <c r="A20" s="234"/>
      <c r="B20" s="234"/>
      <c r="C20" s="234"/>
    </row>
    <row r="21" spans="1:3" ht="15.95" customHeight="1" x14ac:dyDescent="0.25">
      <c r="A21" s="141" t="s">
        <v>545</v>
      </c>
      <c r="B21" s="234" t="s">
        <v>535</v>
      </c>
      <c r="C21" s="234"/>
    </row>
    <row r="22" spans="1:3" ht="15.95" customHeight="1" x14ac:dyDescent="0.25">
      <c r="A22" s="234"/>
      <c r="B22" s="234"/>
      <c r="C22" s="234"/>
    </row>
    <row r="23" spans="1:3" ht="15.95" customHeight="1" x14ac:dyDescent="0.25">
      <c r="A23" s="141" t="s">
        <v>546</v>
      </c>
      <c r="B23" s="234" t="s">
        <v>535</v>
      </c>
      <c r="C23" s="234"/>
    </row>
    <row r="24" spans="1:3" ht="15.95" customHeight="1" x14ac:dyDescent="0.25">
      <c r="A24" s="234"/>
      <c r="B24" s="234"/>
      <c r="C24" s="234"/>
    </row>
    <row r="25" spans="1:3" ht="15.95" customHeight="1" x14ac:dyDescent="0.25">
      <c r="A25" s="141" t="s">
        <v>547</v>
      </c>
      <c r="B25" s="234" t="s">
        <v>535</v>
      </c>
      <c r="C25" s="234"/>
    </row>
    <row r="26" spans="1:3" ht="15.95" customHeight="1" x14ac:dyDescent="0.25">
      <c r="A26" s="234"/>
      <c r="B26" s="234"/>
      <c r="C26" s="234"/>
    </row>
    <row r="27" spans="1:3" ht="15.95" customHeight="1" x14ac:dyDescent="0.25">
      <c r="A27" s="141" t="s">
        <v>548</v>
      </c>
      <c r="B27" s="234" t="s">
        <v>523</v>
      </c>
      <c r="C27" s="234"/>
    </row>
    <row r="28" spans="1:3" ht="15.95" customHeight="1" x14ac:dyDescent="0.25">
      <c r="A28" s="186" t="s">
        <v>549</v>
      </c>
      <c r="B28" s="234" t="s">
        <v>535</v>
      </c>
      <c r="C28" s="234"/>
    </row>
    <row r="29" spans="1:3" ht="15.95" customHeight="1" x14ac:dyDescent="0.25">
      <c r="A29" s="186" t="s">
        <v>550</v>
      </c>
      <c r="B29" s="234" t="s">
        <v>551</v>
      </c>
      <c r="C29" s="234"/>
    </row>
    <row r="30" spans="1:3" ht="15.95" customHeight="1" x14ac:dyDescent="0.25">
      <c r="A30" s="186" t="s">
        <v>552</v>
      </c>
      <c r="B30" s="234" t="s">
        <v>535</v>
      </c>
      <c r="C30" s="234"/>
    </row>
    <row r="31" spans="1:3" ht="15.95" customHeight="1" x14ac:dyDescent="0.25">
      <c r="A31" s="186" t="s">
        <v>553</v>
      </c>
      <c r="B31" s="234" t="s">
        <v>535</v>
      </c>
      <c r="C31" s="234"/>
    </row>
    <row r="32" spans="1:3" ht="15.95" customHeight="1" x14ac:dyDescent="0.25">
      <c r="A32" s="234"/>
      <c r="B32" s="234"/>
      <c r="C32" s="234"/>
    </row>
    <row r="33" spans="1:3" ht="15.95" customHeight="1" x14ac:dyDescent="0.25">
      <c r="A33" s="141" t="s">
        <v>554</v>
      </c>
      <c r="B33" s="234" t="s">
        <v>519</v>
      </c>
      <c r="C33" s="234"/>
    </row>
    <row r="34" spans="1:3" ht="15.95" customHeight="1" x14ac:dyDescent="0.25">
      <c r="A34" s="234"/>
      <c r="B34" s="234"/>
      <c r="C34" s="234"/>
    </row>
    <row r="35" spans="1:3" ht="15.95" customHeight="1" x14ac:dyDescent="0.25">
      <c r="A35" s="141" t="s">
        <v>555</v>
      </c>
      <c r="B35" s="234" t="s">
        <v>523</v>
      </c>
      <c r="C35" s="234"/>
    </row>
    <row r="36" spans="1:3" ht="15.95" customHeight="1" x14ac:dyDescent="0.25">
      <c r="A36" s="186" t="s">
        <v>523</v>
      </c>
      <c r="B36" s="234" t="s">
        <v>556</v>
      </c>
      <c r="C36" s="234"/>
    </row>
    <row r="37" spans="1:3" ht="15.95" customHeight="1" x14ac:dyDescent="0.25">
      <c r="A37" s="186" t="s">
        <v>523</v>
      </c>
      <c r="B37" s="234" t="s">
        <v>557</v>
      </c>
      <c r="C37" s="234"/>
    </row>
    <row r="38" spans="1:3" ht="15.95" customHeight="1" x14ac:dyDescent="0.25">
      <c r="A38" s="186" t="s">
        <v>523</v>
      </c>
      <c r="B38" s="234" t="s">
        <v>558</v>
      </c>
      <c r="C38" s="234"/>
    </row>
    <row r="39" spans="1:3" ht="15.95" customHeight="1" x14ac:dyDescent="0.25">
      <c r="A39" s="186" t="s">
        <v>523</v>
      </c>
      <c r="B39" s="234" t="s">
        <v>559</v>
      </c>
      <c r="C39" s="234"/>
    </row>
    <row r="40" spans="1:3" ht="15.95" customHeight="1" x14ac:dyDescent="0.25">
      <c r="A40" s="186" t="s">
        <v>523</v>
      </c>
      <c r="B40" s="234" t="s">
        <v>560</v>
      </c>
      <c r="C40" s="234"/>
    </row>
    <row r="41" spans="1:3" ht="15.95" customHeight="1" x14ac:dyDescent="0.25">
      <c r="A41" s="186" t="s">
        <v>523</v>
      </c>
      <c r="B41" s="234" t="s">
        <v>561</v>
      </c>
      <c r="C41" s="234"/>
    </row>
    <row r="42" spans="1:3" ht="15.95" customHeight="1" x14ac:dyDescent="0.25">
      <c r="A42" s="186" t="s">
        <v>523</v>
      </c>
      <c r="B42" s="234" t="s">
        <v>562</v>
      </c>
      <c r="C42" s="234"/>
    </row>
    <row r="43" spans="1:3" ht="15.95" customHeight="1" x14ac:dyDescent="0.25">
      <c r="A43" s="186" t="s">
        <v>523</v>
      </c>
      <c r="B43" s="234" t="s">
        <v>563</v>
      </c>
      <c r="C43" s="234"/>
    </row>
    <row r="44" spans="1:3" ht="15.95" customHeight="1" x14ac:dyDescent="0.25">
      <c r="A44" s="186" t="s">
        <v>523</v>
      </c>
      <c r="B44" s="234" t="s">
        <v>564</v>
      </c>
      <c r="C44" s="234"/>
    </row>
    <row r="45" spans="1:3" ht="15.95" customHeight="1" x14ac:dyDescent="0.25">
      <c r="A45" s="234"/>
      <c r="B45" s="234"/>
      <c r="C45" s="234"/>
    </row>
    <row r="46" spans="1:3" ht="15.95" customHeight="1" x14ac:dyDescent="0.25">
      <c r="A46" s="141" t="s">
        <v>565</v>
      </c>
      <c r="B46" s="234" t="s">
        <v>535</v>
      </c>
      <c r="C46" s="234"/>
    </row>
    <row r="47" spans="1:3" ht="15.95" customHeight="1" x14ac:dyDescent="0.25">
      <c r="A47" s="234"/>
      <c r="B47" s="234"/>
      <c r="C47" s="234"/>
    </row>
  </sheetData>
  <mergeCells count="46">
    <mergeCell ref="A2:B2"/>
    <mergeCell ref="A3:C3"/>
    <mergeCell ref="A4:C4"/>
    <mergeCell ref="A5:C5"/>
    <mergeCell ref="B6:C6"/>
    <mergeCell ref="B7:C7"/>
    <mergeCell ref="B8:C8"/>
    <mergeCell ref="B9:C9"/>
    <mergeCell ref="B10:C10"/>
    <mergeCell ref="B11:C11"/>
    <mergeCell ref="B12:C12"/>
    <mergeCell ref="B13:C13"/>
    <mergeCell ref="B14:C14"/>
    <mergeCell ref="B15:C15"/>
    <mergeCell ref="A16:C16"/>
    <mergeCell ref="B17:C17"/>
    <mergeCell ref="B18:C18"/>
    <mergeCell ref="B19:C19"/>
    <mergeCell ref="A20:C20"/>
    <mergeCell ref="B21:C21"/>
    <mergeCell ref="A22:C22"/>
    <mergeCell ref="B23:C23"/>
    <mergeCell ref="A24:C24"/>
    <mergeCell ref="B25:C25"/>
    <mergeCell ref="A26:C26"/>
    <mergeCell ref="B27:C27"/>
    <mergeCell ref="B28:C28"/>
    <mergeCell ref="B29:C29"/>
    <mergeCell ref="B30:C30"/>
    <mergeCell ref="B31:C31"/>
    <mergeCell ref="A32:C32"/>
    <mergeCell ref="B33:C33"/>
    <mergeCell ref="A34:C34"/>
    <mergeCell ref="B35:C35"/>
    <mergeCell ref="B36:C36"/>
    <mergeCell ref="B37:C37"/>
    <mergeCell ref="B38:C38"/>
    <mergeCell ref="B39:C39"/>
    <mergeCell ref="B40:C40"/>
    <mergeCell ref="B41:C41"/>
    <mergeCell ref="A47:C47"/>
    <mergeCell ref="B42:C42"/>
    <mergeCell ref="B43:C43"/>
    <mergeCell ref="B44:C44"/>
    <mergeCell ref="A45:C45"/>
    <mergeCell ref="B46:C46"/>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95FC7-395C-4549-8434-413DCFDBC34A}">
  <dimension ref="A1:M173"/>
  <sheetViews>
    <sheetView topLeftCell="A130" workbookViewId="0">
      <selection activeCell="F165" sqref="F165:F167"/>
    </sheetView>
  </sheetViews>
  <sheetFormatPr defaultRowHeight="15.95" customHeight="1" x14ac:dyDescent="0.25"/>
  <cols>
    <col min="1" max="1" width="37.28515625" customWidth="1"/>
    <col min="2" max="13" width="10.140625" customWidth="1"/>
  </cols>
  <sheetData>
    <row r="1" spans="1:13" ht="15.95" customHeight="1" x14ac:dyDescent="0.25">
      <c r="A1" s="187" t="s">
        <v>523</v>
      </c>
      <c r="B1" s="237" t="s">
        <v>566</v>
      </c>
      <c r="C1" s="237"/>
      <c r="D1" s="237"/>
      <c r="E1" s="237"/>
      <c r="F1" s="237" t="s">
        <v>567</v>
      </c>
      <c r="G1" s="237"/>
      <c r="H1" s="237"/>
      <c r="I1" s="237"/>
      <c r="J1" s="237" t="s">
        <v>568</v>
      </c>
      <c r="K1" s="237"/>
      <c r="L1" s="237"/>
      <c r="M1" s="237"/>
    </row>
    <row r="2" spans="1:13" ht="57.75" customHeight="1" x14ac:dyDescent="0.25">
      <c r="A2" s="187" t="s">
        <v>569</v>
      </c>
      <c r="B2" s="187" t="s">
        <v>570</v>
      </c>
      <c r="C2" s="187" t="s">
        <v>571</v>
      </c>
      <c r="D2" s="187" t="s">
        <v>572</v>
      </c>
      <c r="E2" s="187" t="s">
        <v>573</v>
      </c>
      <c r="F2" s="187" t="s">
        <v>570</v>
      </c>
      <c r="G2" s="187" t="s">
        <v>571</v>
      </c>
      <c r="H2" s="187" t="s">
        <v>572</v>
      </c>
      <c r="I2" s="187" t="s">
        <v>573</v>
      </c>
      <c r="J2" s="187" t="s">
        <v>570</v>
      </c>
      <c r="K2" s="187" t="s">
        <v>571</v>
      </c>
      <c r="L2" s="187" t="s">
        <v>572</v>
      </c>
      <c r="M2" s="187" t="s">
        <v>573</v>
      </c>
    </row>
    <row r="3" spans="1:13" ht="15.95" customHeight="1" x14ac:dyDescent="0.25">
      <c r="A3" s="140" t="s">
        <v>574</v>
      </c>
    </row>
    <row r="4" spans="1:13" ht="15.95" customHeight="1" x14ac:dyDescent="0.25">
      <c r="A4" s="143" t="s">
        <v>575</v>
      </c>
      <c r="B4" s="140">
        <v>304079</v>
      </c>
      <c r="C4" s="140" t="s">
        <v>576</v>
      </c>
      <c r="D4" s="140" t="s">
        <v>577</v>
      </c>
      <c r="E4" s="140" t="s">
        <v>578</v>
      </c>
      <c r="F4" s="140">
        <v>2033504</v>
      </c>
      <c r="G4" s="140" t="s">
        <v>579</v>
      </c>
      <c r="H4" s="140" t="s">
        <v>580</v>
      </c>
      <c r="I4" s="140" t="s">
        <v>578</v>
      </c>
      <c r="J4" s="140">
        <v>297526</v>
      </c>
      <c r="K4" s="140" t="s">
        <v>581</v>
      </c>
      <c r="L4" s="140" t="s">
        <v>582</v>
      </c>
      <c r="M4" s="140" t="s">
        <v>578</v>
      </c>
    </row>
    <row r="5" spans="1:13" ht="15.95" customHeight="1" x14ac:dyDescent="0.25">
      <c r="A5" s="144" t="s">
        <v>583</v>
      </c>
      <c r="B5" s="140">
        <v>276053</v>
      </c>
      <c r="C5" s="140" t="s">
        <v>584</v>
      </c>
      <c r="D5" s="140" t="s">
        <v>585</v>
      </c>
      <c r="E5" s="140" t="s">
        <v>586</v>
      </c>
      <c r="F5" s="140">
        <v>1913599</v>
      </c>
      <c r="G5" s="140" t="s">
        <v>587</v>
      </c>
      <c r="H5" s="140" t="s">
        <v>588</v>
      </c>
      <c r="I5" s="140" t="s">
        <v>589</v>
      </c>
      <c r="J5" s="140">
        <v>276028</v>
      </c>
      <c r="K5" s="140" t="s">
        <v>590</v>
      </c>
      <c r="L5" s="140" t="s">
        <v>591</v>
      </c>
      <c r="M5" s="140" t="s">
        <v>592</v>
      </c>
    </row>
    <row r="6" spans="1:13" ht="15.95" customHeight="1" x14ac:dyDescent="0.25">
      <c r="A6" s="144" t="s">
        <v>593</v>
      </c>
      <c r="B6" s="140">
        <v>28026</v>
      </c>
      <c r="C6" s="140" t="s">
        <v>594</v>
      </c>
      <c r="D6" s="140" t="s">
        <v>595</v>
      </c>
      <c r="E6" s="140" t="s">
        <v>586</v>
      </c>
      <c r="F6" s="140">
        <v>119905</v>
      </c>
      <c r="G6" s="140" t="s">
        <v>596</v>
      </c>
      <c r="H6" s="140" t="s">
        <v>597</v>
      </c>
      <c r="I6" s="140" t="s">
        <v>589</v>
      </c>
      <c r="J6" s="140">
        <v>21498</v>
      </c>
      <c r="K6" s="140" t="s">
        <v>598</v>
      </c>
      <c r="L6" s="140" t="s">
        <v>599</v>
      </c>
      <c r="M6" s="140" t="s">
        <v>592</v>
      </c>
    </row>
    <row r="7" spans="1:13" ht="15.95" customHeight="1" x14ac:dyDescent="0.25">
      <c r="A7" s="144" t="s">
        <v>600</v>
      </c>
      <c r="B7" s="140">
        <v>0.9</v>
      </c>
      <c r="C7" s="140" t="s">
        <v>601</v>
      </c>
      <c r="D7" s="140" t="s">
        <v>578</v>
      </c>
      <c r="E7" s="140" t="s">
        <v>578</v>
      </c>
      <c r="F7" s="140">
        <v>0.6</v>
      </c>
      <c r="G7" s="140" t="s">
        <v>602</v>
      </c>
      <c r="H7" s="140" t="s">
        <v>578</v>
      </c>
      <c r="I7" s="140" t="s">
        <v>578</v>
      </c>
      <c r="J7" s="140">
        <v>0.9</v>
      </c>
      <c r="K7" s="140" t="s">
        <v>589</v>
      </c>
      <c r="L7" s="140" t="s">
        <v>578</v>
      </c>
      <c r="M7" s="140" t="s">
        <v>578</v>
      </c>
    </row>
    <row r="8" spans="1:13" ht="15.95" customHeight="1" x14ac:dyDescent="0.25">
      <c r="A8" s="144" t="s">
        <v>603</v>
      </c>
      <c r="B8" s="140">
        <v>4.2</v>
      </c>
      <c r="C8" s="140" t="s">
        <v>586</v>
      </c>
      <c r="D8" s="140" t="s">
        <v>578</v>
      </c>
      <c r="E8" s="140" t="s">
        <v>578</v>
      </c>
      <c r="F8" s="140">
        <v>3.3</v>
      </c>
      <c r="G8" s="140" t="s">
        <v>589</v>
      </c>
      <c r="H8" s="140" t="s">
        <v>578</v>
      </c>
      <c r="I8" s="140" t="s">
        <v>578</v>
      </c>
      <c r="J8" s="140">
        <v>4</v>
      </c>
      <c r="K8" s="140" t="s">
        <v>604</v>
      </c>
      <c r="L8" s="140" t="s">
        <v>578</v>
      </c>
      <c r="M8" s="140" t="s">
        <v>578</v>
      </c>
    </row>
    <row r="9" spans="1:13" ht="15.95" customHeight="1" x14ac:dyDescent="0.25">
      <c r="A9" s="140" t="s">
        <v>605</v>
      </c>
    </row>
    <row r="10" spans="1:13" ht="15.95" customHeight="1" x14ac:dyDescent="0.25">
      <c r="A10" s="143" t="s">
        <v>575</v>
      </c>
      <c r="B10" s="140">
        <v>304079</v>
      </c>
      <c r="C10" s="140" t="s">
        <v>576</v>
      </c>
      <c r="D10" s="140" t="s">
        <v>577</v>
      </c>
      <c r="E10" s="140" t="s">
        <v>578</v>
      </c>
      <c r="F10" s="140">
        <v>2033504</v>
      </c>
      <c r="G10" s="140" t="s">
        <v>579</v>
      </c>
      <c r="H10" s="140" t="s">
        <v>580</v>
      </c>
      <c r="I10" s="140" t="s">
        <v>578</v>
      </c>
      <c r="J10" s="140">
        <v>297526</v>
      </c>
      <c r="K10" s="140" t="s">
        <v>581</v>
      </c>
      <c r="L10" s="140" t="s">
        <v>582</v>
      </c>
      <c r="M10" s="140" t="s">
        <v>578</v>
      </c>
    </row>
    <row r="11" spans="1:13" ht="15.95" customHeight="1" x14ac:dyDescent="0.25">
      <c r="A11" s="144" t="s">
        <v>606</v>
      </c>
      <c r="B11" s="140">
        <v>36534</v>
      </c>
      <c r="C11" s="140" t="s">
        <v>607</v>
      </c>
      <c r="D11" s="140" t="s">
        <v>608</v>
      </c>
      <c r="E11" s="140" t="s">
        <v>592</v>
      </c>
      <c r="F11" s="140">
        <v>957012</v>
      </c>
      <c r="G11" s="140" t="s">
        <v>609</v>
      </c>
      <c r="H11" s="140" t="s">
        <v>610</v>
      </c>
      <c r="I11" s="140" t="s">
        <v>589</v>
      </c>
      <c r="J11" s="140">
        <v>172851</v>
      </c>
      <c r="K11" s="140" t="s">
        <v>611</v>
      </c>
      <c r="L11" s="140" t="s">
        <v>612</v>
      </c>
      <c r="M11" s="140" t="s">
        <v>613</v>
      </c>
    </row>
    <row r="12" spans="1:13" ht="15.95" customHeight="1" x14ac:dyDescent="0.25">
      <c r="A12" s="144" t="s">
        <v>614</v>
      </c>
      <c r="B12" s="140">
        <v>18673</v>
      </c>
      <c r="C12" s="140" t="s">
        <v>615</v>
      </c>
      <c r="D12" s="140" t="s">
        <v>616</v>
      </c>
      <c r="E12" s="140" t="s">
        <v>601</v>
      </c>
      <c r="F12" s="140">
        <v>128129</v>
      </c>
      <c r="G12" s="140" t="s">
        <v>617</v>
      </c>
      <c r="H12" s="140" t="s">
        <v>618</v>
      </c>
      <c r="I12" s="140" t="s">
        <v>602</v>
      </c>
      <c r="J12" s="140">
        <v>13747</v>
      </c>
      <c r="K12" s="140" t="s">
        <v>619</v>
      </c>
      <c r="L12" s="140" t="s">
        <v>620</v>
      </c>
      <c r="M12" s="140" t="s">
        <v>601</v>
      </c>
    </row>
    <row r="13" spans="1:13" ht="15.95" customHeight="1" x14ac:dyDescent="0.25">
      <c r="A13" s="144" t="s">
        <v>621</v>
      </c>
      <c r="B13" s="140">
        <v>37816</v>
      </c>
      <c r="C13" s="140" t="s">
        <v>622</v>
      </c>
      <c r="D13" s="140" t="s">
        <v>623</v>
      </c>
      <c r="E13" s="140" t="s">
        <v>586</v>
      </c>
      <c r="F13" s="140">
        <v>200023</v>
      </c>
      <c r="G13" s="140" t="s">
        <v>624</v>
      </c>
      <c r="H13" s="140" t="s">
        <v>625</v>
      </c>
      <c r="I13" s="140" t="s">
        <v>589</v>
      </c>
      <c r="J13" s="140">
        <v>32872</v>
      </c>
      <c r="K13" s="140" t="s">
        <v>626</v>
      </c>
      <c r="L13" s="140" t="s">
        <v>627</v>
      </c>
      <c r="M13" s="140" t="s">
        <v>586</v>
      </c>
    </row>
    <row r="14" spans="1:13" ht="15.95" customHeight="1" x14ac:dyDescent="0.25">
      <c r="A14" s="144" t="s">
        <v>628</v>
      </c>
      <c r="B14" s="140">
        <v>71202</v>
      </c>
      <c r="C14" s="140" t="s">
        <v>629</v>
      </c>
      <c r="D14" s="140" t="s">
        <v>630</v>
      </c>
      <c r="E14" s="140" t="s">
        <v>604</v>
      </c>
      <c r="F14" s="140">
        <v>213760</v>
      </c>
      <c r="G14" s="140" t="s">
        <v>631</v>
      </c>
      <c r="H14" s="140" t="s">
        <v>632</v>
      </c>
      <c r="I14" s="140" t="s">
        <v>589</v>
      </c>
      <c r="J14" s="140">
        <v>23858</v>
      </c>
      <c r="K14" s="140" t="s">
        <v>633</v>
      </c>
      <c r="L14" s="140" t="s">
        <v>634</v>
      </c>
      <c r="M14" s="140" t="s">
        <v>592</v>
      </c>
    </row>
    <row r="15" spans="1:13" ht="15.95" customHeight="1" x14ac:dyDescent="0.25">
      <c r="A15" s="144" t="s">
        <v>635</v>
      </c>
      <c r="B15" s="140">
        <v>34264</v>
      </c>
      <c r="C15" s="140" t="s">
        <v>626</v>
      </c>
      <c r="D15" s="140" t="s">
        <v>636</v>
      </c>
      <c r="E15" s="140" t="s">
        <v>586</v>
      </c>
      <c r="F15" s="140">
        <v>117750</v>
      </c>
      <c r="G15" s="140" t="s">
        <v>637</v>
      </c>
      <c r="H15" s="140" t="s">
        <v>638</v>
      </c>
      <c r="I15" s="140" t="s">
        <v>589</v>
      </c>
      <c r="J15" s="140">
        <v>18711</v>
      </c>
      <c r="K15" s="140" t="s">
        <v>639</v>
      </c>
      <c r="L15" s="140" t="s">
        <v>618</v>
      </c>
      <c r="M15" s="140" t="s">
        <v>592</v>
      </c>
    </row>
    <row r="16" spans="1:13" ht="15.95" customHeight="1" x14ac:dyDescent="0.25">
      <c r="A16" s="144" t="s">
        <v>640</v>
      </c>
      <c r="B16" s="140">
        <v>23711</v>
      </c>
      <c r="C16" s="140" t="s">
        <v>641</v>
      </c>
      <c r="D16" s="140" t="s">
        <v>642</v>
      </c>
      <c r="E16" s="140" t="s">
        <v>592</v>
      </c>
      <c r="F16" s="140">
        <v>99205</v>
      </c>
      <c r="G16" s="140" t="s">
        <v>643</v>
      </c>
      <c r="H16" s="140" t="s">
        <v>644</v>
      </c>
      <c r="I16" s="140" t="s">
        <v>602</v>
      </c>
      <c r="J16" s="140">
        <v>9298</v>
      </c>
      <c r="K16" s="140" t="s">
        <v>645</v>
      </c>
      <c r="L16" s="140" t="s">
        <v>646</v>
      </c>
      <c r="M16" s="140" t="s">
        <v>589</v>
      </c>
    </row>
    <row r="17" spans="1:13" ht="15.95" customHeight="1" x14ac:dyDescent="0.25">
      <c r="A17" s="144" t="s">
        <v>647</v>
      </c>
      <c r="B17" s="140">
        <v>81273</v>
      </c>
      <c r="C17" s="140" t="s">
        <v>648</v>
      </c>
      <c r="D17" s="140" t="s">
        <v>649</v>
      </c>
      <c r="E17" s="140" t="s">
        <v>586</v>
      </c>
      <c r="F17" s="140">
        <v>295298</v>
      </c>
      <c r="G17" s="140" t="s">
        <v>650</v>
      </c>
      <c r="H17" s="140" t="s">
        <v>651</v>
      </c>
      <c r="I17" s="140" t="s">
        <v>589</v>
      </c>
      <c r="J17" s="140">
        <v>21708</v>
      </c>
      <c r="K17" s="140" t="s">
        <v>652</v>
      </c>
      <c r="L17" s="140" t="s">
        <v>653</v>
      </c>
      <c r="M17" s="140" t="s">
        <v>601</v>
      </c>
    </row>
    <row r="18" spans="1:13" ht="15.95" customHeight="1" x14ac:dyDescent="0.25">
      <c r="A18" s="144" t="s">
        <v>654</v>
      </c>
      <c r="B18" s="140">
        <v>540</v>
      </c>
      <c r="C18" s="140" t="s">
        <v>655</v>
      </c>
      <c r="D18" s="140" t="s">
        <v>656</v>
      </c>
      <c r="E18" s="140" t="s">
        <v>602</v>
      </c>
      <c r="F18" s="140">
        <v>21634</v>
      </c>
      <c r="G18" s="140" t="s">
        <v>657</v>
      </c>
      <c r="H18" s="140" t="s">
        <v>658</v>
      </c>
      <c r="I18" s="140" t="s">
        <v>602</v>
      </c>
      <c r="J18" s="140">
        <v>4447</v>
      </c>
      <c r="K18" s="140" t="s">
        <v>659</v>
      </c>
      <c r="L18" s="140" t="s">
        <v>660</v>
      </c>
      <c r="M18" s="140" t="s">
        <v>602</v>
      </c>
    </row>
    <row r="19" spans="1:13" ht="15.95" customHeight="1" x14ac:dyDescent="0.25">
      <c r="A19" s="144" t="s">
        <v>661</v>
      </c>
      <c r="B19" s="140">
        <v>66</v>
      </c>
      <c r="C19" s="140" t="s">
        <v>662</v>
      </c>
      <c r="D19" s="140" t="s">
        <v>663</v>
      </c>
      <c r="E19" s="140" t="s">
        <v>602</v>
      </c>
      <c r="F19" s="140">
        <v>693</v>
      </c>
      <c r="G19" s="140" t="s">
        <v>664</v>
      </c>
      <c r="H19" s="140" t="s">
        <v>663</v>
      </c>
      <c r="I19" s="140" t="s">
        <v>602</v>
      </c>
      <c r="J19" s="140">
        <v>34</v>
      </c>
      <c r="K19" s="140" t="s">
        <v>665</v>
      </c>
      <c r="L19" s="140" t="s">
        <v>663</v>
      </c>
      <c r="M19" s="140" t="s">
        <v>602</v>
      </c>
    </row>
    <row r="20" spans="1:13" ht="15.95" customHeight="1" x14ac:dyDescent="0.25">
      <c r="A20" s="140" t="s">
        <v>666</v>
      </c>
    </row>
    <row r="21" spans="1:13" ht="15.95" customHeight="1" x14ac:dyDescent="0.25">
      <c r="A21" s="143" t="s">
        <v>575</v>
      </c>
      <c r="B21" s="140">
        <v>304079</v>
      </c>
      <c r="C21" s="140" t="s">
        <v>576</v>
      </c>
      <c r="D21" s="140" t="s">
        <v>577</v>
      </c>
      <c r="E21" s="140" t="s">
        <v>578</v>
      </c>
      <c r="F21" s="140">
        <v>2033504</v>
      </c>
      <c r="G21" s="140" t="s">
        <v>579</v>
      </c>
      <c r="H21" s="140" t="s">
        <v>580</v>
      </c>
      <c r="I21" s="140" t="s">
        <v>578</v>
      </c>
      <c r="J21" s="140">
        <v>297526</v>
      </c>
      <c r="K21" s="140" t="s">
        <v>581</v>
      </c>
      <c r="L21" s="140" t="s">
        <v>582</v>
      </c>
      <c r="M21" s="140" t="s">
        <v>578</v>
      </c>
    </row>
    <row r="22" spans="1:13" ht="15.95" customHeight="1" x14ac:dyDescent="0.25">
      <c r="A22" s="144" t="s">
        <v>667</v>
      </c>
      <c r="B22" s="140">
        <v>1504</v>
      </c>
      <c r="C22" s="140" t="s">
        <v>668</v>
      </c>
      <c r="D22" s="140" t="s">
        <v>669</v>
      </c>
      <c r="E22" s="140" t="s">
        <v>602</v>
      </c>
      <c r="F22" s="140">
        <v>7417</v>
      </c>
      <c r="G22" s="140" t="s">
        <v>670</v>
      </c>
      <c r="H22" s="140" t="s">
        <v>671</v>
      </c>
      <c r="I22" s="140" t="s">
        <v>602</v>
      </c>
      <c r="J22" s="140">
        <v>566</v>
      </c>
      <c r="K22" s="140" t="s">
        <v>672</v>
      </c>
      <c r="L22" s="140" t="s">
        <v>656</v>
      </c>
      <c r="M22" s="140" t="s">
        <v>602</v>
      </c>
    </row>
    <row r="23" spans="1:13" ht="15.95" customHeight="1" x14ac:dyDescent="0.25">
      <c r="A23" s="144" t="s">
        <v>673</v>
      </c>
      <c r="B23" s="140">
        <v>25380</v>
      </c>
      <c r="C23" s="140" t="s">
        <v>674</v>
      </c>
      <c r="D23" s="140" t="s">
        <v>675</v>
      </c>
      <c r="E23" s="140" t="s">
        <v>601</v>
      </c>
      <c r="F23" s="140">
        <v>133514</v>
      </c>
      <c r="G23" s="140" t="s">
        <v>676</v>
      </c>
      <c r="H23" s="140" t="s">
        <v>677</v>
      </c>
      <c r="I23" s="140" t="s">
        <v>602</v>
      </c>
      <c r="J23" s="140">
        <v>8863</v>
      </c>
      <c r="K23" s="140" t="s">
        <v>678</v>
      </c>
      <c r="L23" s="140" t="s">
        <v>679</v>
      </c>
      <c r="M23" s="140" t="s">
        <v>601</v>
      </c>
    </row>
    <row r="24" spans="1:13" ht="15.95" customHeight="1" x14ac:dyDescent="0.25">
      <c r="A24" s="144" t="s">
        <v>680</v>
      </c>
      <c r="B24" s="140">
        <v>19342</v>
      </c>
      <c r="C24" s="140" t="s">
        <v>681</v>
      </c>
      <c r="D24" s="140" t="s">
        <v>682</v>
      </c>
      <c r="E24" s="140" t="s">
        <v>601</v>
      </c>
      <c r="F24" s="140">
        <v>151667</v>
      </c>
      <c r="G24" s="140" t="s">
        <v>683</v>
      </c>
      <c r="H24" s="140" t="s">
        <v>684</v>
      </c>
      <c r="I24" s="140" t="s">
        <v>602</v>
      </c>
      <c r="J24" s="140">
        <v>15655</v>
      </c>
      <c r="K24" s="140" t="s">
        <v>685</v>
      </c>
      <c r="L24" s="140" t="s">
        <v>686</v>
      </c>
      <c r="M24" s="140" t="s">
        <v>601</v>
      </c>
    </row>
    <row r="25" spans="1:13" ht="15.95" customHeight="1" x14ac:dyDescent="0.25">
      <c r="A25" s="144" t="s">
        <v>687</v>
      </c>
      <c r="B25" s="140">
        <v>13043</v>
      </c>
      <c r="C25" s="140" t="s">
        <v>688</v>
      </c>
      <c r="D25" s="140" t="s">
        <v>689</v>
      </c>
      <c r="E25" s="140" t="s">
        <v>601</v>
      </c>
      <c r="F25" s="140">
        <v>148316</v>
      </c>
      <c r="G25" s="140" t="s">
        <v>690</v>
      </c>
      <c r="H25" s="140" t="s">
        <v>653</v>
      </c>
      <c r="I25" s="140" t="s">
        <v>589</v>
      </c>
      <c r="J25" s="140">
        <v>20867</v>
      </c>
      <c r="K25" s="140" t="s">
        <v>691</v>
      </c>
      <c r="L25" s="140" t="s">
        <v>692</v>
      </c>
      <c r="M25" s="140" t="s">
        <v>592</v>
      </c>
    </row>
    <row r="26" spans="1:13" ht="15.95" customHeight="1" x14ac:dyDescent="0.25">
      <c r="A26" s="144" t="s">
        <v>693</v>
      </c>
      <c r="B26" s="140">
        <v>17205</v>
      </c>
      <c r="C26" s="140" t="s">
        <v>694</v>
      </c>
      <c r="D26" s="140" t="s">
        <v>695</v>
      </c>
      <c r="E26" s="140" t="s">
        <v>601</v>
      </c>
      <c r="F26" s="140">
        <v>212026</v>
      </c>
      <c r="G26" s="140" t="s">
        <v>696</v>
      </c>
      <c r="H26" s="140" t="s">
        <v>697</v>
      </c>
      <c r="I26" s="140" t="s">
        <v>589</v>
      </c>
      <c r="J26" s="140">
        <v>32241</v>
      </c>
      <c r="K26" s="140" t="s">
        <v>698</v>
      </c>
      <c r="L26" s="140" t="s">
        <v>699</v>
      </c>
      <c r="M26" s="140" t="s">
        <v>592</v>
      </c>
    </row>
    <row r="27" spans="1:13" ht="15.95" customHeight="1" x14ac:dyDescent="0.25">
      <c r="A27" s="144" t="s">
        <v>700</v>
      </c>
      <c r="B27" s="140">
        <v>23474</v>
      </c>
      <c r="C27" s="140" t="s">
        <v>701</v>
      </c>
      <c r="D27" s="140" t="s">
        <v>702</v>
      </c>
      <c r="E27" s="140" t="s">
        <v>592</v>
      </c>
      <c r="F27" s="140">
        <v>217886</v>
      </c>
      <c r="G27" s="140" t="s">
        <v>703</v>
      </c>
      <c r="H27" s="140" t="s">
        <v>704</v>
      </c>
      <c r="I27" s="140" t="s">
        <v>589</v>
      </c>
      <c r="J27" s="140">
        <v>37411</v>
      </c>
      <c r="K27" s="140" t="s">
        <v>705</v>
      </c>
      <c r="L27" s="140" t="s">
        <v>706</v>
      </c>
      <c r="M27" s="140" t="s">
        <v>592</v>
      </c>
    </row>
    <row r="28" spans="1:13" ht="15.95" customHeight="1" x14ac:dyDescent="0.25">
      <c r="A28" s="144" t="s">
        <v>707</v>
      </c>
      <c r="B28" s="140">
        <v>22587</v>
      </c>
      <c r="C28" s="140" t="s">
        <v>708</v>
      </c>
      <c r="D28" s="140" t="s">
        <v>709</v>
      </c>
      <c r="E28" s="140" t="s">
        <v>592</v>
      </c>
      <c r="F28" s="140">
        <v>202048</v>
      </c>
      <c r="G28" s="140" t="s">
        <v>710</v>
      </c>
      <c r="H28" s="140" t="s">
        <v>711</v>
      </c>
      <c r="I28" s="140" t="s">
        <v>589</v>
      </c>
      <c r="J28" s="140">
        <v>32393</v>
      </c>
      <c r="K28" s="140" t="s">
        <v>712</v>
      </c>
      <c r="L28" s="140" t="s">
        <v>713</v>
      </c>
      <c r="M28" s="140" t="s">
        <v>592</v>
      </c>
    </row>
    <row r="29" spans="1:13" ht="15.95" customHeight="1" x14ac:dyDescent="0.25">
      <c r="A29" s="144" t="s">
        <v>714</v>
      </c>
      <c r="B29" s="140">
        <v>22017</v>
      </c>
      <c r="C29" s="140" t="s">
        <v>715</v>
      </c>
      <c r="D29" s="140" t="s">
        <v>599</v>
      </c>
      <c r="E29" s="140" t="s">
        <v>586</v>
      </c>
      <c r="F29" s="140">
        <v>211981</v>
      </c>
      <c r="G29" s="140" t="s">
        <v>716</v>
      </c>
      <c r="H29" s="140" t="s">
        <v>697</v>
      </c>
      <c r="I29" s="140" t="s">
        <v>589</v>
      </c>
      <c r="J29" s="140">
        <v>43234</v>
      </c>
      <c r="K29" s="140" t="s">
        <v>717</v>
      </c>
      <c r="L29" s="140" t="s">
        <v>651</v>
      </c>
      <c r="M29" s="140" t="s">
        <v>586</v>
      </c>
    </row>
    <row r="30" spans="1:13" ht="15.95" customHeight="1" x14ac:dyDescent="0.25">
      <c r="A30" s="144" t="s">
        <v>718</v>
      </c>
      <c r="B30" s="140">
        <v>15687</v>
      </c>
      <c r="C30" s="140" t="s">
        <v>719</v>
      </c>
      <c r="D30" s="140" t="s">
        <v>720</v>
      </c>
      <c r="E30" s="140" t="s">
        <v>592</v>
      </c>
      <c r="F30" s="140">
        <v>99907</v>
      </c>
      <c r="G30" s="140" t="s">
        <v>721</v>
      </c>
      <c r="H30" s="140" t="s">
        <v>644</v>
      </c>
      <c r="I30" s="140" t="s">
        <v>602</v>
      </c>
      <c r="J30" s="140">
        <v>19141</v>
      </c>
      <c r="K30" s="140" t="s">
        <v>722</v>
      </c>
      <c r="L30" s="140" t="s">
        <v>682</v>
      </c>
      <c r="M30" s="140" t="s">
        <v>592</v>
      </c>
    </row>
    <row r="31" spans="1:13" ht="15.95" customHeight="1" x14ac:dyDescent="0.25">
      <c r="A31" s="144" t="s">
        <v>723</v>
      </c>
      <c r="B31" s="140">
        <v>143840</v>
      </c>
      <c r="C31" s="140" t="s">
        <v>724</v>
      </c>
      <c r="D31" s="140" t="s">
        <v>725</v>
      </c>
      <c r="E31" s="140" t="s">
        <v>726</v>
      </c>
      <c r="F31" s="140">
        <v>648742</v>
      </c>
      <c r="G31" s="140" t="s">
        <v>727</v>
      </c>
      <c r="H31" s="140" t="s">
        <v>728</v>
      </c>
      <c r="I31" s="140" t="s">
        <v>589</v>
      </c>
      <c r="J31" s="140">
        <v>87155</v>
      </c>
      <c r="K31" s="140" t="s">
        <v>729</v>
      </c>
      <c r="L31" s="140" t="s">
        <v>730</v>
      </c>
      <c r="M31" s="140" t="s">
        <v>604</v>
      </c>
    </row>
    <row r="32" spans="1:13" ht="15.95" customHeight="1" x14ac:dyDescent="0.25">
      <c r="A32" s="140" t="s">
        <v>731</v>
      </c>
    </row>
    <row r="33" spans="1:13" ht="15.95" customHeight="1" x14ac:dyDescent="0.25">
      <c r="A33" s="143" t="s">
        <v>575</v>
      </c>
      <c r="B33" s="140">
        <v>304079</v>
      </c>
      <c r="C33" s="140" t="s">
        <v>576</v>
      </c>
      <c r="D33" s="140" t="s">
        <v>577</v>
      </c>
      <c r="E33" s="140" t="s">
        <v>578</v>
      </c>
      <c r="F33" s="140">
        <v>2033504</v>
      </c>
      <c r="G33" s="140" t="s">
        <v>579</v>
      </c>
      <c r="H33" s="140" t="s">
        <v>580</v>
      </c>
      <c r="I33" s="140" t="s">
        <v>578</v>
      </c>
      <c r="J33" s="140">
        <v>297526</v>
      </c>
      <c r="K33" s="140" t="s">
        <v>581</v>
      </c>
      <c r="L33" s="140" t="s">
        <v>582</v>
      </c>
      <c r="M33" s="140" t="s">
        <v>578</v>
      </c>
    </row>
    <row r="34" spans="1:13" ht="15.95" customHeight="1" x14ac:dyDescent="0.25">
      <c r="A34" s="144" t="s">
        <v>732</v>
      </c>
      <c r="B34" s="140">
        <v>21500</v>
      </c>
      <c r="C34" s="140" t="s">
        <v>733</v>
      </c>
      <c r="D34" s="140" t="s">
        <v>734</v>
      </c>
      <c r="E34" s="140" t="s">
        <v>592</v>
      </c>
      <c r="F34" s="140">
        <v>59638</v>
      </c>
      <c r="G34" s="140" t="s">
        <v>735</v>
      </c>
      <c r="H34" s="140" t="s">
        <v>736</v>
      </c>
      <c r="I34" s="140" t="s">
        <v>602</v>
      </c>
      <c r="J34" s="140">
        <v>7392</v>
      </c>
      <c r="K34" s="140" t="s">
        <v>737</v>
      </c>
      <c r="L34" s="140" t="s">
        <v>738</v>
      </c>
      <c r="M34" s="140" t="s">
        <v>601</v>
      </c>
    </row>
    <row r="35" spans="1:13" ht="15.95" customHeight="1" x14ac:dyDescent="0.25">
      <c r="A35" s="144" t="s">
        <v>739</v>
      </c>
      <c r="B35" s="140">
        <v>21994</v>
      </c>
      <c r="C35" s="140" t="s">
        <v>740</v>
      </c>
      <c r="D35" s="140" t="s">
        <v>599</v>
      </c>
      <c r="E35" s="140" t="s">
        <v>592</v>
      </c>
      <c r="F35" s="140">
        <v>82783</v>
      </c>
      <c r="G35" s="140" t="s">
        <v>741</v>
      </c>
      <c r="H35" s="140" t="s">
        <v>742</v>
      </c>
      <c r="I35" s="140" t="s">
        <v>602</v>
      </c>
      <c r="J35" s="140">
        <v>8051</v>
      </c>
      <c r="K35" s="140" t="s">
        <v>743</v>
      </c>
      <c r="L35" s="140" t="s">
        <v>744</v>
      </c>
      <c r="M35" s="140" t="s">
        <v>589</v>
      </c>
    </row>
    <row r="36" spans="1:13" ht="15.95" customHeight="1" x14ac:dyDescent="0.25">
      <c r="A36" s="144" t="s">
        <v>745</v>
      </c>
      <c r="B36" s="140">
        <v>57797</v>
      </c>
      <c r="C36" s="140" t="s">
        <v>746</v>
      </c>
      <c r="D36" s="140" t="s">
        <v>747</v>
      </c>
      <c r="E36" s="140" t="s">
        <v>604</v>
      </c>
      <c r="F36" s="140">
        <v>231394</v>
      </c>
      <c r="G36" s="140" t="s">
        <v>748</v>
      </c>
      <c r="H36" s="140" t="s">
        <v>749</v>
      </c>
      <c r="I36" s="140" t="s">
        <v>589</v>
      </c>
      <c r="J36" s="140">
        <v>25212</v>
      </c>
      <c r="K36" s="140" t="s">
        <v>750</v>
      </c>
      <c r="L36" s="140" t="s">
        <v>751</v>
      </c>
      <c r="M36" s="140" t="s">
        <v>592</v>
      </c>
    </row>
    <row r="37" spans="1:13" ht="15.95" customHeight="1" x14ac:dyDescent="0.25">
      <c r="A37" s="144" t="s">
        <v>752</v>
      </c>
      <c r="B37" s="140">
        <v>67985</v>
      </c>
      <c r="C37" s="140" t="s">
        <v>753</v>
      </c>
      <c r="D37" s="140" t="s">
        <v>754</v>
      </c>
      <c r="E37" s="140" t="s">
        <v>613</v>
      </c>
      <c r="F37" s="140">
        <v>322951</v>
      </c>
      <c r="G37" s="140" t="s">
        <v>755</v>
      </c>
      <c r="H37" s="140" t="s">
        <v>756</v>
      </c>
      <c r="I37" s="140" t="s">
        <v>589</v>
      </c>
      <c r="J37" s="140">
        <v>46491</v>
      </c>
      <c r="K37" s="140" t="s">
        <v>757</v>
      </c>
      <c r="L37" s="140" t="s">
        <v>758</v>
      </c>
      <c r="M37" s="140" t="s">
        <v>586</v>
      </c>
    </row>
    <row r="38" spans="1:13" ht="15.95" customHeight="1" x14ac:dyDescent="0.25">
      <c r="A38" s="144" t="s">
        <v>759</v>
      </c>
      <c r="B38" s="140">
        <v>55542</v>
      </c>
      <c r="C38" s="140" t="s">
        <v>760</v>
      </c>
      <c r="D38" s="140" t="s">
        <v>761</v>
      </c>
      <c r="E38" s="140" t="s">
        <v>613</v>
      </c>
      <c r="F38" s="140">
        <v>324242</v>
      </c>
      <c r="G38" s="140" t="s">
        <v>762</v>
      </c>
      <c r="H38" s="140" t="s">
        <v>756</v>
      </c>
      <c r="I38" s="140" t="s">
        <v>589</v>
      </c>
      <c r="J38" s="140">
        <v>63872</v>
      </c>
      <c r="K38" s="140" t="s">
        <v>763</v>
      </c>
      <c r="L38" s="140" t="s">
        <v>764</v>
      </c>
      <c r="M38" s="140" t="s">
        <v>604</v>
      </c>
    </row>
    <row r="39" spans="1:13" ht="15.95" customHeight="1" x14ac:dyDescent="0.25">
      <c r="A39" s="144" t="s">
        <v>765</v>
      </c>
      <c r="B39" s="140">
        <v>36842</v>
      </c>
      <c r="C39" s="140" t="s">
        <v>584</v>
      </c>
      <c r="D39" s="140" t="s">
        <v>766</v>
      </c>
      <c r="E39" s="140" t="s">
        <v>604</v>
      </c>
      <c r="F39" s="140">
        <v>314700</v>
      </c>
      <c r="G39" s="140" t="s">
        <v>767</v>
      </c>
      <c r="H39" s="140" t="s">
        <v>768</v>
      </c>
      <c r="I39" s="140" t="s">
        <v>589</v>
      </c>
      <c r="J39" s="140">
        <v>57215</v>
      </c>
      <c r="K39" s="140" t="s">
        <v>769</v>
      </c>
      <c r="L39" s="140" t="s">
        <v>770</v>
      </c>
      <c r="M39" s="140" t="s">
        <v>586</v>
      </c>
    </row>
    <row r="40" spans="1:13" ht="15.95" customHeight="1" x14ac:dyDescent="0.25">
      <c r="A40" s="144" t="s">
        <v>771</v>
      </c>
      <c r="B40" s="140">
        <v>17800</v>
      </c>
      <c r="C40" s="140" t="s">
        <v>772</v>
      </c>
      <c r="D40" s="140" t="s">
        <v>597</v>
      </c>
      <c r="E40" s="140" t="s">
        <v>592</v>
      </c>
      <c r="F40" s="140">
        <v>237036</v>
      </c>
      <c r="G40" s="140" t="s">
        <v>773</v>
      </c>
      <c r="H40" s="140" t="s">
        <v>774</v>
      </c>
      <c r="I40" s="140" t="s">
        <v>589</v>
      </c>
      <c r="J40" s="140">
        <v>36348</v>
      </c>
      <c r="K40" s="140" t="s">
        <v>775</v>
      </c>
      <c r="L40" s="140" t="s">
        <v>776</v>
      </c>
      <c r="M40" s="140" t="s">
        <v>586</v>
      </c>
    </row>
    <row r="41" spans="1:13" ht="15.95" customHeight="1" x14ac:dyDescent="0.25">
      <c r="A41" s="144" t="s">
        <v>777</v>
      </c>
      <c r="B41" s="140">
        <v>10273</v>
      </c>
      <c r="C41" s="140" t="s">
        <v>778</v>
      </c>
      <c r="D41" s="140" t="s">
        <v>779</v>
      </c>
      <c r="E41" s="140" t="s">
        <v>601</v>
      </c>
      <c r="F41" s="140">
        <v>192547</v>
      </c>
      <c r="G41" s="140" t="s">
        <v>780</v>
      </c>
      <c r="H41" s="140" t="s">
        <v>781</v>
      </c>
      <c r="I41" s="140" t="s">
        <v>589</v>
      </c>
      <c r="J41" s="140">
        <v>24693</v>
      </c>
      <c r="K41" s="140" t="s">
        <v>782</v>
      </c>
      <c r="L41" s="140" t="s">
        <v>675</v>
      </c>
      <c r="M41" s="140" t="s">
        <v>592</v>
      </c>
    </row>
    <row r="42" spans="1:13" ht="15.95" customHeight="1" x14ac:dyDescent="0.25">
      <c r="A42" s="144" t="s">
        <v>783</v>
      </c>
      <c r="B42" s="140">
        <v>14346</v>
      </c>
      <c r="C42" s="140" t="s">
        <v>784</v>
      </c>
      <c r="D42" s="140" t="s">
        <v>785</v>
      </c>
      <c r="E42" s="140" t="s">
        <v>601</v>
      </c>
      <c r="F42" s="140">
        <v>268213</v>
      </c>
      <c r="G42" s="140" t="s">
        <v>786</v>
      </c>
      <c r="H42" s="140" t="s">
        <v>787</v>
      </c>
      <c r="I42" s="140" t="s">
        <v>589</v>
      </c>
      <c r="J42" s="140">
        <v>28252</v>
      </c>
      <c r="K42" s="140" t="s">
        <v>639</v>
      </c>
      <c r="L42" s="140" t="s">
        <v>781</v>
      </c>
      <c r="M42" s="140" t="s">
        <v>592</v>
      </c>
    </row>
    <row r="43" spans="1:13" ht="15.95" customHeight="1" x14ac:dyDescent="0.25">
      <c r="A43" s="144" t="s">
        <v>788</v>
      </c>
      <c r="B43" s="140">
        <v>4.2</v>
      </c>
      <c r="C43" s="140" t="s">
        <v>589</v>
      </c>
      <c r="D43" s="140" t="s">
        <v>578</v>
      </c>
      <c r="E43" s="140" t="s">
        <v>578</v>
      </c>
      <c r="F43" s="140">
        <v>5.5</v>
      </c>
      <c r="G43" s="140" t="s">
        <v>602</v>
      </c>
      <c r="H43" s="140" t="s">
        <v>578</v>
      </c>
      <c r="I43" s="140" t="s">
        <v>578</v>
      </c>
      <c r="J43" s="140">
        <v>5.5</v>
      </c>
      <c r="K43" s="140" t="s">
        <v>602</v>
      </c>
      <c r="L43" s="140" t="s">
        <v>578</v>
      </c>
      <c r="M43" s="140" t="s">
        <v>578</v>
      </c>
    </row>
    <row r="44" spans="1:13" ht="15.95" customHeight="1" x14ac:dyDescent="0.25">
      <c r="A44" s="140" t="s">
        <v>789</v>
      </c>
    </row>
    <row r="45" spans="1:13" ht="15.95" customHeight="1" x14ac:dyDescent="0.25">
      <c r="A45" s="143" t="s">
        <v>575</v>
      </c>
      <c r="B45" s="140">
        <v>304079</v>
      </c>
      <c r="C45" s="140" t="s">
        <v>576</v>
      </c>
      <c r="D45" s="140" t="s">
        <v>577</v>
      </c>
      <c r="E45" s="140" t="s">
        <v>578</v>
      </c>
      <c r="F45" s="140">
        <v>2033504</v>
      </c>
      <c r="G45" s="140" t="s">
        <v>579</v>
      </c>
      <c r="H45" s="140" t="s">
        <v>580</v>
      </c>
      <c r="I45" s="140" t="s">
        <v>578</v>
      </c>
      <c r="J45" s="140">
        <v>297526</v>
      </c>
      <c r="K45" s="140" t="s">
        <v>581</v>
      </c>
      <c r="L45" s="140" t="s">
        <v>582</v>
      </c>
      <c r="M45" s="140" t="s">
        <v>578</v>
      </c>
    </row>
    <row r="46" spans="1:13" ht="15.95" customHeight="1" x14ac:dyDescent="0.25">
      <c r="A46" s="144" t="s">
        <v>790</v>
      </c>
      <c r="B46" s="140">
        <v>24053</v>
      </c>
      <c r="C46" s="140" t="s">
        <v>791</v>
      </c>
      <c r="D46" s="140" t="s">
        <v>792</v>
      </c>
      <c r="E46" s="140" t="s">
        <v>592</v>
      </c>
      <c r="F46" s="140">
        <v>66318</v>
      </c>
      <c r="G46" s="140" t="s">
        <v>793</v>
      </c>
      <c r="H46" s="140" t="s">
        <v>794</v>
      </c>
      <c r="I46" s="140" t="s">
        <v>602</v>
      </c>
      <c r="J46" s="140">
        <v>8181</v>
      </c>
      <c r="K46" s="140" t="s">
        <v>795</v>
      </c>
      <c r="L46" s="140" t="s">
        <v>744</v>
      </c>
      <c r="M46" s="140" t="s">
        <v>601</v>
      </c>
    </row>
    <row r="47" spans="1:13" ht="15.95" customHeight="1" x14ac:dyDescent="0.25">
      <c r="A47" s="144" t="s">
        <v>796</v>
      </c>
      <c r="B47" s="140">
        <v>72997</v>
      </c>
      <c r="C47" s="140" t="s">
        <v>797</v>
      </c>
      <c r="D47" s="140" t="s">
        <v>798</v>
      </c>
      <c r="E47" s="140" t="s">
        <v>613</v>
      </c>
      <c r="F47" s="140">
        <v>301118</v>
      </c>
      <c r="G47" s="140" t="s">
        <v>799</v>
      </c>
      <c r="H47" s="140" t="s">
        <v>800</v>
      </c>
      <c r="I47" s="140" t="s">
        <v>589</v>
      </c>
      <c r="J47" s="140">
        <v>35862</v>
      </c>
      <c r="K47" s="140" t="s">
        <v>801</v>
      </c>
      <c r="L47" s="140" t="s">
        <v>766</v>
      </c>
      <c r="M47" s="140" t="s">
        <v>592</v>
      </c>
    </row>
    <row r="48" spans="1:13" ht="15.95" customHeight="1" x14ac:dyDescent="0.25">
      <c r="A48" s="144" t="s">
        <v>802</v>
      </c>
      <c r="B48" s="140">
        <v>103212</v>
      </c>
      <c r="C48" s="140" t="s">
        <v>803</v>
      </c>
      <c r="D48" s="140" t="s">
        <v>804</v>
      </c>
      <c r="E48" s="140" t="s">
        <v>613</v>
      </c>
      <c r="F48" s="140">
        <v>578270</v>
      </c>
      <c r="G48" s="140" t="s">
        <v>805</v>
      </c>
      <c r="H48" s="140" t="s">
        <v>806</v>
      </c>
      <c r="I48" s="140" t="s">
        <v>589</v>
      </c>
      <c r="J48" s="140">
        <v>82703</v>
      </c>
      <c r="K48" s="140" t="s">
        <v>807</v>
      </c>
      <c r="L48" s="140" t="s">
        <v>808</v>
      </c>
      <c r="M48" s="140" t="s">
        <v>613</v>
      </c>
    </row>
    <row r="49" spans="1:13" ht="15.95" customHeight="1" x14ac:dyDescent="0.25">
      <c r="A49" s="144" t="s">
        <v>809</v>
      </c>
      <c r="B49" s="140">
        <v>71764</v>
      </c>
      <c r="C49" s="140" t="s">
        <v>810</v>
      </c>
      <c r="D49" s="140" t="s">
        <v>811</v>
      </c>
      <c r="E49" s="140" t="s">
        <v>604</v>
      </c>
      <c r="F49" s="140">
        <v>647158</v>
      </c>
      <c r="G49" s="140" t="s">
        <v>812</v>
      </c>
      <c r="H49" s="140" t="s">
        <v>813</v>
      </c>
      <c r="I49" s="140" t="s">
        <v>589</v>
      </c>
      <c r="J49" s="140">
        <v>114550</v>
      </c>
      <c r="K49" s="140" t="s">
        <v>814</v>
      </c>
      <c r="L49" s="140" t="s">
        <v>815</v>
      </c>
      <c r="M49" s="140" t="s">
        <v>604</v>
      </c>
    </row>
    <row r="50" spans="1:13" ht="15.95" customHeight="1" x14ac:dyDescent="0.25">
      <c r="A50" s="144" t="s">
        <v>816</v>
      </c>
      <c r="B50" s="140">
        <v>23154</v>
      </c>
      <c r="C50" s="140" t="s">
        <v>817</v>
      </c>
      <c r="D50" s="140" t="s">
        <v>818</v>
      </c>
      <c r="E50" s="140" t="s">
        <v>592</v>
      </c>
      <c r="F50" s="140">
        <v>342255</v>
      </c>
      <c r="G50" s="140" t="s">
        <v>819</v>
      </c>
      <c r="H50" s="140" t="s">
        <v>820</v>
      </c>
      <c r="I50" s="140" t="s">
        <v>589</v>
      </c>
      <c r="J50" s="140">
        <v>44422</v>
      </c>
      <c r="K50" s="140" t="s">
        <v>821</v>
      </c>
      <c r="L50" s="140" t="s">
        <v>822</v>
      </c>
      <c r="M50" s="140" t="s">
        <v>592</v>
      </c>
    </row>
    <row r="51" spans="1:13" ht="15.95" customHeight="1" x14ac:dyDescent="0.25">
      <c r="A51" s="144" t="s">
        <v>823</v>
      </c>
      <c r="B51" s="140">
        <v>8899</v>
      </c>
      <c r="C51" s="140" t="s">
        <v>824</v>
      </c>
      <c r="D51" s="140" t="s">
        <v>736</v>
      </c>
      <c r="E51" s="140" t="s">
        <v>589</v>
      </c>
      <c r="F51" s="140">
        <v>98385</v>
      </c>
      <c r="G51" s="140" t="s">
        <v>825</v>
      </c>
      <c r="H51" s="140" t="s">
        <v>826</v>
      </c>
      <c r="I51" s="140" t="s">
        <v>602</v>
      </c>
      <c r="J51" s="140">
        <v>11808</v>
      </c>
      <c r="K51" s="140" t="s">
        <v>827</v>
      </c>
      <c r="L51" s="140" t="s">
        <v>828</v>
      </c>
      <c r="M51" s="140" t="s">
        <v>601</v>
      </c>
    </row>
    <row r="52" spans="1:13" ht="15.95" customHeight="1" x14ac:dyDescent="0.25">
      <c r="A52" s="140" t="s">
        <v>829</v>
      </c>
    </row>
    <row r="53" spans="1:13" ht="15.95" customHeight="1" x14ac:dyDescent="0.25">
      <c r="A53" s="143" t="s">
        <v>583</v>
      </c>
      <c r="B53" s="140">
        <v>276053</v>
      </c>
      <c r="C53" s="140" t="s">
        <v>584</v>
      </c>
      <c r="D53" s="140" t="s">
        <v>830</v>
      </c>
      <c r="E53" s="140" t="s">
        <v>578</v>
      </c>
      <c r="F53" s="140">
        <v>1913599</v>
      </c>
      <c r="G53" s="140" t="s">
        <v>587</v>
      </c>
      <c r="H53" s="140" t="s">
        <v>831</v>
      </c>
      <c r="I53" s="140" t="s">
        <v>578</v>
      </c>
      <c r="J53" s="140">
        <v>276028</v>
      </c>
      <c r="K53" s="140" t="s">
        <v>590</v>
      </c>
      <c r="L53" s="140" t="s">
        <v>832</v>
      </c>
      <c r="M53" s="140" t="s">
        <v>578</v>
      </c>
    </row>
    <row r="54" spans="1:13" ht="15.95" customHeight="1" x14ac:dyDescent="0.25">
      <c r="A54" s="144" t="s">
        <v>833</v>
      </c>
      <c r="B54" s="140">
        <v>96186</v>
      </c>
      <c r="C54" s="140" t="s">
        <v>834</v>
      </c>
      <c r="D54" s="140" t="s">
        <v>835</v>
      </c>
      <c r="E54" s="140" t="s">
        <v>613</v>
      </c>
      <c r="F54" s="140">
        <v>1177476</v>
      </c>
      <c r="G54" s="140" t="s">
        <v>836</v>
      </c>
      <c r="H54" s="140" t="s">
        <v>837</v>
      </c>
      <c r="I54" s="140" t="s">
        <v>601</v>
      </c>
      <c r="J54" s="140">
        <v>177220</v>
      </c>
      <c r="K54" s="140" t="s">
        <v>838</v>
      </c>
      <c r="L54" s="140" t="s">
        <v>839</v>
      </c>
      <c r="M54" s="140" t="s">
        <v>604</v>
      </c>
    </row>
    <row r="55" spans="1:13" ht="15.95" customHeight="1" x14ac:dyDescent="0.25">
      <c r="A55" s="144" t="s">
        <v>840</v>
      </c>
      <c r="B55" s="140">
        <v>179867</v>
      </c>
      <c r="C55" s="140" t="s">
        <v>841</v>
      </c>
      <c r="D55" s="140" t="s">
        <v>842</v>
      </c>
      <c r="E55" s="140" t="s">
        <v>613</v>
      </c>
      <c r="F55" s="140">
        <v>736123</v>
      </c>
      <c r="G55" s="140" t="s">
        <v>843</v>
      </c>
      <c r="H55" s="140" t="s">
        <v>815</v>
      </c>
      <c r="I55" s="140" t="s">
        <v>601</v>
      </c>
      <c r="J55" s="140">
        <v>98808</v>
      </c>
      <c r="K55" s="140" t="s">
        <v>844</v>
      </c>
      <c r="L55" s="140" t="s">
        <v>845</v>
      </c>
      <c r="M55" s="140" t="s">
        <v>604</v>
      </c>
    </row>
    <row r="56" spans="1:13" ht="15.95" customHeight="1" x14ac:dyDescent="0.25">
      <c r="A56" s="144" t="s">
        <v>846</v>
      </c>
      <c r="B56" s="140">
        <v>2.42</v>
      </c>
      <c r="C56" s="140" t="s">
        <v>847</v>
      </c>
      <c r="D56" s="140" t="s">
        <v>578</v>
      </c>
      <c r="E56" s="140" t="s">
        <v>578</v>
      </c>
      <c r="F56" s="140">
        <v>2.69</v>
      </c>
      <c r="G56" s="140" t="s">
        <v>848</v>
      </c>
      <c r="H56" s="140" t="s">
        <v>578</v>
      </c>
      <c r="I56" s="140" t="s">
        <v>578</v>
      </c>
      <c r="J56" s="140">
        <v>2.5099999999999998</v>
      </c>
      <c r="K56" s="140" t="s">
        <v>849</v>
      </c>
      <c r="L56" s="140" t="s">
        <v>578</v>
      </c>
      <c r="M56" s="140" t="s">
        <v>578</v>
      </c>
    </row>
    <row r="57" spans="1:13" ht="15.95" customHeight="1" x14ac:dyDescent="0.25">
      <c r="A57" s="144" t="s">
        <v>850</v>
      </c>
      <c r="B57" s="140">
        <v>2.17</v>
      </c>
      <c r="C57" s="140" t="s">
        <v>849</v>
      </c>
      <c r="D57" s="140" t="s">
        <v>578</v>
      </c>
      <c r="E57" s="140" t="s">
        <v>578</v>
      </c>
      <c r="F57" s="140">
        <v>2.16</v>
      </c>
      <c r="G57" s="140" t="s">
        <v>848</v>
      </c>
      <c r="H57" s="140" t="s">
        <v>578</v>
      </c>
      <c r="I57" s="140" t="s">
        <v>578</v>
      </c>
      <c r="J57" s="140">
        <v>2.12</v>
      </c>
      <c r="K57" s="140" t="s">
        <v>847</v>
      </c>
      <c r="L57" s="140" t="s">
        <v>578</v>
      </c>
      <c r="M57" s="140" t="s">
        <v>578</v>
      </c>
    </row>
    <row r="58" spans="1:13" ht="15.95" customHeight="1" x14ac:dyDescent="0.25">
      <c r="A58" s="140" t="s">
        <v>851</v>
      </c>
    </row>
    <row r="59" spans="1:13" ht="15.95" customHeight="1" x14ac:dyDescent="0.25">
      <c r="A59" s="143" t="s">
        <v>583</v>
      </c>
      <c r="B59" s="140">
        <v>276053</v>
      </c>
      <c r="C59" s="140" t="s">
        <v>584</v>
      </c>
      <c r="D59" s="140" t="s">
        <v>830</v>
      </c>
      <c r="E59" s="140" t="s">
        <v>578</v>
      </c>
      <c r="F59" s="140">
        <v>1913599</v>
      </c>
      <c r="G59" s="140" t="s">
        <v>587</v>
      </c>
      <c r="H59" s="140" t="s">
        <v>831</v>
      </c>
      <c r="I59" s="140" t="s">
        <v>578</v>
      </c>
      <c r="J59" s="140">
        <v>276028</v>
      </c>
      <c r="K59" s="140" t="s">
        <v>590</v>
      </c>
      <c r="L59" s="140" t="s">
        <v>832</v>
      </c>
      <c r="M59" s="140" t="s">
        <v>578</v>
      </c>
    </row>
    <row r="60" spans="1:13" ht="15.95" customHeight="1" x14ac:dyDescent="0.25">
      <c r="A60" s="144" t="s">
        <v>852</v>
      </c>
      <c r="B60" s="140">
        <v>23041</v>
      </c>
      <c r="C60" s="140" t="s">
        <v>853</v>
      </c>
      <c r="D60" s="140" t="s">
        <v>675</v>
      </c>
      <c r="E60" s="140" t="s">
        <v>592</v>
      </c>
      <c r="F60" s="140">
        <v>100521</v>
      </c>
      <c r="G60" s="140" t="s">
        <v>854</v>
      </c>
      <c r="H60" s="140" t="s">
        <v>686</v>
      </c>
      <c r="I60" s="140" t="s">
        <v>602</v>
      </c>
      <c r="J60" s="140">
        <v>10035</v>
      </c>
      <c r="K60" s="140" t="s">
        <v>855</v>
      </c>
      <c r="L60" s="140" t="s">
        <v>856</v>
      </c>
      <c r="M60" s="140" t="s">
        <v>601</v>
      </c>
    </row>
    <row r="61" spans="1:13" ht="15.95" customHeight="1" x14ac:dyDescent="0.25">
      <c r="A61" s="144" t="s">
        <v>857</v>
      </c>
      <c r="B61" s="140">
        <v>68985</v>
      </c>
      <c r="C61" s="140" t="s">
        <v>858</v>
      </c>
      <c r="D61" s="140" t="s">
        <v>859</v>
      </c>
      <c r="E61" s="140" t="s">
        <v>613</v>
      </c>
      <c r="F61" s="140">
        <v>368503</v>
      </c>
      <c r="G61" s="140" t="s">
        <v>860</v>
      </c>
      <c r="H61" s="140" t="s">
        <v>861</v>
      </c>
      <c r="I61" s="140" t="s">
        <v>589</v>
      </c>
      <c r="J61" s="140">
        <v>45948</v>
      </c>
      <c r="K61" s="140" t="s">
        <v>862</v>
      </c>
      <c r="L61" s="140" t="s">
        <v>863</v>
      </c>
      <c r="M61" s="140" t="s">
        <v>604</v>
      </c>
    </row>
    <row r="62" spans="1:13" ht="15.95" customHeight="1" x14ac:dyDescent="0.25">
      <c r="A62" s="144" t="s">
        <v>864</v>
      </c>
      <c r="B62" s="140">
        <v>99790</v>
      </c>
      <c r="C62" s="140" t="s">
        <v>865</v>
      </c>
      <c r="D62" s="140" t="s">
        <v>866</v>
      </c>
      <c r="E62" s="140" t="s">
        <v>726</v>
      </c>
      <c r="F62" s="140">
        <v>644337</v>
      </c>
      <c r="G62" s="140" t="s">
        <v>867</v>
      </c>
      <c r="H62" s="140" t="s">
        <v>868</v>
      </c>
      <c r="I62" s="140" t="s">
        <v>601</v>
      </c>
      <c r="J62" s="140">
        <v>86858</v>
      </c>
      <c r="K62" s="140" t="s">
        <v>869</v>
      </c>
      <c r="L62" s="140" t="s">
        <v>870</v>
      </c>
      <c r="M62" s="140" t="s">
        <v>726</v>
      </c>
    </row>
    <row r="63" spans="1:13" ht="15.95" customHeight="1" x14ac:dyDescent="0.25">
      <c r="A63" s="144" t="s">
        <v>871</v>
      </c>
      <c r="B63" s="140">
        <v>42050</v>
      </c>
      <c r="C63" s="140" t="s">
        <v>872</v>
      </c>
      <c r="D63" s="140" t="s">
        <v>873</v>
      </c>
      <c r="E63" s="140" t="s">
        <v>604</v>
      </c>
      <c r="F63" s="140">
        <v>343703</v>
      </c>
      <c r="G63" s="140" t="s">
        <v>874</v>
      </c>
      <c r="H63" s="140" t="s">
        <v>875</v>
      </c>
      <c r="I63" s="140" t="s">
        <v>589</v>
      </c>
      <c r="J63" s="140">
        <v>55685</v>
      </c>
      <c r="K63" s="140" t="s">
        <v>876</v>
      </c>
      <c r="L63" s="140" t="s">
        <v>877</v>
      </c>
      <c r="M63" s="140" t="s">
        <v>604</v>
      </c>
    </row>
    <row r="64" spans="1:13" ht="15.95" customHeight="1" x14ac:dyDescent="0.25">
      <c r="A64" s="144" t="s">
        <v>878</v>
      </c>
      <c r="B64" s="140">
        <v>22165</v>
      </c>
      <c r="C64" s="140" t="s">
        <v>879</v>
      </c>
      <c r="D64" s="140" t="s">
        <v>634</v>
      </c>
      <c r="E64" s="140" t="s">
        <v>592</v>
      </c>
      <c r="F64" s="140">
        <v>218550</v>
      </c>
      <c r="G64" s="140" t="s">
        <v>880</v>
      </c>
      <c r="H64" s="140" t="s">
        <v>749</v>
      </c>
      <c r="I64" s="140" t="s">
        <v>589</v>
      </c>
      <c r="J64" s="140">
        <v>33258</v>
      </c>
      <c r="K64" s="140" t="s">
        <v>881</v>
      </c>
      <c r="L64" s="140" t="s">
        <v>608</v>
      </c>
      <c r="M64" s="140" t="s">
        <v>592</v>
      </c>
    </row>
    <row r="65" spans="1:13" ht="15.95" customHeight="1" x14ac:dyDescent="0.25">
      <c r="A65" s="144" t="s">
        <v>882</v>
      </c>
      <c r="B65" s="140">
        <v>20022</v>
      </c>
      <c r="C65" s="140" t="s">
        <v>883</v>
      </c>
      <c r="D65" s="140" t="s">
        <v>653</v>
      </c>
      <c r="E65" s="140" t="s">
        <v>592</v>
      </c>
      <c r="F65" s="140">
        <v>237985</v>
      </c>
      <c r="G65" s="140" t="s">
        <v>884</v>
      </c>
      <c r="H65" s="140" t="s">
        <v>623</v>
      </c>
      <c r="I65" s="140" t="s">
        <v>589</v>
      </c>
      <c r="J65" s="140">
        <v>44244</v>
      </c>
      <c r="K65" s="140" t="s">
        <v>885</v>
      </c>
      <c r="L65" s="140" t="s">
        <v>886</v>
      </c>
      <c r="M65" s="140" t="s">
        <v>586</v>
      </c>
    </row>
    <row r="66" spans="1:13" ht="15.95" customHeight="1" x14ac:dyDescent="0.25">
      <c r="A66" s="140" t="s">
        <v>887</v>
      </c>
    </row>
    <row r="67" spans="1:13" ht="15.95" customHeight="1" x14ac:dyDescent="0.25">
      <c r="A67" s="143" t="s">
        <v>583</v>
      </c>
      <c r="B67" s="140">
        <v>276053</v>
      </c>
      <c r="C67" s="140" t="s">
        <v>584</v>
      </c>
      <c r="D67" s="140" t="s">
        <v>830</v>
      </c>
      <c r="E67" s="140" t="s">
        <v>578</v>
      </c>
      <c r="F67" s="140">
        <v>1913599</v>
      </c>
      <c r="G67" s="140" t="s">
        <v>587</v>
      </c>
      <c r="H67" s="140" t="s">
        <v>831</v>
      </c>
      <c r="I67" s="140" t="s">
        <v>578</v>
      </c>
      <c r="J67" s="140">
        <v>276028</v>
      </c>
      <c r="K67" s="140" t="s">
        <v>590</v>
      </c>
      <c r="L67" s="140" t="s">
        <v>832</v>
      </c>
      <c r="M67" s="140" t="s">
        <v>578</v>
      </c>
    </row>
    <row r="68" spans="1:13" ht="15.95" customHeight="1" x14ac:dyDescent="0.25">
      <c r="A68" s="144" t="s">
        <v>888</v>
      </c>
      <c r="B68" s="140">
        <v>92998</v>
      </c>
      <c r="C68" s="140" t="s">
        <v>889</v>
      </c>
      <c r="D68" s="140" t="s">
        <v>868</v>
      </c>
      <c r="E68" s="140" t="s">
        <v>726</v>
      </c>
      <c r="F68" s="140">
        <v>242876</v>
      </c>
      <c r="G68" s="140" t="s">
        <v>890</v>
      </c>
      <c r="H68" s="140" t="s">
        <v>891</v>
      </c>
      <c r="I68" s="140" t="s">
        <v>589</v>
      </c>
      <c r="J68" s="140">
        <v>29270</v>
      </c>
      <c r="K68" s="140" t="s">
        <v>892</v>
      </c>
      <c r="L68" s="140" t="s">
        <v>893</v>
      </c>
      <c r="M68" s="140" t="s">
        <v>586</v>
      </c>
    </row>
    <row r="69" spans="1:13" ht="15.95" customHeight="1" x14ac:dyDescent="0.25">
      <c r="A69" s="144" t="s">
        <v>894</v>
      </c>
      <c r="B69" s="140">
        <v>118262</v>
      </c>
      <c r="C69" s="140" t="s">
        <v>895</v>
      </c>
      <c r="D69" s="140" t="s">
        <v>896</v>
      </c>
      <c r="E69" s="140" t="s">
        <v>726</v>
      </c>
      <c r="F69" s="140">
        <v>675765</v>
      </c>
      <c r="G69" s="140" t="s">
        <v>897</v>
      </c>
      <c r="H69" s="140" t="s">
        <v>898</v>
      </c>
      <c r="I69" s="140" t="s">
        <v>601</v>
      </c>
      <c r="J69" s="140">
        <v>100700</v>
      </c>
      <c r="K69" s="140" t="s">
        <v>899</v>
      </c>
      <c r="L69" s="140" t="s">
        <v>900</v>
      </c>
      <c r="M69" s="140" t="s">
        <v>901</v>
      </c>
    </row>
    <row r="70" spans="1:13" ht="15.95" customHeight="1" x14ac:dyDescent="0.25">
      <c r="A70" s="144" t="s">
        <v>902</v>
      </c>
      <c r="B70" s="140">
        <v>49519</v>
      </c>
      <c r="C70" s="140" t="s">
        <v>903</v>
      </c>
      <c r="D70" s="140" t="s">
        <v>904</v>
      </c>
      <c r="E70" s="140" t="s">
        <v>604</v>
      </c>
      <c r="F70" s="140">
        <v>684060</v>
      </c>
      <c r="G70" s="140" t="s">
        <v>905</v>
      </c>
      <c r="H70" s="140" t="s">
        <v>906</v>
      </c>
      <c r="I70" s="140" t="s">
        <v>601</v>
      </c>
      <c r="J70" s="140">
        <v>99246</v>
      </c>
      <c r="K70" s="140" t="s">
        <v>907</v>
      </c>
      <c r="L70" s="140" t="s">
        <v>908</v>
      </c>
      <c r="M70" s="140" t="s">
        <v>726</v>
      </c>
    </row>
    <row r="71" spans="1:13" ht="15.95" customHeight="1" x14ac:dyDescent="0.25">
      <c r="A71" s="144" t="s">
        <v>909</v>
      </c>
      <c r="B71" s="140">
        <v>15274</v>
      </c>
      <c r="C71" s="140" t="s">
        <v>910</v>
      </c>
      <c r="D71" s="140" t="s">
        <v>911</v>
      </c>
      <c r="E71" s="140" t="s">
        <v>601</v>
      </c>
      <c r="F71" s="140">
        <v>310898</v>
      </c>
      <c r="G71" s="140" t="s">
        <v>912</v>
      </c>
      <c r="H71" s="140" t="s">
        <v>913</v>
      </c>
      <c r="I71" s="140" t="s">
        <v>589</v>
      </c>
      <c r="J71" s="140">
        <v>46812</v>
      </c>
      <c r="K71" s="140" t="s">
        <v>914</v>
      </c>
      <c r="L71" s="140" t="s">
        <v>915</v>
      </c>
      <c r="M71" s="140" t="s">
        <v>604</v>
      </c>
    </row>
    <row r="72" spans="1:13" ht="15.95" customHeight="1" x14ac:dyDescent="0.25">
      <c r="A72" s="140" t="s">
        <v>916</v>
      </c>
    </row>
    <row r="73" spans="1:13" ht="15.95" customHeight="1" x14ac:dyDescent="0.25">
      <c r="A73" s="143" t="s">
        <v>583</v>
      </c>
      <c r="B73" s="140">
        <v>276053</v>
      </c>
      <c r="C73" s="140" t="s">
        <v>584</v>
      </c>
      <c r="D73" s="140" t="s">
        <v>830</v>
      </c>
      <c r="E73" s="140" t="s">
        <v>578</v>
      </c>
      <c r="F73" s="140">
        <v>1913599</v>
      </c>
      <c r="G73" s="140" t="s">
        <v>587</v>
      </c>
      <c r="H73" s="140" t="s">
        <v>831</v>
      </c>
      <c r="I73" s="140" t="s">
        <v>578</v>
      </c>
      <c r="J73" s="140">
        <v>276028</v>
      </c>
      <c r="K73" s="140" t="s">
        <v>590</v>
      </c>
      <c r="L73" s="140" t="s">
        <v>832</v>
      </c>
      <c r="M73" s="140" t="s">
        <v>578</v>
      </c>
    </row>
    <row r="74" spans="1:13" ht="15.95" customHeight="1" x14ac:dyDescent="0.25">
      <c r="A74" s="144" t="s">
        <v>917</v>
      </c>
      <c r="B74" s="140">
        <v>160176</v>
      </c>
      <c r="C74" s="140" t="s">
        <v>918</v>
      </c>
      <c r="D74" s="140" t="s">
        <v>919</v>
      </c>
      <c r="E74" s="140" t="s">
        <v>613</v>
      </c>
      <c r="F74" s="140">
        <v>1015886</v>
      </c>
      <c r="G74" s="140" t="s">
        <v>920</v>
      </c>
      <c r="H74" s="140" t="s">
        <v>921</v>
      </c>
      <c r="I74" s="140" t="s">
        <v>601</v>
      </c>
      <c r="J74" s="140">
        <v>114722</v>
      </c>
      <c r="K74" s="140" t="s">
        <v>922</v>
      </c>
      <c r="L74" s="140" t="s">
        <v>923</v>
      </c>
      <c r="M74" s="140" t="s">
        <v>726</v>
      </c>
    </row>
    <row r="75" spans="1:13" ht="15.95" customHeight="1" x14ac:dyDescent="0.25">
      <c r="A75" s="144" t="s">
        <v>924</v>
      </c>
      <c r="B75" s="140">
        <v>7342</v>
      </c>
      <c r="C75" s="140" t="s">
        <v>925</v>
      </c>
      <c r="D75" s="140" t="s">
        <v>744</v>
      </c>
      <c r="E75" s="140" t="s">
        <v>589</v>
      </c>
      <c r="F75" s="140">
        <v>95345</v>
      </c>
      <c r="G75" s="140" t="s">
        <v>926</v>
      </c>
      <c r="H75" s="140" t="s">
        <v>927</v>
      </c>
      <c r="I75" s="140" t="s">
        <v>602</v>
      </c>
      <c r="J75" s="140">
        <v>15596</v>
      </c>
      <c r="K75" s="140" t="s">
        <v>928</v>
      </c>
      <c r="L75" s="140" t="s">
        <v>695</v>
      </c>
      <c r="M75" s="140" t="s">
        <v>592</v>
      </c>
    </row>
    <row r="76" spans="1:13" ht="15.95" customHeight="1" x14ac:dyDescent="0.25">
      <c r="A76" s="144" t="s">
        <v>929</v>
      </c>
      <c r="B76" s="140">
        <v>82241</v>
      </c>
      <c r="C76" s="140" t="s">
        <v>930</v>
      </c>
      <c r="D76" s="140" t="s">
        <v>931</v>
      </c>
      <c r="E76" s="140" t="s">
        <v>613</v>
      </c>
      <c r="F76" s="140">
        <v>331826</v>
      </c>
      <c r="G76" s="140" t="s">
        <v>932</v>
      </c>
      <c r="H76" s="140" t="s">
        <v>933</v>
      </c>
      <c r="I76" s="140" t="s">
        <v>601</v>
      </c>
      <c r="J76" s="140">
        <v>52202</v>
      </c>
      <c r="K76" s="140" t="s">
        <v>934</v>
      </c>
      <c r="L76" s="140" t="s">
        <v>935</v>
      </c>
      <c r="M76" s="140" t="s">
        <v>604</v>
      </c>
    </row>
    <row r="77" spans="1:13" ht="15.95" customHeight="1" x14ac:dyDescent="0.25">
      <c r="A77" s="144" t="s">
        <v>936</v>
      </c>
      <c r="B77" s="140">
        <v>20079</v>
      </c>
      <c r="C77" s="140" t="s">
        <v>937</v>
      </c>
      <c r="D77" s="140" t="s">
        <v>653</v>
      </c>
      <c r="E77" s="140" t="s">
        <v>592</v>
      </c>
      <c r="F77" s="140">
        <v>426978</v>
      </c>
      <c r="G77" s="140" t="s">
        <v>938</v>
      </c>
      <c r="H77" s="140" t="s">
        <v>939</v>
      </c>
      <c r="I77" s="140" t="s">
        <v>589</v>
      </c>
      <c r="J77" s="140">
        <v>77271</v>
      </c>
      <c r="K77" s="140" t="s">
        <v>940</v>
      </c>
      <c r="L77" s="140" t="s">
        <v>941</v>
      </c>
      <c r="M77" s="140" t="s">
        <v>613</v>
      </c>
    </row>
    <row r="78" spans="1:13" ht="15.95" customHeight="1" x14ac:dyDescent="0.25">
      <c r="A78" s="144" t="s">
        <v>942</v>
      </c>
      <c r="B78" s="140">
        <v>21</v>
      </c>
      <c r="C78" s="140" t="s">
        <v>943</v>
      </c>
      <c r="D78" s="140" t="s">
        <v>663</v>
      </c>
      <c r="E78" s="140" t="s">
        <v>602</v>
      </c>
      <c r="F78" s="140">
        <v>890</v>
      </c>
      <c r="G78" s="140" t="s">
        <v>944</v>
      </c>
      <c r="H78" s="140" t="s">
        <v>663</v>
      </c>
      <c r="I78" s="140" t="s">
        <v>602</v>
      </c>
      <c r="J78" s="140">
        <v>271</v>
      </c>
      <c r="K78" s="140" t="s">
        <v>945</v>
      </c>
      <c r="L78" s="140" t="s">
        <v>946</v>
      </c>
      <c r="M78" s="140" t="s">
        <v>602</v>
      </c>
    </row>
    <row r="79" spans="1:13" ht="15.95" customHeight="1" x14ac:dyDescent="0.25">
      <c r="A79" s="144" t="s">
        <v>947</v>
      </c>
      <c r="B79" s="140">
        <v>167</v>
      </c>
      <c r="C79" s="140" t="s">
        <v>948</v>
      </c>
      <c r="D79" s="140" t="s">
        <v>946</v>
      </c>
      <c r="E79" s="140" t="s">
        <v>602</v>
      </c>
      <c r="F79" s="140">
        <v>13183</v>
      </c>
      <c r="G79" s="140" t="s">
        <v>949</v>
      </c>
      <c r="H79" s="140" t="s">
        <v>950</v>
      </c>
      <c r="I79" s="140" t="s">
        <v>602</v>
      </c>
      <c r="J79" s="140">
        <v>8893</v>
      </c>
      <c r="K79" s="140" t="s">
        <v>951</v>
      </c>
      <c r="L79" s="140" t="s">
        <v>952</v>
      </c>
      <c r="M79" s="140" t="s">
        <v>589</v>
      </c>
    </row>
    <row r="80" spans="1:13" ht="15.95" customHeight="1" x14ac:dyDescent="0.25">
      <c r="A80" s="144" t="s">
        <v>953</v>
      </c>
      <c r="B80" s="140">
        <v>159</v>
      </c>
      <c r="C80" s="140" t="s">
        <v>954</v>
      </c>
      <c r="D80" s="140" t="s">
        <v>946</v>
      </c>
      <c r="E80" s="140" t="s">
        <v>602</v>
      </c>
      <c r="F80" s="140">
        <v>2518</v>
      </c>
      <c r="G80" s="140" t="s">
        <v>955</v>
      </c>
      <c r="H80" s="140" t="s">
        <v>946</v>
      </c>
      <c r="I80" s="140" t="s">
        <v>602</v>
      </c>
      <c r="J80" s="140">
        <v>878</v>
      </c>
      <c r="K80" s="140" t="s">
        <v>956</v>
      </c>
      <c r="L80" s="140" t="s">
        <v>957</v>
      </c>
      <c r="M80" s="140" t="s">
        <v>602</v>
      </c>
    </row>
    <row r="81" spans="1:13" ht="15.95" customHeight="1" x14ac:dyDescent="0.25">
      <c r="A81" s="144" t="s">
        <v>958</v>
      </c>
      <c r="B81" s="140">
        <v>1640</v>
      </c>
      <c r="C81" s="140" t="s">
        <v>959</v>
      </c>
      <c r="D81" s="140" t="s">
        <v>960</v>
      </c>
      <c r="E81" s="140" t="s">
        <v>602</v>
      </c>
      <c r="F81" s="140">
        <v>14067</v>
      </c>
      <c r="G81" s="140" t="s">
        <v>961</v>
      </c>
      <c r="H81" s="140" t="s">
        <v>950</v>
      </c>
      <c r="I81" s="140" t="s">
        <v>602</v>
      </c>
      <c r="J81" s="140">
        <v>3248</v>
      </c>
      <c r="K81" s="140" t="s">
        <v>962</v>
      </c>
      <c r="L81" s="140" t="s">
        <v>963</v>
      </c>
      <c r="M81" s="140" t="s">
        <v>602</v>
      </c>
    </row>
    <row r="82" spans="1:13" ht="15.95" customHeight="1" x14ac:dyDescent="0.25">
      <c r="A82" s="144" t="s">
        <v>964</v>
      </c>
      <c r="B82" s="140">
        <v>4228</v>
      </c>
      <c r="C82" s="140" t="s">
        <v>965</v>
      </c>
      <c r="D82" s="140" t="s">
        <v>660</v>
      </c>
      <c r="E82" s="140" t="s">
        <v>589</v>
      </c>
      <c r="F82" s="140">
        <v>12906</v>
      </c>
      <c r="G82" s="140" t="s">
        <v>966</v>
      </c>
      <c r="H82" s="140" t="s">
        <v>950</v>
      </c>
      <c r="I82" s="140" t="s">
        <v>602</v>
      </c>
      <c r="J82" s="140">
        <v>2947</v>
      </c>
      <c r="K82" s="140" t="s">
        <v>967</v>
      </c>
      <c r="L82" s="140" t="s">
        <v>658</v>
      </c>
      <c r="M82" s="140" t="s">
        <v>589</v>
      </c>
    </row>
    <row r="83" spans="1:13" ht="15.95" customHeight="1" x14ac:dyDescent="0.25">
      <c r="A83" s="140" t="s">
        <v>968</v>
      </c>
    </row>
    <row r="84" spans="1:13" ht="15.95" customHeight="1" x14ac:dyDescent="0.25">
      <c r="A84" s="143" t="s">
        <v>583</v>
      </c>
      <c r="B84" s="140">
        <v>276053</v>
      </c>
      <c r="C84" s="140" t="s">
        <v>584</v>
      </c>
      <c r="D84" s="140" t="s">
        <v>830</v>
      </c>
      <c r="E84" s="140" t="s">
        <v>578</v>
      </c>
      <c r="F84" s="140">
        <v>1913599</v>
      </c>
      <c r="G84" s="140" t="s">
        <v>587</v>
      </c>
      <c r="H84" s="140" t="s">
        <v>831</v>
      </c>
      <c r="I84" s="140" t="s">
        <v>578</v>
      </c>
      <c r="J84" s="140">
        <v>276028</v>
      </c>
      <c r="K84" s="140" t="s">
        <v>590</v>
      </c>
      <c r="L84" s="140" t="s">
        <v>832</v>
      </c>
      <c r="M84" s="140" t="s">
        <v>578</v>
      </c>
    </row>
    <row r="85" spans="1:13" ht="15.95" customHeight="1" x14ac:dyDescent="0.25">
      <c r="A85" s="144" t="s">
        <v>969</v>
      </c>
      <c r="B85" s="140">
        <v>900</v>
      </c>
      <c r="C85" s="140" t="s">
        <v>970</v>
      </c>
      <c r="D85" s="140" t="s">
        <v>957</v>
      </c>
      <c r="E85" s="140" t="s">
        <v>602</v>
      </c>
      <c r="F85" s="140">
        <v>7123</v>
      </c>
      <c r="G85" s="140" t="s">
        <v>971</v>
      </c>
      <c r="H85" s="140" t="s">
        <v>671</v>
      </c>
      <c r="I85" s="140" t="s">
        <v>602</v>
      </c>
      <c r="J85" s="140">
        <v>581</v>
      </c>
      <c r="K85" s="140" t="s">
        <v>972</v>
      </c>
      <c r="L85" s="140" t="s">
        <v>656</v>
      </c>
      <c r="M85" s="140" t="s">
        <v>602</v>
      </c>
    </row>
    <row r="86" spans="1:13" ht="15.95" customHeight="1" x14ac:dyDescent="0.25">
      <c r="A86" s="144" t="s">
        <v>973</v>
      </c>
      <c r="B86" s="140">
        <v>2617</v>
      </c>
      <c r="C86" s="140" t="s">
        <v>974</v>
      </c>
      <c r="D86" s="140" t="s">
        <v>975</v>
      </c>
      <c r="E86" s="140" t="s">
        <v>589</v>
      </c>
      <c r="F86" s="140">
        <v>15422</v>
      </c>
      <c r="G86" s="140" t="s">
        <v>976</v>
      </c>
      <c r="H86" s="140" t="s">
        <v>977</v>
      </c>
      <c r="I86" s="140" t="s">
        <v>602</v>
      </c>
      <c r="J86" s="140">
        <v>2226</v>
      </c>
      <c r="K86" s="140" t="s">
        <v>978</v>
      </c>
      <c r="L86" s="140" t="s">
        <v>977</v>
      </c>
      <c r="M86" s="140" t="s">
        <v>602</v>
      </c>
    </row>
    <row r="87" spans="1:13" ht="15.95" customHeight="1" x14ac:dyDescent="0.25">
      <c r="A87" s="144" t="s">
        <v>979</v>
      </c>
      <c r="B87" s="140">
        <v>3281</v>
      </c>
      <c r="C87" s="140" t="s">
        <v>980</v>
      </c>
      <c r="D87" s="140" t="s">
        <v>963</v>
      </c>
      <c r="E87" s="140" t="s">
        <v>589</v>
      </c>
      <c r="F87" s="140">
        <v>14696</v>
      </c>
      <c r="G87" s="140" t="s">
        <v>981</v>
      </c>
      <c r="H87" s="140" t="s">
        <v>977</v>
      </c>
      <c r="I87" s="140" t="s">
        <v>602</v>
      </c>
      <c r="J87" s="140">
        <v>3454</v>
      </c>
      <c r="K87" s="140" t="s">
        <v>982</v>
      </c>
      <c r="L87" s="140" t="s">
        <v>983</v>
      </c>
      <c r="M87" s="140" t="s">
        <v>589</v>
      </c>
    </row>
    <row r="88" spans="1:13" ht="15.95" customHeight="1" x14ac:dyDescent="0.25">
      <c r="A88" s="140" t="s">
        <v>984</v>
      </c>
    </row>
    <row r="89" spans="1:13" ht="15.95" customHeight="1" x14ac:dyDescent="0.25">
      <c r="A89" s="143" t="s">
        <v>583</v>
      </c>
      <c r="B89" s="140">
        <v>276053</v>
      </c>
      <c r="C89" s="140" t="s">
        <v>584</v>
      </c>
      <c r="D89" s="140" t="s">
        <v>830</v>
      </c>
      <c r="E89" s="140" t="s">
        <v>578</v>
      </c>
      <c r="F89" s="140">
        <v>1913599</v>
      </c>
      <c r="G89" s="140" t="s">
        <v>587</v>
      </c>
      <c r="H89" s="140" t="s">
        <v>831</v>
      </c>
      <c r="I89" s="140" t="s">
        <v>578</v>
      </c>
      <c r="J89" s="140">
        <v>276028</v>
      </c>
      <c r="K89" s="140" t="s">
        <v>590</v>
      </c>
      <c r="L89" s="140" t="s">
        <v>832</v>
      </c>
      <c r="M89" s="140" t="s">
        <v>578</v>
      </c>
    </row>
    <row r="90" spans="1:13" ht="15.95" customHeight="1" x14ac:dyDescent="0.25">
      <c r="A90" s="144" t="s">
        <v>985</v>
      </c>
      <c r="B90" s="140">
        <v>265999</v>
      </c>
      <c r="C90" s="140" t="s">
        <v>986</v>
      </c>
      <c r="D90" s="140" t="s">
        <v>987</v>
      </c>
      <c r="E90" s="140" t="s">
        <v>601</v>
      </c>
      <c r="F90" s="140">
        <v>1868718</v>
      </c>
      <c r="G90" s="140" t="s">
        <v>988</v>
      </c>
      <c r="H90" s="140" t="s">
        <v>989</v>
      </c>
      <c r="I90" s="140" t="s">
        <v>602</v>
      </c>
      <c r="J90" s="140">
        <v>271645</v>
      </c>
      <c r="K90" s="140" t="s">
        <v>990</v>
      </c>
      <c r="L90" s="140" t="s">
        <v>991</v>
      </c>
      <c r="M90" s="140" t="s">
        <v>589</v>
      </c>
    </row>
    <row r="91" spans="1:13" ht="15.95" customHeight="1" x14ac:dyDescent="0.25">
      <c r="A91" s="144" t="s">
        <v>992</v>
      </c>
      <c r="B91" s="140">
        <v>5241</v>
      </c>
      <c r="C91" s="140" t="s">
        <v>993</v>
      </c>
      <c r="D91" s="140" t="s">
        <v>994</v>
      </c>
      <c r="E91" s="140" t="s">
        <v>589</v>
      </c>
      <c r="F91" s="140">
        <v>27929</v>
      </c>
      <c r="G91" s="140" t="s">
        <v>995</v>
      </c>
      <c r="H91" s="140" t="s">
        <v>660</v>
      </c>
      <c r="I91" s="140" t="s">
        <v>602</v>
      </c>
      <c r="J91" s="140">
        <v>2834</v>
      </c>
      <c r="K91" s="140" t="s">
        <v>996</v>
      </c>
      <c r="L91" s="140" t="s">
        <v>997</v>
      </c>
      <c r="M91" s="140" t="s">
        <v>602</v>
      </c>
    </row>
    <row r="92" spans="1:13" ht="15.95" customHeight="1" x14ac:dyDescent="0.25">
      <c r="A92" s="144" t="s">
        <v>998</v>
      </c>
      <c r="B92" s="140">
        <v>4813</v>
      </c>
      <c r="C92" s="140" t="s">
        <v>999</v>
      </c>
      <c r="D92" s="140" t="s">
        <v>1000</v>
      </c>
      <c r="E92" s="140" t="s">
        <v>589</v>
      </c>
      <c r="F92" s="140">
        <v>16952</v>
      </c>
      <c r="G92" s="140" t="s">
        <v>1001</v>
      </c>
      <c r="H92" s="140" t="s">
        <v>975</v>
      </c>
      <c r="I92" s="140" t="s">
        <v>602</v>
      </c>
      <c r="J92" s="140">
        <v>1549</v>
      </c>
      <c r="K92" s="140" t="s">
        <v>1002</v>
      </c>
      <c r="L92" s="140" t="s">
        <v>960</v>
      </c>
      <c r="M92" s="140" t="s">
        <v>602</v>
      </c>
    </row>
    <row r="93" spans="1:13" ht="15.95" customHeight="1" x14ac:dyDescent="0.25">
      <c r="A93" s="140" t="s">
        <v>1003</v>
      </c>
    </row>
    <row r="94" spans="1:13" ht="15.95" customHeight="1" x14ac:dyDescent="0.25">
      <c r="A94" s="143" t="s">
        <v>1004</v>
      </c>
      <c r="B94" s="140">
        <v>96186</v>
      </c>
      <c r="C94" s="140" t="s">
        <v>834</v>
      </c>
      <c r="D94" s="140" t="s">
        <v>1005</v>
      </c>
      <c r="E94" s="140" t="s">
        <v>578</v>
      </c>
      <c r="F94" s="140">
        <v>1177476</v>
      </c>
      <c r="G94" s="140" t="s">
        <v>836</v>
      </c>
      <c r="H94" s="140" t="s">
        <v>1006</v>
      </c>
      <c r="I94" s="140" t="s">
        <v>578</v>
      </c>
      <c r="J94" s="140">
        <v>177220</v>
      </c>
      <c r="K94" s="140" t="s">
        <v>838</v>
      </c>
      <c r="L94" s="140" t="s">
        <v>1007</v>
      </c>
      <c r="M94" s="140" t="s">
        <v>578</v>
      </c>
    </row>
    <row r="95" spans="1:13" ht="15.95" customHeight="1" x14ac:dyDescent="0.25">
      <c r="A95" s="144" t="s">
        <v>1008</v>
      </c>
      <c r="B95" s="140">
        <v>2275</v>
      </c>
      <c r="C95" s="140" t="s">
        <v>1009</v>
      </c>
      <c r="D95" s="140" t="s">
        <v>1010</v>
      </c>
      <c r="E95" s="140" t="s">
        <v>592</v>
      </c>
      <c r="F95" s="140">
        <v>18788</v>
      </c>
      <c r="G95" s="140" t="s">
        <v>750</v>
      </c>
      <c r="H95" s="140" t="s">
        <v>1011</v>
      </c>
      <c r="I95" s="140" t="s">
        <v>602</v>
      </c>
      <c r="J95" s="140">
        <v>4313</v>
      </c>
      <c r="K95" s="140" t="s">
        <v>1012</v>
      </c>
      <c r="L95" s="140" t="s">
        <v>1010</v>
      </c>
      <c r="M95" s="140" t="s">
        <v>601</v>
      </c>
    </row>
    <row r="96" spans="1:13" ht="15.95" customHeight="1" x14ac:dyDescent="0.25">
      <c r="A96" s="144" t="s">
        <v>1013</v>
      </c>
      <c r="B96" s="140">
        <v>558</v>
      </c>
      <c r="C96" s="140" t="s">
        <v>1014</v>
      </c>
      <c r="D96" s="140" t="s">
        <v>960</v>
      </c>
      <c r="E96" s="140" t="s">
        <v>589</v>
      </c>
      <c r="F96" s="140">
        <v>10915</v>
      </c>
      <c r="G96" s="140" t="s">
        <v>1015</v>
      </c>
      <c r="H96" s="140" t="s">
        <v>975</v>
      </c>
      <c r="I96" s="140" t="s">
        <v>602</v>
      </c>
      <c r="J96" s="140">
        <v>3661</v>
      </c>
      <c r="K96" s="140" t="s">
        <v>1012</v>
      </c>
      <c r="L96" s="140" t="s">
        <v>1016</v>
      </c>
      <c r="M96" s="140" t="s">
        <v>601</v>
      </c>
    </row>
    <row r="97" spans="1:13" ht="15.95" customHeight="1" x14ac:dyDescent="0.25">
      <c r="A97" s="144" t="s">
        <v>1017</v>
      </c>
      <c r="B97" s="140">
        <v>268</v>
      </c>
      <c r="C97" s="140" t="s">
        <v>1018</v>
      </c>
      <c r="D97" s="140" t="s">
        <v>957</v>
      </c>
      <c r="E97" s="140" t="s">
        <v>602</v>
      </c>
      <c r="F97" s="140">
        <v>10528</v>
      </c>
      <c r="G97" s="140" t="s">
        <v>1019</v>
      </c>
      <c r="H97" s="140" t="s">
        <v>975</v>
      </c>
      <c r="I97" s="140" t="s">
        <v>602</v>
      </c>
      <c r="J97" s="140">
        <v>9589</v>
      </c>
      <c r="K97" s="140" t="s">
        <v>1020</v>
      </c>
      <c r="L97" s="140" t="s">
        <v>1021</v>
      </c>
      <c r="M97" s="140" t="s">
        <v>601</v>
      </c>
    </row>
    <row r="98" spans="1:13" ht="15.95" customHeight="1" x14ac:dyDescent="0.25">
      <c r="A98" s="144" t="s">
        <v>1022</v>
      </c>
      <c r="B98" s="140">
        <v>383</v>
      </c>
      <c r="C98" s="140" t="s">
        <v>945</v>
      </c>
      <c r="D98" s="140" t="s">
        <v>671</v>
      </c>
      <c r="E98" s="140" t="s">
        <v>602</v>
      </c>
      <c r="F98" s="140">
        <v>17064</v>
      </c>
      <c r="G98" s="140" t="s">
        <v>1023</v>
      </c>
      <c r="H98" s="140" t="s">
        <v>1024</v>
      </c>
      <c r="I98" s="140" t="s">
        <v>602</v>
      </c>
      <c r="J98" s="140">
        <v>22261</v>
      </c>
      <c r="K98" s="140" t="s">
        <v>1025</v>
      </c>
      <c r="L98" s="140" t="s">
        <v>706</v>
      </c>
      <c r="M98" s="140" t="s">
        <v>604</v>
      </c>
    </row>
    <row r="99" spans="1:13" ht="15.95" customHeight="1" x14ac:dyDescent="0.25">
      <c r="A99" s="144" t="s">
        <v>1026</v>
      </c>
      <c r="B99" s="140">
        <v>3720</v>
      </c>
      <c r="C99" s="140" t="s">
        <v>1027</v>
      </c>
      <c r="D99" s="140" t="s">
        <v>1028</v>
      </c>
      <c r="E99" s="140" t="s">
        <v>604</v>
      </c>
      <c r="F99" s="140">
        <v>84602</v>
      </c>
      <c r="G99" s="140" t="s">
        <v>1029</v>
      </c>
      <c r="H99" s="140" t="s">
        <v>599</v>
      </c>
      <c r="I99" s="140" t="s">
        <v>589</v>
      </c>
      <c r="J99" s="140">
        <v>61737</v>
      </c>
      <c r="K99" s="140" t="s">
        <v>1030</v>
      </c>
      <c r="L99" s="140" t="s">
        <v>835</v>
      </c>
      <c r="M99" s="140" t="s">
        <v>726</v>
      </c>
    </row>
    <row r="100" spans="1:13" ht="15.95" customHeight="1" x14ac:dyDescent="0.25">
      <c r="A100" s="144" t="s">
        <v>1031</v>
      </c>
      <c r="B100" s="140">
        <v>17978</v>
      </c>
      <c r="C100" s="140" t="s">
        <v>1032</v>
      </c>
      <c r="D100" s="140" t="s">
        <v>1033</v>
      </c>
      <c r="E100" s="140" t="s">
        <v>1034</v>
      </c>
      <c r="F100" s="140">
        <v>347233</v>
      </c>
      <c r="G100" s="140" t="s">
        <v>1035</v>
      </c>
      <c r="H100" s="140" t="s">
        <v>1036</v>
      </c>
      <c r="I100" s="140" t="s">
        <v>601</v>
      </c>
      <c r="J100" s="140">
        <v>57476</v>
      </c>
      <c r="K100" s="140" t="s">
        <v>1037</v>
      </c>
      <c r="L100" s="140" t="s">
        <v>1038</v>
      </c>
      <c r="M100" s="140" t="s">
        <v>613</v>
      </c>
    </row>
    <row r="101" spans="1:13" ht="15.95" customHeight="1" x14ac:dyDescent="0.25">
      <c r="A101" s="144" t="s">
        <v>1039</v>
      </c>
      <c r="B101" s="140">
        <v>50325</v>
      </c>
      <c r="C101" s="140" t="s">
        <v>1040</v>
      </c>
      <c r="D101" s="140" t="s">
        <v>1041</v>
      </c>
      <c r="E101" s="140" t="s">
        <v>1042</v>
      </c>
      <c r="F101" s="140">
        <v>532928</v>
      </c>
      <c r="G101" s="140" t="s">
        <v>1043</v>
      </c>
      <c r="H101" s="140" t="s">
        <v>1044</v>
      </c>
      <c r="I101" s="140" t="s">
        <v>601</v>
      </c>
      <c r="J101" s="140">
        <v>16233</v>
      </c>
      <c r="K101" s="140" t="s">
        <v>1045</v>
      </c>
      <c r="L101" s="140" t="s">
        <v>595</v>
      </c>
      <c r="M101" s="140" t="s">
        <v>592</v>
      </c>
    </row>
    <row r="102" spans="1:13" ht="15.95" customHeight="1" x14ac:dyDescent="0.25">
      <c r="A102" s="144" t="s">
        <v>1046</v>
      </c>
      <c r="B102" s="140">
        <v>20679</v>
      </c>
      <c r="C102" s="140" t="s">
        <v>674</v>
      </c>
      <c r="D102" s="140" t="s">
        <v>764</v>
      </c>
      <c r="E102" s="140" t="s">
        <v>1034</v>
      </c>
      <c r="F102" s="140">
        <v>155418</v>
      </c>
      <c r="G102" s="140" t="s">
        <v>1047</v>
      </c>
      <c r="H102" s="140" t="s">
        <v>787</v>
      </c>
      <c r="I102" s="140" t="s">
        <v>589</v>
      </c>
      <c r="J102" s="140">
        <v>1950</v>
      </c>
      <c r="K102" s="140" t="s">
        <v>1048</v>
      </c>
      <c r="L102" s="140" t="s">
        <v>658</v>
      </c>
      <c r="M102" s="140" t="s">
        <v>589</v>
      </c>
    </row>
    <row r="103" spans="1:13" ht="15.95" customHeight="1" x14ac:dyDescent="0.25">
      <c r="A103" s="144" t="s">
        <v>1049</v>
      </c>
      <c r="B103" s="140">
        <v>684900</v>
      </c>
      <c r="C103" s="140" t="s">
        <v>1050</v>
      </c>
      <c r="D103" s="140" t="s">
        <v>578</v>
      </c>
      <c r="E103" s="140" t="s">
        <v>578</v>
      </c>
      <c r="F103" s="140">
        <v>570000</v>
      </c>
      <c r="G103" s="140" t="s">
        <v>1051</v>
      </c>
      <c r="H103" s="140" t="s">
        <v>578</v>
      </c>
      <c r="I103" s="140" t="s">
        <v>578</v>
      </c>
      <c r="J103" s="140">
        <v>278900</v>
      </c>
      <c r="K103" s="140" t="s">
        <v>1052</v>
      </c>
      <c r="L103" s="140" t="s">
        <v>578</v>
      </c>
      <c r="M103" s="140" t="s">
        <v>578</v>
      </c>
    </row>
    <row r="104" spans="1:13" ht="15.95" customHeight="1" x14ac:dyDescent="0.25">
      <c r="A104" s="140" t="s">
        <v>1053</v>
      </c>
    </row>
    <row r="105" spans="1:13" ht="15.95" customHeight="1" x14ac:dyDescent="0.25">
      <c r="A105" s="143" t="s">
        <v>1004</v>
      </c>
      <c r="B105" s="140">
        <v>96186</v>
      </c>
      <c r="C105" s="140" t="s">
        <v>834</v>
      </c>
      <c r="D105" s="140" t="s">
        <v>1005</v>
      </c>
      <c r="E105" s="140" t="s">
        <v>578</v>
      </c>
      <c r="F105" s="140">
        <v>1177476</v>
      </c>
      <c r="G105" s="140" t="s">
        <v>836</v>
      </c>
      <c r="H105" s="140" t="s">
        <v>1006</v>
      </c>
      <c r="I105" s="140" t="s">
        <v>578</v>
      </c>
      <c r="J105" s="140">
        <v>177220</v>
      </c>
      <c r="K105" s="140" t="s">
        <v>838</v>
      </c>
      <c r="L105" s="140" t="s">
        <v>1007</v>
      </c>
      <c r="M105" s="140" t="s">
        <v>578</v>
      </c>
    </row>
    <row r="106" spans="1:13" ht="15.95" customHeight="1" x14ac:dyDescent="0.25">
      <c r="A106" s="144" t="s">
        <v>1054</v>
      </c>
      <c r="B106" s="140">
        <v>68297</v>
      </c>
      <c r="C106" s="140" t="s">
        <v>1055</v>
      </c>
      <c r="D106" s="140" t="s">
        <v>1056</v>
      </c>
      <c r="E106" s="140" t="s">
        <v>1057</v>
      </c>
      <c r="F106" s="140">
        <v>806246</v>
      </c>
      <c r="G106" s="140" t="s">
        <v>1058</v>
      </c>
      <c r="H106" s="140" t="s">
        <v>1059</v>
      </c>
      <c r="I106" s="140" t="s">
        <v>601</v>
      </c>
      <c r="J106" s="140">
        <v>113115</v>
      </c>
      <c r="K106" s="140" t="s">
        <v>1060</v>
      </c>
      <c r="L106" s="140" t="s">
        <v>1061</v>
      </c>
      <c r="M106" s="140" t="s">
        <v>726</v>
      </c>
    </row>
    <row r="107" spans="1:13" ht="15.95" customHeight="1" x14ac:dyDescent="0.25">
      <c r="A107" s="144" t="s">
        <v>1062</v>
      </c>
      <c r="B107" s="140">
        <v>27889</v>
      </c>
      <c r="C107" s="140" t="s">
        <v>1063</v>
      </c>
      <c r="D107" s="140" t="s">
        <v>1064</v>
      </c>
      <c r="E107" s="140" t="s">
        <v>1057</v>
      </c>
      <c r="F107" s="140">
        <v>371230</v>
      </c>
      <c r="G107" s="140" t="s">
        <v>1065</v>
      </c>
      <c r="H107" s="140" t="s">
        <v>870</v>
      </c>
      <c r="I107" s="140" t="s">
        <v>601</v>
      </c>
      <c r="J107" s="140">
        <v>64105</v>
      </c>
      <c r="K107" s="140" t="s">
        <v>1066</v>
      </c>
      <c r="L107" s="140" t="s">
        <v>1067</v>
      </c>
      <c r="M107" s="140" t="s">
        <v>726</v>
      </c>
    </row>
    <row r="108" spans="1:13" ht="15.95" customHeight="1" x14ac:dyDescent="0.25">
      <c r="A108" s="140" t="s">
        <v>1068</v>
      </c>
    </row>
    <row r="109" spans="1:13" ht="15.95" customHeight="1" x14ac:dyDescent="0.25">
      <c r="A109" s="143" t="s">
        <v>1054</v>
      </c>
      <c r="B109" s="140">
        <v>68297</v>
      </c>
      <c r="C109" s="140" t="s">
        <v>1055</v>
      </c>
      <c r="D109" s="140" t="s">
        <v>1069</v>
      </c>
      <c r="E109" s="140" t="s">
        <v>578</v>
      </c>
      <c r="F109" s="140">
        <v>806246</v>
      </c>
      <c r="G109" s="140" t="s">
        <v>1058</v>
      </c>
      <c r="H109" s="140" t="s">
        <v>1070</v>
      </c>
      <c r="I109" s="140" t="s">
        <v>578</v>
      </c>
      <c r="J109" s="140">
        <v>113115</v>
      </c>
      <c r="K109" s="140" t="s">
        <v>1060</v>
      </c>
      <c r="L109" s="140" t="s">
        <v>1071</v>
      </c>
      <c r="M109" s="140" t="s">
        <v>578</v>
      </c>
    </row>
    <row r="110" spans="1:13" ht="15.95" customHeight="1" x14ac:dyDescent="0.25">
      <c r="A110" s="144" t="s">
        <v>452</v>
      </c>
      <c r="B110" s="140">
        <v>484</v>
      </c>
      <c r="C110" s="140" t="s">
        <v>1072</v>
      </c>
      <c r="D110" s="140" t="s">
        <v>950</v>
      </c>
      <c r="E110" s="140" t="s">
        <v>601</v>
      </c>
      <c r="F110" s="140">
        <v>2604</v>
      </c>
      <c r="G110" s="140" t="s">
        <v>1073</v>
      </c>
      <c r="H110" s="140" t="s">
        <v>957</v>
      </c>
      <c r="I110" s="140" t="s">
        <v>602</v>
      </c>
      <c r="J110" s="140">
        <v>720</v>
      </c>
      <c r="K110" s="140" t="s">
        <v>956</v>
      </c>
      <c r="L110" s="140" t="s">
        <v>960</v>
      </c>
      <c r="M110" s="140" t="s">
        <v>602</v>
      </c>
    </row>
    <row r="111" spans="1:13" ht="15.95" customHeight="1" x14ac:dyDescent="0.25">
      <c r="A111" s="144" t="s">
        <v>454</v>
      </c>
      <c r="B111" s="140">
        <v>1333</v>
      </c>
      <c r="C111" s="140" t="s">
        <v>1074</v>
      </c>
      <c r="D111" s="140" t="s">
        <v>1075</v>
      </c>
      <c r="E111" s="140" t="s">
        <v>592</v>
      </c>
      <c r="F111" s="140">
        <v>13047</v>
      </c>
      <c r="G111" s="140" t="s">
        <v>1076</v>
      </c>
      <c r="H111" s="140" t="s">
        <v>1011</v>
      </c>
      <c r="I111" s="140" t="s">
        <v>602</v>
      </c>
      <c r="J111" s="140">
        <v>6120</v>
      </c>
      <c r="K111" s="140" t="s">
        <v>1077</v>
      </c>
      <c r="L111" s="140" t="s">
        <v>1021</v>
      </c>
      <c r="M111" s="140" t="s">
        <v>586</v>
      </c>
    </row>
    <row r="112" spans="1:13" ht="15.95" customHeight="1" x14ac:dyDescent="0.25">
      <c r="A112" s="144" t="s">
        <v>456</v>
      </c>
      <c r="B112" s="140">
        <v>4461</v>
      </c>
      <c r="C112" s="140" t="s">
        <v>1078</v>
      </c>
      <c r="D112" s="140" t="s">
        <v>1079</v>
      </c>
      <c r="E112" s="140" t="s">
        <v>613</v>
      </c>
      <c r="F112" s="140">
        <v>50049</v>
      </c>
      <c r="G112" s="140" t="s">
        <v>1080</v>
      </c>
      <c r="H112" s="140" t="s">
        <v>1081</v>
      </c>
      <c r="I112" s="140" t="s">
        <v>589</v>
      </c>
      <c r="J112" s="140">
        <v>23258</v>
      </c>
      <c r="K112" s="140" t="s">
        <v>1082</v>
      </c>
      <c r="L112" s="140" t="s">
        <v>1083</v>
      </c>
      <c r="M112" s="140" t="s">
        <v>1084</v>
      </c>
    </row>
    <row r="113" spans="1:13" ht="15.95" customHeight="1" x14ac:dyDescent="0.25">
      <c r="A113" s="144" t="s">
        <v>469</v>
      </c>
      <c r="B113" s="140">
        <v>9082</v>
      </c>
      <c r="C113" s="140" t="s">
        <v>1085</v>
      </c>
      <c r="D113" s="140" t="s">
        <v>1086</v>
      </c>
      <c r="E113" s="140" t="s">
        <v>1057</v>
      </c>
      <c r="F113" s="140">
        <v>103187</v>
      </c>
      <c r="G113" s="140" t="s">
        <v>1087</v>
      </c>
      <c r="H113" s="140" t="s">
        <v>1088</v>
      </c>
      <c r="I113" s="140" t="s">
        <v>601</v>
      </c>
      <c r="J113" s="140">
        <v>34400</v>
      </c>
      <c r="K113" s="140" t="s">
        <v>1089</v>
      </c>
      <c r="L113" s="140" t="s">
        <v>1090</v>
      </c>
      <c r="M113" s="140" t="s">
        <v>1057</v>
      </c>
    </row>
    <row r="114" spans="1:13" ht="15.95" customHeight="1" x14ac:dyDescent="0.25">
      <c r="A114" s="144" t="s">
        <v>470</v>
      </c>
      <c r="B114" s="140">
        <v>11828</v>
      </c>
      <c r="C114" s="140" t="s">
        <v>1091</v>
      </c>
      <c r="D114" s="140" t="s">
        <v>933</v>
      </c>
      <c r="E114" s="140" t="s">
        <v>1042</v>
      </c>
      <c r="F114" s="140">
        <v>143166</v>
      </c>
      <c r="G114" s="140" t="s">
        <v>1092</v>
      </c>
      <c r="H114" s="140" t="s">
        <v>1093</v>
      </c>
      <c r="I114" s="140" t="s">
        <v>592</v>
      </c>
      <c r="J114" s="140">
        <v>23476</v>
      </c>
      <c r="K114" s="140" t="s">
        <v>1094</v>
      </c>
      <c r="L114" s="140" t="s">
        <v>1095</v>
      </c>
      <c r="M114" s="140" t="s">
        <v>1084</v>
      </c>
    </row>
    <row r="115" spans="1:13" ht="15.95" customHeight="1" x14ac:dyDescent="0.25">
      <c r="A115" s="144" t="s">
        <v>471</v>
      </c>
      <c r="B115" s="140">
        <v>11679</v>
      </c>
      <c r="C115" s="140" t="s">
        <v>1096</v>
      </c>
      <c r="D115" s="140" t="s">
        <v>1097</v>
      </c>
      <c r="E115" s="140" t="s">
        <v>1042</v>
      </c>
      <c r="F115" s="140">
        <v>148565</v>
      </c>
      <c r="G115" s="140" t="s">
        <v>1098</v>
      </c>
      <c r="H115" s="140" t="s">
        <v>1099</v>
      </c>
      <c r="I115" s="140" t="s">
        <v>592</v>
      </c>
      <c r="J115" s="140">
        <v>12442</v>
      </c>
      <c r="K115" s="140" t="s">
        <v>1100</v>
      </c>
      <c r="L115" s="140" t="s">
        <v>627</v>
      </c>
      <c r="M115" s="140" t="s">
        <v>726</v>
      </c>
    </row>
    <row r="116" spans="1:13" ht="15.95" customHeight="1" x14ac:dyDescent="0.25">
      <c r="A116" s="144" t="s">
        <v>472</v>
      </c>
      <c r="B116" s="140">
        <v>29430</v>
      </c>
      <c r="C116" s="140" t="s">
        <v>1101</v>
      </c>
      <c r="D116" s="140" t="s">
        <v>1102</v>
      </c>
      <c r="E116" s="140" t="s">
        <v>1103</v>
      </c>
      <c r="F116" s="140">
        <v>345628</v>
      </c>
      <c r="G116" s="140" t="s">
        <v>1104</v>
      </c>
      <c r="H116" s="140" t="s">
        <v>1105</v>
      </c>
      <c r="I116" s="140" t="s">
        <v>592</v>
      </c>
      <c r="J116" s="140">
        <v>12699</v>
      </c>
      <c r="K116" s="140" t="s">
        <v>1106</v>
      </c>
      <c r="L116" s="140" t="s">
        <v>1107</v>
      </c>
      <c r="M116" s="140" t="s">
        <v>604</v>
      </c>
    </row>
    <row r="117" spans="1:13" ht="15.95" customHeight="1" x14ac:dyDescent="0.25">
      <c r="A117" s="144" t="s">
        <v>1049</v>
      </c>
      <c r="B117" s="140">
        <v>2798</v>
      </c>
      <c r="C117" s="140" t="s">
        <v>1108</v>
      </c>
      <c r="D117" s="140" t="s">
        <v>578</v>
      </c>
      <c r="E117" s="140" t="s">
        <v>578</v>
      </c>
      <c r="F117" s="140">
        <v>2806</v>
      </c>
      <c r="G117" s="140" t="s">
        <v>1109</v>
      </c>
      <c r="H117" s="140" t="s">
        <v>578</v>
      </c>
      <c r="I117" s="140" t="s">
        <v>578</v>
      </c>
      <c r="J117" s="140">
        <v>1887</v>
      </c>
      <c r="K117" s="140" t="s">
        <v>1110</v>
      </c>
      <c r="L117" s="140" t="s">
        <v>578</v>
      </c>
      <c r="M117" s="140" t="s">
        <v>578</v>
      </c>
    </row>
    <row r="118" spans="1:13" ht="15.95" customHeight="1" x14ac:dyDescent="0.25">
      <c r="A118" s="143" t="s">
        <v>1062</v>
      </c>
      <c r="B118" s="140">
        <v>27889</v>
      </c>
      <c r="C118" s="140" t="s">
        <v>1063</v>
      </c>
      <c r="D118" s="140" t="s">
        <v>1111</v>
      </c>
      <c r="E118" s="140" t="s">
        <v>578</v>
      </c>
      <c r="F118" s="140">
        <v>371230</v>
      </c>
      <c r="G118" s="140" t="s">
        <v>1065</v>
      </c>
      <c r="H118" s="140" t="s">
        <v>1112</v>
      </c>
      <c r="I118" s="140" t="s">
        <v>578</v>
      </c>
      <c r="J118" s="140">
        <v>64105</v>
      </c>
      <c r="K118" s="140" t="s">
        <v>1066</v>
      </c>
      <c r="L118" s="140" t="s">
        <v>1113</v>
      </c>
      <c r="M118" s="140" t="s">
        <v>578</v>
      </c>
    </row>
    <row r="119" spans="1:13" ht="15.95" customHeight="1" x14ac:dyDescent="0.25">
      <c r="A119" s="144" t="s">
        <v>1114</v>
      </c>
      <c r="B119" s="140">
        <v>807</v>
      </c>
      <c r="C119" s="140" t="s">
        <v>1115</v>
      </c>
      <c r="D119" s="140" t="s">
        <v>736</v>
      </c>
      <c r="E119" s="140" t="s">
        <v>613</v>
      </c>
      <c r="F119" s="140">
        <v>6415</v>
      </c>
      <c r="G119" s="140" t="s">
        <v>1106</v>
      </c>
      <c r="H119" s="140" t="s">
        <v>1000</v>
      </c>
      <c r="I119" s="140" t="s">
        <v>589</v>
      </c>
      <c r="J119" s="140">
        <v>1430</v>
      </c>
      <c r="K119" s="140" t="s">
        <v>1116</v>
      </c>
      <c r="L119" s="140" t="s">
        <v>1117</v>
      </c>
      <c r="M119" s="140" t="s">
        <v>592</v>
      </c>
    </row>
    <row r="120" spans="1:13" ht="15.95" customHeight="1" x14ac:dyDescent="0.25">
      <c r="A120" s="144" t="s">
        <v>1118</v>
      </c>
      <c r="B120" s="140">
        <v>1039</v>
      </c>
      <c r="C120" s="140" t="s">
        <v>1119</v>
      </c>
      <c r="D120" s="140" t="s">
        <v>1120</v>
      </c>
      <c r="E120" s="140" t="s">
        <v>613</v>
      </c>
      <c r="F120" s="140">
        <v>8059</v>
      </c>
      <c r="G120" s="140" t="s">
        <v>1121</v>
      </c>
      <c r="H120" s="140" t="s">
        <v>1117</v>
      </c>
      <c r="I120" s="140" t="s">
        <v>589</v>
      </c>
      <c r="J120" s="140">
        <v>2364</v>
      </c>
      <c r="K120" s="140" t="s">
        <v>1122</v>
      </c>
      <c r="L120" s="140" t="s">
        <v>1120</v>
      </c>
      <c r="M120" s="140" t="s">
        <v>592</v>
      </c>
    </row>
    <row r="121" spans="1:13" ht="15.95" customHeight="1" x14ac:dyDescent="0.25">
      <c r="A121" s="144" t="s">
        <v>1123</v>
      </c>
      <c r="B121" s="140">
        <v>3859</v>
      </c>
      <c r="C121" s="140" t="s">
        <v>1124</v>
      </c>
      <c r="D121" s="140" t="s">
        <v>1125</v>
      </c>
      <c r="E121" s="140" t="s">
        <v>1126</v>
      </c>
      <c r="F121" s="140">
        <v>24717</v>
      </c>
      <c r="G121" s="140" t="s">
        <v>1127</v>
      </c>
      <c r="H121" s="140" t="s">
        <v>1128</v>
      </c>
      <c r="I121" s="140" t="s">
        <v>601</v>
      </c>
      <c r="J121" s="140">
        <v>10842</v>
      </c>
      <c r="K121" s="140" t="s">
        <v>1129</v>
      </c>
      <c r="L121" s="140" t="s">
        <v>1130</v>
      </c>
      <c r="M121" s="140" t="s">
        <v>1084</v>
      </c>
    </row>
    <row r="122" spans="1:13" ht="15.95" customHeight="1" x14ac:dyDescent="0.25">
      <c r="A122" s="144" t="s">
        <v>1131</v>
      </c>
      <c r="B122" s="140">
        <v>4713</v>
      </c>
      <c r="C122" s="140" t="s">
        <v>1132</v>
      </c>
      <c r="D122" s="140" t="s">
        <v>1130</v>
      </c>
      <c r="E122" s="140" t="s">
        <v>1126</v>
      </c>
      <c r="F122" s="140">
        <v>51769</v>
      </c>
      <c r="G122" s="140" t="s">
        <v>1133</v>
      </c>
      <c r="H122" s="140" t="s">
        <v>1134</v>
      </c>
      <c r="I122" s="140" t="s">
        <v>592</v>
      </c>
      <c r="J122" s="140">
        <v>19755</v>
      </c>
      <c r="K122" s="140" t="s">
        <v>1135</v>
      </c>
      <c r="L122" s="140" t="s">
        <v>1136</v>
      </c>
      <c r="M122" s="140" t="s">
        <v>1042</v>
      </c>
    </row>
    <row r="123" spans="1:13" ht="15.95" customHeight="1" x14ac:dyDescent="0.25">
      <c r="A123" s="144" t="s">
        <v>1137</v>
      </c>
      <c r="B123" s="140">
        <v>4354</v>
      </c>
      <c r="C123" s="140" t="s">
        <v>1138</v>
      </c>
      <c r="D123" s="140" t="s">
        <v>758</v>
      </c>
      <c r="E123" s="140" t="s">
        <v>1139</v>
      </c>
      <c r="F123" s="140">
        <v>73098</v>
      </c>
      <c r="G123" s="140" t="s">
        <v>1140</v>
      </c>
      <c r="H123" s="140" t="s">
        <v>1141</v>
      </c>
      <c r="I123" s="140" t="s">
        <v>586</v>
      </c>
      <c r="J123" s="140">
        <v>13794</v>
      </c>
      <c r="K123" s="140" t="s">
        <v>1142</v>
      </c>
      <c r="L123" s="140" t="s">
        <v>764</v>
      </c>
      <c r="M123" s="140" t="s">
        <v>1084</v>
      </c>
    </row>
    <row r="124" spans="1:13" ht="15.95" customHeight="1" x14ac:dyDescent="0.25">
      <c r="A124" s="144" t="s">
        <v>1143</v>
      </c>
      <c r="B124" s="140">
        <v>13117</v>
      </c>
      <c r="C124" s="140" t="s">
        <v>1144</v>
      </c>
      <c r="D124" s="140" t="s">
        <v>1145</v>
      </c>
      <c r="E124" s="140" t="s">
        <v>1146</v>
      </c>
      <c r="F124" s="140">
        <v>207172</v>
      </c>
      <c r="G124" s="140" t="s">
        <v>1147</v>
      </c>
      <c r="H124" s="140" t="s">
        <v>1148</v>
      </c>
      <c r="I124" s="140" t="s">
        <v>604</v>
      </c>
      <c r="J124" s="140">
        <v>15920</v>
      </c>
      <c r="K124" s="140" t="s">
        <v>1149</v>
      </c>
      <c r="L124" s="140" t="s">
        <v>1150</v>
      </c>
      <c r="M124" s="140" t="s">
        <v>1057</v>
      </c>
    </row>
    <row r="125" spans="1:13" ht="15.95" customHeight="1" x14ac:dyDescent="0.25">
      <c r="A125" s="144" t="s">
        <v>1049</v>
      </c>
      <c r="B125" s="140">
        <v>957</v>
      </c>
      <c r="C125" s="140" t="s">
        <v>1151</v>
      </c>
      <c r="D125" s="140" t="s">
        <v>578</v>
      </c>
      <c r="E125" s="140" t="s">
        <v>578</v>
      </c>
      <c r="F125" s="140">
        <v>1063</v>
      </c>
      <c r="G125" s="140" t="s">
        <v>1152</v>
      </c>
      <c r="H125" s="140" t="s">
        <v>578</v>
      </c>
      <c r="I125" s="140" t="s">
        <v>578</v>
      </c>
      <c r="J125" s="140">
        <v>777</v>
      </c>
      <c r="K125" s="140" t="s">
        <v>1153</v>
      </c>
      <c r="L125" s="140" t="s">
        <v>578</v>
      </c>
      <c r="M125" s="140" t="s">
        <v>578</v>
      </c>
    </row>
    <row r="126" spans="1:13" ht="15.95" customHeight="1" x14ac:dyDescent="0.25">
      <c r="A126" s="140" t="s">
        <v>1154</v>
      </c>
    </row>
    <row r="127" spans="1:13" ht="15.95" customHeight="1" x14ac:dyDescent="0.25">
      <c r="A127" s="143" t="s">
        <v>1155</v>
      </c>
      <c r="B127" s="140">
        <v>67789</v>
      </c>
      <c r="C127" s="140" t="s">
        <v>1156</v>
      </c>
      <c r="D127" s="140" t="s">
        <v>1157</v>
      </c>
      <c r="E127" s="140" t="s">
        <v>578</v>
      </c>
      <c r="F127" s="140">
        <v>803812</v>
      </c>
      <c r="G127" s="140" t="s">
        <v>1158</v>
      </c>
      <c r="H127" s="140" t="s">
        <v>1159</v>
      </c>
      <c r="I127" s="140" t="s">
        <v>578</v>
      </c>
      <c r="J127" s="140">
        <v>112659</v>
      </c>
      <c r="K127" s="140" t="s">
        <v>1160</v>
      </c>
      <c r="L127" s="140" t="s">
        <v>1161</v>
      </c>
      <c r="M127" s="140" t="s">
        <v>578</v>
      </c>
    </row>
    <row r="128" spans="1:13" ht="15.95" customHeight="1" x14ac:dyDescent="0.25">
      <c r="A128" s="144" t="s">
        <v>1162</v>
      </c>
      <c r="B128" s="140">
        <v>31720</v>
      </c>
      <c r="C128" s="140" t="s">
        <v>1163</v>
      </c>
      <c r="D128" s="140" t="s">
        <v>1164</v>
      </c>
      <c r="E128" s="140" t="s">
        <v>1165</v>
      </c>
      <c r="F128" s="140">
        <v>347177</v>
      </c>
      <c r="G128" s="140" t="s">
        <v>1166</v>
      </c>
      <c r="H128" s="140" t="s">
        <v>1167</v>
      </c>
      <c r="I128" s="140" t="s">
        <v>586</v>
      </c>
      <c r="J128" s="140">
        <v>48065</v>
      </c>
      <c r="K128" s="140" t="s">
        <v>1168</v>
      </c>
      <c r="L128" s="140" t="s">
        <v>1169</v>
      </c>
      <c r="M128" s="140" t="s">
        <v>1057</v>
      </c>
    </row>
    <row r="129" spans="1:13" ht="15.95" customHeight="1" x14ac:dyDescent="0.25">
      <c r="A129" s="144" t="s">
        <v>1170</v>
      </c>
      <c r="B129" s="140">
        <v>8789</v>
      </c>
      <c r="C129" s="140" t="s">
        <v>1171</v>
      </c>
      <c r="D129" s="140" t="s">
        <v>1172</v>
      </c>
      <c r="E129" s="140" t="s">
        <v>1057</v>
      </c>
      <c r="F129" s="140">
        <v>130731</v>
      </c>
      <c r="G129" s="140" t="s">
        <v>1173</v>
      </c>
      <c r="H129" s="140" t="s">
        <v>1174</v>
      </c>
      <c r="I129" s="140" t="s">
        <v>601</v>
      </c>
      <c r="J129" s="140">
        <v>18142</v>
      </c>
      <c r="K129" s="140" t="s">
        <v>1175</v>
      </c>
      <c r="L129" s="140" t="s">
        <v>1176</v>
      </c>
      <c r="M129" s="140" t="s">
        <v>726</v>
      </c>
    </row>
    <row r="130" spans="1:13" ht="15.95" customHeight="1" x14ac:dyDescent="0.25">
      <c r="A130" s="144" t="s">
        <v>1177</v>
      </c>
      <c r="B130" s="140">
        <v>6000</v>
      </c>
      <c r="C130" s="140" t="s">
        <v>1178</v>
      </c>
      <c r="D130" s="140" t="s">
        <v>1179</v>
      </c>
      <c r="E130" s="140" t="s">
        <v>726</v>
      </c>
      <c r="F130" s="140">
        <v>86656</v>
      </c>
      <c r="G130" s="140" t="s">
        <v>1180</v>
      </c>
      <c r="H130" s="140" t="s">
        <v>699</v>
      </c>
      <c r="I130" s="140" t="s">
        <v>601</v>
      </c>
      <c r="J130" s="140">
        <v>12112</v>
      </c>
      <c r="K130" s="140" t="s">
        <v>949</v>
      </c>
      <c r="L130" s="140" t="s">
        <v>699</v>
      </c>
      <c r="M130" s="140" t="s">
        <v>726</v>
      </c>
    </row>
    <row r="131" spans="1:13" ht="15.95" customHeight="1" x14ac:dyDescent="0.25">
      <c r="A131" s="144" t="s">
        <v>1181</v>
      </c>
      <c r="B131" s="140">
        <v>4725</v>
      </c>
      <c r="C131" s="140" t="s">
        <v>951</v>
      </c>
      <c r="D131" s="140" t="s">
        <v>692</v>
      </c>
      <c r="E131" s="140" t="s">
        <v>726</v>
      </c>
      <c r="F131" s="140">
        <v>58580</v>
      </c>
      <c r="G131" s="140" t="s">
        <v>1182</v>
      </c>
      <c r="H131" s="140" t="s">
        <v>653</v>
      </c>
      <c r="I131" s="140" t="s">
        <v>589</v>
      </c>
      <c r="J131" s="140">
        <v>8206</v>
      </c>
      <c r="K131" s="140" t="s">
        <v>1183</v>
      </c>
      <c r="L131" s="140" t="s">
        <v>653</v>
      </c>
      <c r="M131" s="140" t="s">
        <v>604</v>
      </c>
    </row>
    <row r="132" spans="1:13" ht="15.95" customHeight="1" x14ac:dyDescent="0.25">
      <c r="A132" s="144" t="s">
        <v>1184</v>
      </c>
      <c r="B132" s="140">
        <v>16555</v>
      </c>
      <c r="C132" s="140" t="s">
        <v>1185</v>
      </c>
      <c r="D132" s="140" t="s">
        <v>1186</v>
      </c>
      <c r="E132" s="140" t="s">
        <v>1165</v>
      </c>
      <c r="F132" s="140">
        <v>180668</v>
      </c>
      <c r="G132" s="140" t="s">
        <v>1187</v>
      </c>
      <c r="H132" s="140" t="s">
        <v>1188</v>
      </c>
      <c r="I132" s="140" t="s">
        <v>592</v>
      </c>
      <c r="J132" s="140">
        <v>26134</v>
      </c>
      <c r="K132" s="140" t="s">
        <v>1189</v>
      </c>
      <c r="L132" s="140" t="s">
        <v>1190</v>
      </c>
      <c r="M132" s="140" t="s">
        <v>1057</v>
      </c>
    </row>
    <row r="133" spans="1:13" ht="15.95" customHeight="1" x14ac:dyDescent="0.25">
      <c r="A133" s="144" t="s">
        <v>1191</v>
      </c>
      <c r="B133" s="140">
        <v>508</v>
      </c>
      <c r="C133" s="140" t="s">
        <v>1192</v>
      </c>
      <c r="D133" s="140" t="s">
        <v>578</v>
      </c>
      <c r="E133" s="140" t="s">
        <v>578</v>
      </c>
      <c r="F133" s="140">
        <v>2434</v>
      </c>
      <c r="G133" s="140" t="s">
        <v>1009</v>
      </c>
      <c r="H133" s="140" t="s">
        <v>578</v>
      </c>
      <c r="I133" s="140" t="s">
        <v>578</v>
      </c>
      <c r="J133" s="140">
        <v>456</v>
      </c>
      <c r="K133" s="140" t="s">
        <v>1193</v>
      </c>
      <c r="L133" s="140" t="s">
        <v>578</v>
      </c>
      <c r="M133" s="140" t="s">
        <v>578</v>
      </c>
    </row>
    <row r="134" spans="1:13" ht="15.95" customHeight="1" x14ac:dyDescent="0.25">
      <c r="A134" s="143" t="s">
        <v>1194</v>
      </c>
      <c r="B134" s="140">
        <v>27412</v>
      </c>
      <c r="C134" s="140" t="s">
        <v>1195</v>
      </c>
      <c r="D134" s="140" t="s">
        <v>1196</v>
      </c>
      <c r="E134" s="140" t="s">
        <v>578</v>
      </c>
      <c r="F134" s="140">
        <v>367475</v>
      </c>
      <c r="G134" s="140" t="s">
        <v>1197</v>
      </c>
      <c r="H134" s="140" t="s">
        <v>1198</v>
      </c>
      <c r="I134" s="140" t="s">
        <v>578</v>
      </c>
      <c r="J134" s="140">
        <v>63448</v>
      </c>
      <c r="K134" s="140" t="s">
        <v>1199</v>
      </c>
      <c r="L134" s="140" t="s">
        <v>1200</v>
      </c>
      <c r="M134" s="140" t="s">
        <v>578</v>
      </c>
    </row>
    <row r="135" spans="1:13" ht="15.95" customHeight="1" x14ac:dyDescent="0.25">
      <c r="A135" s="144" t="s">
        <v>1201</v>
      </c>
      <c r="B135" s="140">
        <v>12581</v>
      </c>
      <c r="C135" s="140" t="s">
        <v>619</v>
      </c>
      <c r="D135" s="140" t="s">
        <v>1202</v>
      </c>
      <c r="E135" s="140" t="s">
        <v>1203</v>
      </c>
      <c r="F135" s="140">
        <v>132516</v>
      </c>
      <c r="G135" s="140" t="s">
        <v>1204</v>
      </c>
      <c r="H135" s="140" t="s">
        <v>866</v>
      </c>
      <c r="I135" s="140" t="s">
        <v>604</v>
      </c>
      <c r="J135" s="140">
        <v>22293</v>
      </c>
      <c r="K135" s="140" t="s">
        <v>1205</v>
      </c>
      <c r="L135" s="140" t="s">
        <v>1206</v>
      </c>
      <c r="M135" s="140" t="s">
        <v>1165</v>
      </c>
    </row>
    <row r="136" spans="1:13" ht="15.95" customHeight="1" x14ac:dyDescent="0.25">
      <c r="A136" s="144" t="s">
        <v>1207</v>
      </c>
      <c r="B136" s="140">
        <v>4501</v>
      </c>
      <c r="C136" s="140" t="s">
        <v>1208</v>
      </c>
      <c r="D136" s="140" t="s">
        <v>1209</v>
      </c>
      <c r="E136" s="140" t="s">
        <v>1210</v>
      </c>
      <c r="F136" s="140">
        <v>69528</v>
      </c>
      <c r="G136" s="140" t="s">
        <v>1211</v>
      </c>
      <c r="H136" s="140" t="s">
        <v>935</v>
      </c>
      <c r="I136" s="140" t="s">
        <v>592</v>
      </c>
      <c r="J136" s="140">
        <v>12944</v>
      </c>
      <c r="K136" s="140" t="s">
        <v>1212</v>
      </c>
      <c r="L136" s="140" t="s">
        <v>1213</v>
      </c>
      <c r="M136" s="140" t="s">
        <v>1057</v>
      </c>
    </row>
    <row r="137" spans="1:13" ht="15.95" customHeight="1" x14ac:dyDescent="0.25">
      <c r="A137" s="144" t="s">
        <v>1214</v>
      </c>
      <c r="B137" s="140">
        <v>2764</v>
      </c>
      <c r="C137" s="140" t="s">
        <v>1215</v>
      </c>
      <c r="D137" s="140" t="s">
        <v>1216</v>
      </c>
      <c r="E137" s="140" t="s">
        <v>1042</v>
      </c>
      <c r="F137" s="140">
        <v>45289</v>
      </c>
      <c r="G137" s="140" t="s">
        <v>1217</v>
      </c>
      <c r="H137" s="140" t="s">
        <v>1218</v>
      </c>
      <c r="I137" s="140" t="s">
        <v>592</v>
      </c>
      <c r="J137" s="140">
        <v>8112</v>
      </c>
      <c r="K137" s="140" t="s">
        <v>1219</v>
      </c>
      <c r="L137" s="140" t="s">
        <v>1088</v>
      </c>
      <c r="M137" s="140" t="s">
        <v>901</v>
      </c>
    </row>
    <row r="138" spans="1:13" ht="15.95" customHeight="1" x14ac:dyDescent="0.25">
      <c r="A138" s="144" t="s">
        <v>1170</v>
      </c>
      <c r="B138" s="140">
        <v>1599</v>
      </c>
      <c r="C138" s="140" t="s">
        <v>1220</v>
      </c>
      <c r="D138" s="140" t="s">
        <v>638</v>
      </c>
      <c r="E138" s="140" t="s">
        <v>901</v>
      </c>
      <c r="F138" s="140">
        <v>29456</v>
      </c>
      <c r="G138" s="140" t="s">
        <v>1221</v>
      </c>
      <c r="H138" s="140" t="s">
        <v>634</v>
      </c>
      <c r="I138" s="140" t="s">
        <v>601</v>
      </c>
      <c r="J138" s="140">
        <v>5307</v>
      </c>
      <c r="K138" s="140" t="s">
        <v>1222</v>
      </c>
      <c r="L138" s="140" t="s">
        <v>1223</v>
      </c>
      <c r="M138" s="140" t="s">
        <v>726</v>
      </c>
    </row>
    <row r="139" spans="1:13" ht="15.95" customHeight="1" x14ac:dyDescent="0.25">
      <c r="A139" s="144" t="s">
        <v>1177</v>
      </c>
      <c r="B139" s="140">
        <v>1093</v>
      </c>
      <c r="C139" s="140" t="s">
        <v>1224</v>
      </c>
      <c r="D139" s="140" t="s">
        <v>828</v>
      </c>
      <c r="E139" s="140" t="s">
        <v>613</v>
      </c>
      <c r="F139" s="140">
        <v>18651</v>
      </c>
      <c r="G139" s="140" t="s">
        <v>1225</v>
      </c>
      <c r="H139" s="140" t="s">
        <v>1226</v>
      </c>
      <c r="I139" s="140" t="s">
        <v>601</v>
      </c>
      <c r="J139" s="140">
        <v>3329</v>
      </c>
      <c r="K139" s="140" t="s">
        <v>1227</v>
      </c>
      <c r="L139" s="140" t="s">
        <v>720</v>
      </c>
      <c r="M139" s="140" t="s">
        <v>613</v>
      </c>
    </row>
    <row r="140" spans="1:13" ht="15.95" customHeight="1" x14ac:dyDescent="0.25">
      <c r="A140" s="144" t="s">
        <v>1181</v>
      </c>
      <c r="B140" s="140">
        <v>772</v>
      </c>
      <c r="C140" s="140" t="s">
        <v>1228</v>
      </c>
      <c r="D140" s="140" t="s">
        <v>1229</v>
      </c>
      <c r="E140" s="140" t="s">
        <v>613</v>
      </c>
      <c r="F140" s="140">
        <v>13562</v>
      </c>
      <c r="G140" s="140" t="s">
        <v>1185</v>
      </c>
      <c r="H140" s="140" t="s">
        <v>1120</v>
      </c>
      <c r="I140" s="140" t="s">
        <v>601</v>
      </c>
      <c r="J140" s="140">
        <v>2168</v>
      </c>
      <c r="K140" s="140" t="s">
        <v>1230</v>
      </c>
      <c r="L140" s="140" t="s">
        <v>779</v>
      </c>
      <c r="M140" s="140" t="s">
        <v>586</v>
      </c>
    </row>
    <row r="141" spans="1:13" ht="15.95" customHeight="1" x14ac:dyDescent="0.25">
      <c r="A141" s="144" t="s">
        <v>1184</v>
      </c>
      <c r="B141" s="140">
        <v>4102</v>
      </c>
      <c r="C141" s="140" t="s">
        <v>1231</v>
      </c>
      <c r="D141" s="140" t="s">
        <v>1232</v>
      </c>
      <c r="E141" s="140" t="s">
        <v>1233</v>
      </c>
      <c r="F141" s="140">
        <v>58473</v>
      </c>
      <c r="G141" s="140" t="s">
        <v>1234</v>
      </c>
      <c r="H141" s="140" t="s">
        <v>756</v>
      </c>
      <c r="I141" s="140" t="s">
        <v>586</v>
      </c>
      <c r="J141" s="140">
        <v>9295</v>
      </c>
      <c r="K141" s="140" t="s">
        <v>1235</v>
      </c>
      <c r="L141" s="140" t="s">
        <v>1236</v>
      </c>
      <c r="M141" s="140" t="s">
        <v>1084</v>
      </c>
    </row>
    <row r="142" spans="1:13" ht="15.95" customHeight="1" x14ac:dyDescent="0.25">
      <c r="A142" s="144" t="s">
        <v>1191</v>
      </c>
      <c r="B142" s="140">
        <v>477</v>
      </c>
      <c r="C142" s="140" t="s">
        <v>1237</v>
      </c>
      <c r="D142" s="140" t="s">
        <v>578</v>
      </c>
      <c r="E142" s="140" t="s">
        <v>578</v>
      </c>
      <c r="F142" s="140">
        <v>3755</v>
      </c>
      <c r="G142" s="140" t="s">
        <v>1238</v>
      </c>
      <c r="H142" s="140" t="s">
        <v>578</v>
      </c>
      <c r="I142" s="140" t="s">
        <v>578</v>
      </c>
      <c r="J142" s="140">
        <v>657</v>
      </c>
      <c r="K142" s="140" t="s">
        <v>1239</v>
      </c>
      <c r="L142" s="140" t="s">
        <v>578</v>
      </c>
      <c r="M142" s="140" t="s">
        <v>578</v>
      </c>
    </row>
    <row r="143" spans="1:13" ht="15.95" customHeight="1" x14ac:dyDescent="0.25">
      <c r="A143" s="140" t="s">
        <v>1240</v>
      </c>
    </row>
    <row r="144" spans="1:13" ht="15.95" customHeight="1" x14ac:dyDescent="0.25">
      <c r="A144" s="143" t="s">
        <v>1241</v>
      </c>
      <c r="B144" s="140">
        <v>176304</v>
      </c>
      <c r="C144" s="140" t="s">
        <v>1242</v>
      </c>
      <c r="D144" s="140" t="s">
        <v>1243</v>
      </c>
      <c r="E144" s="140" t="s">
        <v>578</v>
      </c>
      <c r="F144" s="140">
        <v>712737</v>
      </c>
      <c r="G144" s="140" t="s">
        <v>1244</v>
      </c>
      <c r="H144" s="140" t="s">
        <v>1245</v>
      </c>
      <c r="I144" s="140" t="s">
        <v>578</v>
      </c>
      <c r="J144" s="140">
        <v>94654</v>
      </c>
      <c r="K144" s="140" t="s">
        <v>1246</v>
      </c>
      <c r="L144" s="140" t="s">
        <v>1247</v>
      </c>
      <c r="M144" s="140" t="s">
        <v>578</v>
      </c>
    </row>
    <row r="145" spans="1:13" ht="15.95" customHeight="1" x14ac:dyDescent="0.25">
      <c r="A145" s="144" t="s">
        <v>452</v>
      </c>
      <c r="B145" s="140">
        <v>22592</v>
      </c>
      <c r="C145" s="140" t="s">
        <v>1248</v>
      </c>
      <c r="D145" s="140" t="s">
        <v>1088</v>
      </c>
      <c r="E145" s="140" t="s">
        <v>604</v>
      </c>
      <c r="F145" s="140">
        <v>70786</v>
      </c>
      <c r="G145" s="140" t="s">
        <v>1249</v>
      </c>
      <c r="H145" s="140" t="s">
        <v>711</v>
      </c>
      <c r="I145" s="140" t="s">
        <v>601</v>
      </c>
      <c r="J145" s="140">
        <v>15204</v>
      </c>
      <c r="K145" s="140" t="s">
        <v>1250</v>
      </c>
      <c r="L145" s="140" t="s">
        <v>1176</v>
      </c>
      <c r="M145" s="140" t="s">
        <v>1034</v>
      </c>
    </row>
    <row r="146" spans="1:13" ht="15.95" customHeight="1" x14ac:dyDescent="0.25">
      <c r="A146" s="144" t="s">
        <v>454</v>
      </c>
      <c r="B146" s="140">
        <v>17504</v>
      </c>
      <c r="C146" s="140" t="s">
        <v>1251</v>
      </c>
      <c r="D146" s="140" t="s">
        <v>711</v>
      </c>
      <c r="E146" s="140" t="s">
        <v>604</v>
      </c>
      <c r="F146" s="140">
        <v>65091</v>
      </c>
      <c r="G146" s="140" t="s">
        <v>1252</v>
      </c>
      <c r="H146" s="140" t="s">
        <v>1253</v>
      </c>
      <c r="I146" s="140" t="s">
        <v>601</v>
      </c>
      <c r="J146" s="140">
        <v>24770</v>
      </c>
      <c r="K146" s="140" t="s">
        <v>1254</v>
      </c>
      <c r="L146" s="140" t="s">
        <v>1255</v>
      </c>
      <c r="M146" s="140" t="s">
        <v>1165</v>
      </c>
    </row>
    <row r="147" spans="1:13" ht="15.95" customHeight="1" x14ac:dyDescent="0.25">
      <c r="A147" s="144" t="s">
        <v>456</v>
      </c>
      <c r="B147" s="140">
        <v>19481</v>
      </c>
      <c r="C147" s="140" t="s">
        <v>1256</v>
      </c>
      <c r="D147" s="140" t="s">
        <v>627</v>
      </c>
      <c r="E147" s="140" t="s">
        <v>604</v>
      </c>
      <c r="F147" s="140">
        <v>114858</v>
      </c>
      <c r="G147" s="140" t="s">
        <v>1257</v>
      </c>
      <c r="H147" s="140" t="s">
        <v>1176</v>
      </c>
      <c r="I147" s="140" t="s">
        <v>592</v>
      </c>
      <c r="J147" s="140">
        <v>34743</v>
      </c>
      <c r="K147" s="140" t="s">
        <v>1258</v>
      </c>
      <c r="L147" s="140" t="s">
        <v>1259</v>
      </c>
      <c r="M147" s="140" t="s">
        <v>1165</v>
      </c>
    </row>
    <row r="148" spans="1:13" ht="15.95" customHeight="1" x14ac:dyDescent="0.25">
      <c r="A148" s="144" t="s">
        <v>469</v>
      </c>
      <c r="B148" s="140">
        <v>29721</v>
      </c>
      <c r="C148" s="140" t="s">
        <v>1260</v>
      </c>
      <c r="D148" s="140" t="s">
        <v>1130</v>
      </c>
      <c r="E148" s="140" t="s">
        <v>613</v>
      </c>
      <c r="F148" s="140">
        <v>161608</v>
      </c>
      <c r="G148" s="140" t="s">
        <v>1261</v>
      </c>
      <c r="H148" s="140" t="s">
        <v>1262</v>
      </c>
      <c r="I148" s="140" t="s">
        <v>592</v>
      </c>
      <c r="J148" s="140">
        <v>14162</v>
      </c>
      <c r="K148" s="140" t="s">
        <v>1263</v>
      </c>
      <c r="L148" s="140" t="s">
        <v>1232</v>
      </c>
      <c r="M148" s="140" t="s">
        <v>1034</v>
      </c>
    </row>
    <row r="149" spans="1:13" ht="15.95" customHeight="1" x14ac:dyDescent="0.25">
      <c r="A149" s="144" t="s">
        <v>470</v>
      </c>
      <c r="B149" s="140">
        <v>34668</v>
      </c>
      <c r="C149" s="140" t="s">
        <v>1264</v>
      </c>
      <c r="D149" s="140" t="s">
        <v>1141</v>
      </c>
      <c r="E149" s="140" t="s">
        <v>726</v>
      </c>
      <c r="F149" s="140">
        <v>134622</v>
      </c>
      <c r="G149" s="140" t="s">
        <v>1265</v>
      </c>
      <c r="H149" s="140" t="s">
        <v>935</v>
      </c>
      <c r="I149" s="140" t="s">
        <v>592</v>
      </c>
      <c r="J149" s="140">
        <v>3849</v>
      </c>
      <c r="K149" s="140" t="s">
        <v>1266</v>
      </c>
      <c r="L149" s="140" t="s">
        <v>742</v>
      </c>
      <c r="M149" s="140" t="s">
        <v>592</v>
      </c>
    </row>
    <row r="150" spans="1:13" ht="15.95" customHeight="1" x14ac:dyDescent="0.25">
      <c r="A150" s="144" t="s">
        <v>471</v>
      </c>
      <c r="B150" s="140">
        <v>20417</v>
      </c>
      <c r="C150" s="140" t="s">
        <v>1267</v>
      </c>
      <c r="D150" s="140" t="s">
        <v>1268</v>
      </c>
      <c r="E150" s="140" t="s">
        <v>604</v>
      </c>
      <c r="F150" s="140">
        <v>76710</v>
      </c>
      <c r="G150" s="140" t="s">
        <v>1269</v>
      </c>
      <c r="H150" s="140" t="s">
        <v>699</v>
      </c>
      <c r="I150" s="140" t="s">
        <v>601</v>
      </c>
      <c r="J150" s="140">
        <v>948</v>
      </c>
      <c r="K150" s="140" t="s">
        <v>1270</v>
      </c>
      <c r="L150" s="140" t="s">
        <v>997</v>
      </c>
      <c r="M150" s="140" t="s">
        <v>589</v>
      </c>
    </row>
    <row r="151" spans="1:13" ht="15.95" customHeight="1" x14ac:dyDescent="0.25">
      <c r="A151" s="144" t="s">
        <v>472</v>
      </c>
      <c r="B151" s="140">
        <v>31921</v>
      </c>
      <c r="C151" s="140" t="s">
        <v>626</v>
      </c>
      <c r="D151" s="140" t="s">
        <v>1271</v>
      </c>
      <c r="E151" s="140" t="s">
        <v>726</v>
      </c>
      <c r="F151" s="140">
        <v>89062</v>
      </c>
      <c r="G151" s="140" t="s">
        <v>1272</v>
      </c>
      <c r="H151" s="140" t="s">
        <v>1273</v>
      </c>
      <c r="I151" s="140" t="s">
        <v>601</v>
      </c>
      <c r="J151" s="140">
        <v>978</v>
      </c>
      <c r="K151" s="140" t="s">
        <v>664</v>
      </c>
      <c r="L151" s="140" t="s">
        <v>997</v>
      </c>
      <c r="M151" s="140" t="s">
        <v>589</v>
      </c>
    </row>
    <row r="152" spans="1:13" ht="15.95" customHeight="1" x14ac:dyDescent="0.25">
      <c r="A152" s="144" t="s">
        <v>1049</v>
      </c>
      <c r="B152" s="140">
        <v>1981</v>
      </c>
      <c r="C152" s="140" t="s">
        <v>1274</v>
      </c>
      <c r="D152" s="140" t="s">
        <v>578</v>
      </c>
      <c r="E152" s="140" t="s">
        <v>578</v>
      </c>
      <c r="F152" s="148">
        <v>1827</v>
      </c>
      <c r="G152" s="140" t="s">
        <v>1275</v>
      </c>
      <c r="H152" s="140" t="s">
        <v>578</v>
      </c>
      <c r="I152" s="140" t="s">
        <v>578</v>
      </c>
      <c r="J152" s="148">
        <v>1095</v>
      </c>
      <c r="K152" s="140" t="s">
        <v>1276</v>
      </c>
      <c r="L152" s="140" t="s">
        <v>578</v>
      </c>
      <c r="M152" s="140" t="s">
        <v>578</v>
      </c>
    </row>
    <row r="153" spans="1:13" ht="15.95" customHeight="1" x14ac:dyDescent="0.25">
      <c r="A153" s="144" t="s">
        <v>1277</v>
      </c>
      <c r="B153" s="140">
        <v>3563</v>
      </c>
      <c r="C153" s="140" t="s">
        <v>1278</v>
      </c>
      <c r="D153" s="140" t="s">
        <v>578</v>
      </c>
      <c r="E153" s="140" t="s">
        <v>578</v>
      </c>
      <c r="F153" s="140">
        <v>23386</v>
      </c>
      <c r="G153" s="140" t="s">
        <v>1279</v>
      </c>
      <c r="H153" s="140" t="s">
        <v>578</v>
      </c>
      <c r="I153" s="140" t="s">
        <v>578</v>
      </c>
      <c r="J153" s="140">
        <v>4154</v>
      </c>
      <c r="K153" s="140" t="s">
        <v>1280</v>
      </c>
      <c r="L153" s="140" t="s">
        <v>578</v>
      </c>
      <c r="M153" s="140" t="s">
        <v>578</v>
      </c>
    </row>
    <row r="154" spans="1:13" ht="15.95" customHeight="1" x14ac:dyDescent="0.25">
      <c r="A154" s="140" t="s">
        <v>1281</v>
      </c>
    </row>
    <row r="155" spans="1:13" ht="15.95" customHeight="1" x14ac:dyDescent="0.25">
      <c r="A155" s="143" t="s">
        <v>1282</v>
      </c>
      <c r="B155" s="140">
        <v>170577</v>
      </c>
      <c r="C155" s="140" t="s">
        <v>841</v>
      </c>
      <c r="D155" s="140" t="s">
        <v>1283</v>
      </c>
      <c r="E155" s="140" t="s">
        <v>578</v>
      </c>
      <c r="F155" s="140">
        <v>697790</v>
      </c>
      <c r="G155" s="140" t="s">
        <v>1284</v>
      </c>
      <c r="H155" s="140" t="s">
        <v>1285</v>
      </c>
      <c r="I155" s="140" t="s">
        <v>578</v>
      </c>
      <c r="J155" s="140">
        <v>92421</v>
      </c>
      <c r="K155" s="140" t="s">
        <v>1286</v>
      </c>
      <c r="L155" s="140" t="s">
        <v>1287</v>
      </c>
      <c r="M155" s="140" t="s">
        <v>578</v>
      </c>
    </row>
    <row r="156" spans="1:13" ht="15.95" customHeight="1" x14ac:dyDescent="0.25">
      <c r="A156" s="144" t="s">
        <v>1288</v>
      </c>
      <c r="B156" s="140">
        <v>22093</v>
      </c>
      <c r="C156" s="140" t="s">
        <v>1289</v>
      </c>
      <c r="D156" s="140" t="s">
        <v>1172</v>
      </c>
      <c r="E156" s="140" t="s">
        <v>613</v>
      </c>
      <c r="F156" s="140">
        <v>85759</v>
      </c>
      <c r="G156" s="140" t="s">
        <v>1290</v>
      </c>
      <c r="H156" s="140" t="s">
        <v>1218</v>
      </c>
      <c r="I156" s="140" t="s">
        <v>592</v>
      </c>
      <c r="J156" s="140">
        <v>12198</v>
      </c>
      <c r="K156" s="140" t="s">
        <v>1291</v>
      </c>
      <c r="L156" s="140" t="s">
        <v>787</v>
      </c>
      <c r="M156" s="140" t="s">
        <v>901</v>
      </c>
    </row>
    <row r="157" spans="1:13" ht="15.95" customHeight="1" x14ac:dyDescent="0.25">
      <c r="A157" s="144" t="s">
        <v>1214</v>
      </c>
      <c r="B157" s="140">
        <v>20217</v>
      </c>
      <c r="C157" s="140" t="s">
        <v>1292</v>
      </c>
      <c r="D157" s="140" t="s">
        <v>1293</v>
      </c>
      <c r="E157" s="140" t="s">
        <v>613</v>
      </c>
      <c r="F157" s="140">
        <v>86390</v>
      </c>
      <c r="G157" s="140" t="s">
        <v>1294</v>
      </c>
      <c r="H157" s="140" t="s">
        <v>623</v>
      </c>
      <c r="I157" s="140" t="s">
        <v>592</v>
      </c>
      <c r="J157" s="140">
        <v>9389</v>
      </c>
      <c r="K157" s="140" t="s">
        <v>1295</v>
      </c>
      <c r="L157" s="140" t="s">
        <v>1296</v>
      </c>
      <c r="M157" s="140" t="s">
        <v>901</v>
      </c>
    </row>
    <row r="158" spans="1:13" ht="15.95" customHeight="1" x14ac:dyDescent="0.25">
      <c r="A158" s="144" t="s">
        <v>1170</v>
      </c>
      <c r="B158" s="140">
        <v>20756</v>
      </c>
      <c r="C158" s="140" t="s">
        <v>1297</v>
      </c>
      <c r="D158" s="140" t="s">
        <v>776</v>
      </c>
      <c r="E158" s="140" t="s">
        <v>726</v>
      </c>
      <c r="F158" s="140">
        <v>90784</v>
      </c>
      <c r="G158" s="140" t="s">
        <v>1298</v>
      </c>
      <c r="H158" s="140" t="s">
        <v>1172</v>
      </c>
      <c r="I158" s="140" t="s">
        <v>592</v>
      </c>
      <c r="J158" s="140">
        <v>10051</v>
      </c>
      <c r="K158" s="140" t="s">
        <v>1299</v>
      </c>
      <c r="L158" s="140" t="s">
        <v>713</v>
      </c>
      <c r="M158" s="140" t="s">
        <v>726</v>
      </c>
    </row>
    <row r="159" spans="1:13" ht="15.95" customHeight="1" x14ac:dyDescent="0.25">
      <c r="A159" s="144" t="s">
        <v>1177</v>
      </c>
      <c r="B159" s="140">
        <v>22131</v>
      </c>
      <c r="C159" s="140" t="s">
        <v>1300</v>
      </c>
      <c r="D159" s="140" t="s">
        <v>1172</v>
      </c>
      <c r="E159" s="140" t="s">
        <v>901</v>
      </c>
      <c r="F159" s="140">
        <v>87514</v>
      </c>
      <c r="G159" s="140" t="s">
        <v>1301</v>
      </c>
      <c r="H159" s="140" t="s">
        <v>1273</v>
      </c>
      <c r="I159" s="140" t="s">
        <v>592</v>
      </c>
      <c r="J159" s="140">
        <v>11421</v>
      </c>
      <c r="K159" s="140" t="s">
        <v>1302</v>
      </c>
      <c r="L159" s="140" t="s">
        <v>623</v>
      </c>
      <c r="M159" s="140" t="s">
        <v>901</v>
      </c>
    </row>
    <row r="160" spans="1:13" ht="15.95" customHeight="1" x14ac:dyDescent="0.25">
      <c r="A160" s="144" t="s">
        <v>1181</v>
      </c>
      <c r="B160" s="140">
        <v>15779</v>
      </c>
      <c r="C160" s="140" t="s">
        <v>1303</v>
      </c>
      <c r="D160" s="140" t="s">
        <v>1304</v>
      </c>
      <c r="E160" s="140" t="s">
        <v>604</v>
      </c>
      <c r="F160" s="140">
        <v>67448</v>
      </c>
      <c r="G160" s="140" t="s">
        <v>1305</v>
      </c>
      <c r="H160" s="140" t="s">
        <v>1306</v>
      </c>
      <c r="I160" s="140" t="s">
        <v>601</v>
      </c>
      <c r="J160" s="140">
        <v>9663</v>
      </c>
      <c r="K160" s="140" t="s">
        <v>1307</v>
      </c>
      <c r="L160" s="140" t="s">
        <v>632</v>
      </c>
      <c r="M160" s="140" t="s">
        <v>901</v>
      </c>
    </row>
    <row r="161" spans="1:13" ht="15.95" customHeight="1" x14ac:dyDescent="0.25">
      <c r="A161" s="144" t="s">
        <v>1184</v>
      </c>
      <c r="B161" s="140">
        <v>69601</v>
      </c>
      <c r="C161" s="140" t="s">
        <v>1308</v>
      </c>
      <c r="D161" s="140" t="s">
        <v>1309</v>
      </c>
      <c r="E161" s="140" t="s">
        <v>1084</v>
      </c>
      <c r="F161" s="140">
        <v>279895</v>
      </c>
      <c r="G161" s="140" t="s">
        <v>1310</v>
      </c>
      <c r="H161" s="140" t="s">
        <v>1311</v>
      </c>
      <c r="I161" s="140" t="s">
        <v>586</v>
      </c>
      <c r="J161" s="140">
        <v>39699</v>
      </c>
      <c r="K161" s="140" t="s">
        <v>1264</v>
      </c>
      <c r="L161" s="140" t="s">
        <v>1312</v>
      </c>
      <c r="M161" s="140" t="s">
        <v>1139</v>
      </c>
    </row>
    <row r="162" spans="1:13" ht="15.95" customHeight="1" x14ac:dyDescent="0.25">
      <c r="A162" s="144" t="s">
        <v>1191</v>
      </c>
      <c r="B162" s="140">
        <v>9290</v>
      </c>
      <c r="C162" s="140" t="s">
        <v>1313</v>
      </c>
      <c r="D162" s="140" t="s">
        <v>578</v>
      </c>
      <c r="E162" s="140" t="s">
        <v>578</v>
      </c>
      <c r="F162" s="140">
        <v>38333</v>
      </c>
      <c r="G162" s="140" t="s">
        <v>1314</v>
      </c>
      <c r="H162" s="140" t="s">
        <v>578</v>
      </c>
      <c r="I162" s="140" t="s">
        <v>578</v>
      </c>
      <c r="J162" s="140">
        <v>6387</v>
      </c>
      <c r="K162" s="140" t="s">
        <v>1315</v>
      </c>
      <c r="L162" s="140" t="s">
        <v>578</v>
      </c>
      <c r="M162" s="140" t="s">
        <v>578</v>
      </c>
    </row>
    <row r="163" spans="1:13" ht="15.95" customHeight="1" x14ac:dyDescent="0.25">
      <c r="A163" s="144" t="s">
        <v>1316</v>
      </c>
    </row>
    <row r="164" spans="1:13" ht="15.95" customHeight="1" x14ac:dyDescent="0.25">
      <c r="A164" s="143" t="s">
        <v>1241</v>
      </c>
      <c r="B164" s="55">
        <f>B144/B$144</f>
        <v>1</v>
      </c>
      <c r="F164" s="55">
        <f>F144/F$144</f>
        <v>1</v>
      </c>
      <c r="J164" s="55">
        <f>J144/J$144</f>
        <v>1</v>
      </c>
    </row>
    <row r="165" spans="1:13" ht="15.95" customHeight="1" x14ac:dyDescent="0.25">
      <c r="A165" s="144" t="s">
        <v>452</v>
      </c>
      <c r="B165" s="55">
        <f t="shared" ref="B165:B173" si="0">B145/B$144</f>
        <v>0.12814229966421636</v>
      </c>
      <c r="F165" s="55">
        <f t="shared" ref="F165:F173" si="1">F145/F$144</f>
        <v>9.9315736379618283E-2</v>
      </c>
      <c r="J165" s="55">
        <f t="shared" ref="J165:J173" si="2">J145/J$144</f>
        <v>0.16062712616476851</v>
      </c>
    </row>
    <row r="166" spans="1:13" ht="15.95" customHeight="1" x14ac:dyDescent="0.25">
      <c r="A166" s="144" t="s">
        <v>454</v>
      </c>
      <c r="B166" s="55">
        <f t="shared" si="0"/>
        <v>9.9283056538705866E-2</v>
      </c>
      <c r="F166" s="55">
        <f t="shared" si="1"/>
        <v>9.1325411757773201E-2</v>
      </c>
      <c r="J166" s="55">
        <f t="shared" si="2"/>
        <v>0.2616899444291842</v>
      </c>
    </row>
    <row r="167" spans="1:13" ht="15.95" customHeight="1" x14ac:dyDescent="0.25">
      <c r="A167" s="144" t="s">
        <v>456</v>
      </c>
      <c r="B167" s="55">
        <f t="shared" si="0"/>
        <v>0.1104966421635357</v>
      </c>
      <c r="F167" s="55">
        <f t="shared" si="1"/>
        <v>0.16115060674554568</v>
      </c>
      <c r="J167" s="55">
        <f t="shared" si="2"/>
        <v>0.36705263380311448</v>
      </c>
    </row>
    <row r="168" spans="1:13" ht="15.95" customHeight="1" x14ac:dyDescent="0.25">
      <c r="A168" s="144" t="s">
        <v>469</v>
      </c>
      <c r="B168" s="55">
        <f t="shared" si="0"/>
        <v>0.16857813776204739</v>
      </c>
      <c r="F168" s="55">
        <f t="shared" si="1"/>
        <v>0.22674282379054264</v>
      </c>
      <c r="J168" s="55">
        <f t="shared" si="2"/>
        <v>0.14961861094090054</v>
      </c>
    </row>
    <row r="169" spans="1:13" ht="15.95" customHeight="1" x14ac:dyDescent="0.25">
      <c r="A169" s="144" t="s">
        <v>470</v>
      </c>
      <c r="B169" s="55">
        <f t="shared" si="0"/>
        <v>0.19663762591886741</v>
      </c>
      <c r="F169" s="55">
        <f t="shared" si="1"/>
        <v>0.18888033033222634</v>
      </c>
      <c r="J169" s="55">
        <f t="shared" si="2"/>
        <v>4.0663891647473957E-2</v>
      </c>
    </row>
    <row r="170" spans="1:13" ht="15.95" customHeight="1" x14ac:dyDescent="0.25">
      <c r="A170" s="144" t="s">
        <v>471</v>
      </c>
      <c r="B170" s="55">
        <f t="shared" si="0"/>
        <v>0.11580565387058717</v>
      </c>
      <c r="F170" s="55">
        <f t="shared" si="1"/>
        <v>0.10762735763682817</v>
      </c>
      <c r="J170" s="55">
        <f t="shared" si="2"/>
        <v>1.0015424599066073E-2</v>
      </c>
    </row>
    <row r="171" spans="1:13" ht="15.95" customHeight="1" x14ac:dyDescent="0.25">
      <c r="A171" s="144" t="s">
        <v>472</v>
      </c>
      <c r="B171" s="55">
        <f t="shared" si="0"/>
        <v>0.18105658408204012</v>
      </c>
      <c r="F171" s="55">
        <f t="shared" si="1"/>
        <v>0.12495773335746566</v>
      </c>
      <c r="J171" s="55">
        <f t="shared" si="2"/>
        <v>1.0332368415492213E-2</v>
      </c>
    </row>
    <row r="172" spans="1:13" ht="15.95" customHeight="1" x14ac:dyDescent="0.25">
      <c r="A172" s="144" t="s">
        <v>1049</v>
      </c>
      <c r="B172" s="55">
        <f t="shared" si="0"/>
        <v>1.1236273709048008E-2</v>
      </c>
      <c r="F172" s="55">
        <f t="shared" si="1"/>
        <v>2.5633578725392397E-3</v>
      </c>
      <c r="J172" s="55">
        <f t="shared" si="2"/>
        <v>1.1568449299554166E-2</v>
      </c>
    </row>
    <row r="173" spans="1:13" ht="15.95" customHeight="1" x14ac:dyDescent="0.25">
      <c r="A173" s="144" t="s">
        <v>1277</v>
      </c>
      <c r="B173" s="55">
        <f t="shared" si="0"/>
        <v>2.0209411017333697E-2</v>
      </c>
      <c r="F173" s="55">
        <f t="shared" si="1"/>
        <v>3.28115419853326E-2</v>
      </c>
      <c r="J173" s="55">
        <f t="shared" si="2"/>
        <v>4.3886153781139733E-2</v>
      </c>
    </row>
  </sheetData>
  <mergeCells count="3">
    <mergeCell ref="B1:E1"/>
    <mergeCell ref="F1:I1"/>
    <mergeCell ref="J1:M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D70A3-A73D-42C6-9007-A532A1CE99C8}">
  <dimension ref="A1:F18"/>
  <sheetViews>
    <sheetView workbookViewId="0">
      <selection activeCell="A12" sqref="A12"/>
    </sheetView>
  </sheetViews>
  <sheetFormatPr defaultRowHeight="15" x14ac:dyDescent="0.25"/>
  <cols>
    <col min="1" max="1" width="33.7109375" customWidth="1"/>
    <col min="2" max="3" width="18.42578125" bestFit="1" customWidth="1"/>
    <col min="4" max="4" width="12.42578125" customWidth="1"/>
    <col min="5" max="5" width="14.85546875" customWidth="1"/>
  </cols>
  <sheetData>
    <row r="1" spans="1:6" ht="35.25" customHeight="1" x14ac:dyDescent="0.25">
      <c r="B1" s="238" t="s">
        <v>1317</v>
      </c>
      <c r="C1" s="238"/>
      <c r="D1" s="238" t="s">
        <v>1318</v>
      </c>
      <c r="E1" s="238"/>
    </row>
    <row r="2" spans="1:6" x14ac:dyDescent="0.25">
      <c r="B2" s="173" t="s">
        <v>1319</v>
      </c>
      <c r="C2" s="174" t="s">
        <v>1320</v>
      </c>
      <c r="D2" s="173" t="s">
        <v>1319</v>
      </c>
      <c r="E2" s="174" t="s">
        <v>1320</v>
      </c>
    </row>
    <row r="3" spans="1:6" x14ac:dyDescent="0.25">
      <c r="A3" t="s">
        <v>315</v>
      </c>
      <c r="B3" s="172">
        <v>-170810</v>
      </c>
      <c r="C3" s="172">
        <v>-203509</v>
      </c>
      <c r="D3" s="171">
        <v>46</v>
      </c>
      <c r="E3" s="171">
        <v>58</v>
      </c>
      <c r="F3" s="65">
        <f>C3-B3</f>
        <v>-32699</v>
      </c>
    </row>
    <row r="4" spans="1:6" x14ac:dyDescent="0.25">
      <c r="A4" t="s">
        <v>1321</v>
      </c>
      <c r="B4" s="65">
        <f>-B3/((100-D3)/100)</f>
        <v>316314.81481481477</v>
      </c>
      <c r="C4" s="65">
        <f>-C3/((100-E3)/100)</f>
        <v>484545.23809523811</v>
      </c>
    </row>
    <row r="5" spans="1:6" x14ac:dyDescent="0.25">
      <c r="A5" t="s">
        <v>1322</v>
      </c>
      <c r="B5" s="65">
        <f>D3/100*B4</f>
        <v>145504.8148148148</v>
      </c>
      <c r="C5" s="65">
        <f>E3/100*C4</f>
        <v>281036.23809523811</v>
      </c>
    </row>
    <row r="6" spans="1:6" x14ac:dyDescent="0.25">
      <c r="A6" t="s">
        <v>1323</v>
      </c>
      <c r="B6" s="39">
        <f>B5/B4</f>
        <v>0.46</v>
      </c>
      <c r="C6" s="39">
        <f>C5/C4</f>
        <v>0.57999999999999996</v>
      </c>
    </row>
    <row r="7" spans="1:6" x14ac:dyDescent="0.25">
      <c r="A7" s="1" t="s">
        <v>1324</v>
      </c>
    </row>
    <row r="8" spans="1:6" x14ac:dyDescent="0.25">
      <c r="A8" t="s">
        <v>1325</v>
      </c>
      <c r="B8" s="65">
        <f>C4-B4</f>
        <v>168230.42328042333</v>
      </c>
    </row>
    <row r="9" spans="1:6" x14ac:dyDescent="0.25">
      <c r="A9" t="s">
        <v>1326</v>
      </c>
      <c r="B9" s="65">
        <f>C5-B5</f>
        <v>135531.4232804233</v>
      </c>
    </row>
    <row r="10" spans="1:6" x14ac:dyDescent="0.25">
      <c r="A10" t="s">
        <v>1327</v>
      </c>
      <c r="B10" s="65">
        <f>B9-B8</f>
        <v>-32699.000000000029</v>
      </c>
    </row>
    <row r="11" spans="1:6" x14ac:dyDescent="0.25">
      <c r="A11" t="s">
        <v>1328</v>
      </c>
      <c r="B11" s="39">
        <f>B9/B8</f>
        <v>0.80562968717320493</v>
      </c>
    </row>
    <row r="12" spans="1:6" x14ac:dyDescent="0.25">
      <c r="A12" s="1" t="s">
        <v>1329</v>
      </c>
    </row>
    <row r="13" spans="1:6" x14ac:dyDescent="0.25">
      <c r="B13" s="65" t="s">
        <v>1319</v>
      </c>
      <c r="C13" t="s">
        <v>1330</v>
      </c>
      <c r="D13" t="s">
        <v>1331</v>
      </c>
    </row>
    <row r="14" spans="1:6" x14ac:dyDescent="0.25">
      <c r="A14" t="s">
        <v>1332</v>
      </c>
      <c r="B14" s="65">
        <v>316201</v>
      </c>
      <c r="C14" s="65">
        <f>B8</f>
        <v>168230.42328042333</v>
      </c>
      <c r="D14" s="65">
        <f>+C4</f>
        <v>484545.23809523811</v>
      </c>
    </row>
    <row r="15" spans="1:6" x14ac:dyDescent="0.25">
      <c r="A15" t="s">
        <v>1333</v>
      </c>
      <c r="B15" s="65">
        <f>+B14-170810</f>
        <v>145391</v>
      </c>
      <c r="C15" s="65">
        <f>C5</f>
        <v>281036.23809523811</v>
      </c>
      <c r="D15" s="65">
        <f>C5</f>
        <v>281036.23809523811</v>
      </c>
    </row>
    <row r="16" spans="1:6" x14ac:dyDescent="0.25">
      <c r="A16" t="s">
        <v>1334</v>
      </c>
      <c r="B16" s="39">
        <f>B15/B14</f>
        <v>0.45980562996321961</v>
      </c>
      <c r="C16" s="39">
        <f>C15/C14</f>
        <v>1.6705434880038239</v>
      </c>
      <c r="D16" s="39">
        <f>D15/D14</f>
        <v>0.57999999999999996</v>
      </c>
    </row>
    <row r="17" spans="1:4" x14ac:dyDescent="0.25">
      <c r="A17" t="s">
        <v>1335</v>
      </c>
      <c r="B17" s="65">
        <f>B15</f>
        <v>145391</v>
      </c>
      <c r="C17" s="65">
        <f>D17-B17</f>
        <v>135645.23809523811</v>
      </c>
      <c r="D17" s="65">
        <f>C5</f>
        <v>281036.23809523811</v>
      </c>
    </row>
    <row r="18" spans="1:4" x14ac:dyDescent="0.25">
      <c r="B18" s="39">
        <f>B17/B14</f>
        <v>0.45980562996321961</v>
      </c>
      <c r="C18" s="39">
        <f>C17/C14</f>
        <v>0.80630622838730559</v>
      </c>
      <c r="D18" s="39">
        <f>D17/D14</f>
        <v>0.57999999999999996</v>
      </c>
    </row>
  </sheetData>
  <mergeCells count="2">
    <mergeCell ref="B1:C1"/>
    <mergeCell ref="D1:E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7F857-BB51-4455-8F05-7E897CFBF814}">
  <dimension ref="A1:N76"/>
  <sheetViews>
    <sheetView topLeftCell="A10" workbookViewId="0">
      <selection activeCell="K10" sqref="K10"/>
    </sheetView>
  </sheetViews>
  <sheetFormatPr defaultRowHeight="15.95" customHeight="1" x14ac:dyDescent="0.25"/>
  <cols>
    <col min="1" max="1" width="35.5703125" style="25" customWidth="1"/>
    <col min="2" max="8" width="24.140625" style="24" customWidth="1"/>
  </cols>
  <sheetData>
    <row r="1" spans="1:8" ht="15.95" customHeight="1" x14ac:dyDescent="0.25">
      <c r="A1" s="47" t="s">
        <v>133</v>
      </c>
    </row>
    <row r="2" spans="1:8" ht="15.95" customHeight="1" x14ac:dyDescent="0.25">
      <c r="A2" s="7" t="s">
        <v>134</v>
      </c>
      <c r="B2" s="8">
        <v>45291</v>
      </c>
      <c r="C2" s="8">
        <v>45291</v>
      </c>
      <c r="D2" s="8">
        <v>45291</v>
      </c>
      <c r="E2" s="8">
        <v>45291</v>
      </c>
      <c r="F2" s="8">
        <v>45291</v>
      </c>
      <c r="G2" s="8">
        <v>45291</v>
      </c>
      <c r="H2" s="8">
        <v>45291</v>
      </c>
    </row>
    <row r="3" spans="1:8" ht="15.95" customHeight="1" x14ac:dyDescent="0.25">
      <c r="A3" s="7" t="s">
        <v>135</v>
      </c>
      <c r="B3" s="9" t="s">
        <v>136</v>
      </c>
      <c r="C3" s="9" t="s">
        <v>136</v>
      </c>
      <c r="D3" s="9" t="s">
        <v>136</v>
      </c>
      <c r="E3" s="9" t="s">
        <v>136</v>
      </c>
      <c r="F3" s="9" t="s">
        <v>136</v>
      </c>
      <c r="G3" s="9" t="s">
        <v>136</v>
      </c>
      <c r="H3" s="9" t="s">
        <v>136</v>
      </c>
    </row>
    <row r="4" spans="1:8" ht="15.95" customHeight="1" x14ac:dyDescent="0.25">
      <c r="A4" s="7" t="s">
        <v>137</v>
      </c>
      <c r="B4" s="9" t="s">
        <v>138</v>
      </c>
      <c r="C4" s="9" t="s">
        <v>138</v>
      </c>
      <c r="D4" s="9" t="s">
        <v>138</v>
      </c>
      <c r="E4" s="9" t="s">
        <v>138</v>
      </c>
      <c r="F4" s="9" t="s">
        <v>138</v>
      </c>
      <c r="G4" s="9" t="s">
        <v>138</v>
      </c>
      <c r="H4" s="9" t="s">
        <v>138</v>
      </c>
    </row>
    <row r="5" spans="1:8" ht="15.95" customHeight="1" x14ac:dyDescent="0.25">
      <c r="A5" s="7" t="s">
        <v>139</v>
      </c>
      <c r="B5" s="10"/>
      <c r="C5" s="10"/>
      <c r="D5" s="10"/>
      <c r="E5" s="10"/>
      <c r="F5" s="10"/>
      <c r="G5" s="10"/>
      <c r="H5" s="10"/>
    </row>
    <row r="6" spans="1:8" ht="15.95" customHeight="1" x14ac:dyDescent="0.25">
      <c r="A6" s="7" t="s">
        <v>140</v>
      </c>
      <c r="B6" s="9">
        <v>3</v>
      </c>
      <c r="C6" s="9">
        <v>3</v>
      </c>
      <c r="D6" s="9">
        <v>3</v>
      </c>
      <c r="E6" s="9">
        <v>3</v>
      </c>
      <c r="F6" s="9">
        <v>3</v>
      </c>
      <c r="G6" s="9">
        <v>3</v>
      </c>
      <c r="H6" s="9">
        <v>3</v>
      </c>
    </row>
    <row r="7" spans="1:8" ht="15.95" customHeight="1" x14ac:dyDescent="0.25">
      <c r="A7" s="11" t="s">
        <v>141</v>
      </c>
      <c r="B7" s="12" t="s">
        <v>97</v>
      </c>
      <c r="C7" s="12" t="s">
        <v>98</v>
      </c>
      <c r="D7" s="12" t="s">
        <v>99</v>
      </c>
      <c r="E7" s="12" t="s">
        <v>101</v>
      </c>
      <c r="F7" s="12" t="s">
        <v>104</v>
      </c>
      <c r="G7" s="12" t="s">
        <v>106</v>
      </c>
      <c r="H7" s="12" t="s">
        <v>108</v>
      </c>
    </row>
    <row r="8" spans="1:8" ht="15.95" customHeight="1" x14ac:dyDescent="0.25">
      <c r="A8" s="7" t="s">
        <v>142</v>
      </c>
      <c r="B8" s="13">
        <v>1</v>
      </c>
      <c r="C8" s="13">
        <v>2</v>
      </c>
      <c r="D8" s="13">
        <v>3</v>
      </c>
      <c r="E8" s="13">
        <v>4</v>
      </c>
      <c r="F8" s="13">
        <v>5</v>
      </c>
      <c r="G8" s="13">
        <v>8</v>
      </c>
      <c r="H8" s="13">
        <v>9</v>
      </c>
    </row>
    <row r="9" spans="1:8" ht="15.95" customHeight="1" x14ac:dyDescent="0.25">
      <c r="A9" s="7" t="s">
        <v>143</v>
      </c>
      <c r="B9" s="9" t="s">
        <v>144</v>
      </c>
      <c r="C9" s="9" t="s">
        <v>144</v>
      </c>
      <c r="D9" s="9" t="s">
        <v>144</v>
      </c>
      <c r="E9" s="9" t="s">
        <v>144</v>
      </c>
      <c r="F9" s="9" t="s">
        <v>144</v>
      </c>
      <c r="G9" s="9" t="s">
        <v>144</v>
      </c>
      <c r="H9" s="9" t="s">
        <v>144</v>
      </c>
    </row>
    <row r="10" spans="1:8" ht="15.95" customHeight="1" x14ac:dyDescent="0.25">
      <c r="A10" s="7" t="s">
        <v>145</v>
      </c>
      <c r="B10" s="14" t="s">
        <v>138</v>
      </c>
      <c r="C10" s="14" t="s">
        <v>138</v>
      </c>
      <c r="D10" s="14" t="s">
        <v>138</v>
      </c>
      <c r="E10" s="14" t="s">
        <v>138</v>
      </c>
      <c r="F10" s="14" t="s">
        <v>138</v>
      </c>
      <c r="G10" s="14" t="s">
        <v>138</v>
      </c>
      <c r="H10" s="14" t="s">
        <v>138</v>
      </c>
    </row>
    <row r="11" spans="1:8" ht="15.95" customHeight="1" x14ac:dyDescent="0.25">
      <c r="A11" s="7" t="s">
        <v>146</v>
      </c>
      <c r="B11" s="14" t="s">
        <v>147</v>
      </c>
      <c r="C11" s="14" t="s">
        <v>147</v>
      </c>
      <c r="D11" s="14" t="s">
        <v>147</v>
      </c>
      <c r="E11" s="14" t="s">
        <v>147</v>
      </c>
      <c r="F11" s="14" t="s">
        <v>147</v>
      </c>
      <c r="G11" s="14" t="s">
        <v>147</v>
      </c>
      <c r="H11" s="14" t="s">
        <v>147</v>
      </c>
    </row>
    <row r="12" spans="1:8" ht="15.95" customHeight="1" x14ac:dyDescent="0.25">
      <c r="A12" s="15" t="s">
        <v>89</v>
      </c>
      <c r="B12" s="16">
        <v>195262</v>
      </c>
      <c r="C12" s="16">
        <v>29957</v>
      </c>
      <c r="D12" s="16">
        <v>99530</v>
      </c>
      <c r="E12" s="16">
        <v>1662</v>
      </c>
      <c r="F12" s="16">
        <v>59394</v>
      </c>
      <c r="G12" s="16">
        <v>3752</v>
      </c>
      <c r="H12" s="16">
        <v>967</v>
      </c>
    </row>
    <row r="13" spans="1:8" ht="15.95" customHeight="1" x14ac:dyDescent="0.25">
      <c r="A13" s="7" t="s">
        <v>90</v>
      </c>
      <c r="B13" s="17">
        <v>93</v>
      </c>
      <c r="C13" s="17">
        <v>96</v>
      </c>
      <c r="D13" s="17">
        <v>91</v>
      </c>
      <c r="E13" s="17">
        <v>102</v>
      </c>
      <c r="F13" s="17">
        <v>94</v>
      </c>
      <c r="G13" s="17">
        <v>98</v>
      </c>
      <c r="H13" s="17">
        <v>93</v>
      </c>
    </row>
    <row r="14" spans="1:8" ht="15.95" customHeight="1" x14ac:dyDescent="0.25">
      <c r="A14" s="7" t="s">
        <v>91</v>
      </c>
      <c r="B14" s="17">
        <v>185291</v>
      </c>
      <c r="C14" s="17">
        <v>28500</v>
      </c>
      <c r="D14" s="17">
        <v>94811</v>
      </c>
      <c r="E14" s="17">
        <v>1666</v>
      </c>
      <c r="F14" s="17">
        <v>55695</v>
      </c>
      <c r="G14" s="17">
        <v>3709</v>
      </c>
      <c r="H14" s="17">
        <v>910</v>
      </c>
    </row>
    <row r="15" spans="1:8" ht="15.95" customHeight="1" x14ac:dyDescent="0.25">
      <c r="A15" s="7" t="s">
        <v>148</v>
      </c>
      <c r="B15" s="17">
        <v>100</v>
      </c>
      <c r="C15" s="17">
        <v>99</v>
      </c>
      <c r="D15" s="17">
        <v>100</v>
      </c>
      <c r="E15" s="17">
        <v>98</v>
      </c>
      <c r="F15" s="17">
        <v>100</v>
      </c>
      <c r="G15" s="17">
        <v>100</v>
      </c>
      <c r="H15" s="17">
        <v>100</v>
      </c>
    </row>
    <row r="16" spans="1:8" ht="15.95" customHeight="1" x14ac:dyDescent="0.25">
      <c r="A16" s="7" t="s">
        <v>149</v>
      </c>
      <c r="B16" s="17">
        <v>7</v>
      </c>
      <c r="C16" s="17">
        <v>7</v>
      </c>
      <c r="D16" s="17">
        <v>7</v>
      </c>
      <c r="E16" s="17">
        <v>6</v>
      </c>
      <c r="F16" s="17">
        <v>7</v>
      </c>
      <c r="G16" s="17">
        <v>6</v>
      </c>
      <c r="H16" s="17">
        <v>7</v>
      </c>
    </row>
    <row r="17" spans="1:8" ht="15.95" customHeight="1" x14ac:dyDescent="0.25">
      <c r="A17" s="18" t="s">
        <v>95</v>
      </c>
      <c r="B17" s="19">
        <v>7</v>
      </c>
      <c r="C17" s="19">
        <v>7</v>
      </c>
      <c r="D17" s="19">
        <v>7</v>
      </c>
      <c r="E17" s="19">
        <v>13</v>
      </c>
      <c r="F17" s="19">
        <v>7</v>
      </c>
      <c r="G17" s="19">
        <v>9</v>
      </c>
      <c r="H17" s="19">
        <v>11</v>
      </c>
    </row>
    <row r="18" spans="1:8" ht="15.95" customHeight="1" x14ac:dyDescent="0.25">
      <c r="A18" s="7" t="s">
        <v>150</v>
      </c>
      <c r="B18" s="20">
        <v>1.9</v>
      </c>
      <c r="C18" s="20">
        <v>1.8</v>
      </c>
      <c r="D18" s="20">
        <v>2.1</v>
      </c>
      <c r="E18" s="20">
        <v>1.5</v>
      </c>
      <c r="F18" s="20">
        <v>1.6</v>
      </c>
      <c r="G18" s="20">
        <v>1.1000000000000001</v>
      </c>
      <c r="H18" s="20">
        <v>1</v>
      </c>
    </row>
    <row r="19" spans="1:8" ht="15.95" customHeight="1" x14ac:dyDescent="0.25">
      <c r="A19" s="7" t="s">
        <v>151</v>
      </c>
      <c r="B19" s="17">
        <v>343426</v>
      </c>
      <c r="C19" s="17">
        <v>52239</v>
      </c>
      <c r="D19" s="17">
        <v>194655</v>
      </c>
      <c r="E19" s="17">
        <v>2577</v>
      </c>
      <c r="F19" s="17">
        <v>88935</v>
      </c>
      <c r="G19" s="17">
        <v>4092</v>
      </c>
      <c r="H19" s="17">
        <v>928</v>
      </c>
    </row>
    <row r="20" spans="1:8" ht="15.95" customHeight="1" x14ac:dyDescent="0.25">
      <c r="A20" s="7" t="s">
        <v>152</v>
      </c>
      <c r="B20" s="17">
        <v>507</v>
      </c>
      <c r="C20" s="17">
        <v>511</v>
      </c>
      <c r="D20" s="17">
        <v>518</v>
      </c>
      <c r="E20" s="17">
        <v>369</v>
      </c>
      <c r="F20" s="17">
        <v>498</v>
      </c>
      <c r="G20" s="17">
        <v>437</v>
      </c>
      <c r="H20" s="17">
        <v>360</v>
      </c>
    </row>
    <row r="21" spans="1:8" ht="15.95" customHeight="1" x14ac:dyDescent="0.25">
      <c r="A21" s="7" t="s">
        <v>153</v>
      </c>
      <c r="B21" s="17">
        <v>1463</v>
      </c>
      <c r="C21" s="17">
        <v>980</v>
      </c>
      <c r="D21" s="17">
        <v>1476</v>
      </c>
      <c r="E21" s="17">
        <v>735</v>
      </c>
      <c r="F21" s="17">
        <v>1776</v>
      </c>
      <c r="G21" s="17">
        <v>688</v>
      </c>
      <c r="H21" s="17">
        <v>713</v>
      </c>
    </row>
    <row r="22" spans="1:8" ht="15.95" customHeight="1" x14ac:dyDescent="0.25">
      <c r="A22" s="21" t="s">
        <v>154</v>
      </c>
      <c r="B22" s="22">
        <f t="shared" ref="B22:H22" si="0">B12*B13/100*B21*12</f>
        <v>3188058294.96</v>
      </c>
      <c r="C22" s="22">
        <f t="shared" si="0"/>
        <v>338202547.20000005</v>
      </c>
      <c r="D22" s="22">
        <f t="shared" si="0"/>
        <v>1604216577.5999999</v>
      </c>
      <c r="E22" s="22">
        <f t="shared" si="0"/>
        <v>14952016.799999999</v>
      </c>
      <c r="F22" s="22">
        <f t="shared" si="0"/>
        <v>1189856632.3199999</v>
      </c>
      <c r="G22" s="22">
        <f t="shared" si="0"/>
        <v>30356981.759999998</v>
      </c>
      <c r="H22" s="22">
        <f t="shared" si="0"/>
        <v>7694496.3599999994</v>
      </c>
    </row>
    <row r="23" spans="1:8" ht="15.95" customHeight="1" x14ac:dyDescent="0.25">
      <c r="A23" s="7" t="s">
        <v>155</v>
      </c>
      <c r="B23" s="17">
        <v>21725</v>
      </c>
      <c r="C23" s="17">
        <v>22522</v>
      </c>
      <c r="D23" s="17">
        <v>22130</v>
      </c>
      <c r="E23" s="17">
        <v>15599</v>
      </c>
      <c r="F23" s="17">
        <v>21077</v>
      </c>
      <c r="G23" s="17">
        <v>19391</v>
      </c>
      <c r="H23" s="17">
        <v>15006</v>
      </c>
    </row>
    <row r="24" spans="1:8" ht="15.95" customHeight="1" x14ac:dyDescent="0.25">
      <c r="A24" s="7" t="s">
        <v>156</v>
      </c>
      <c r="B24" s="17">
        <v>11722</v>
      </c>
      <c r="C24" s="17">
        <v>12287</v>
      </c>
      <c r="D24" s="17">
        <v>10779</v>
      </c>
      <c r="E24" s="17">
        <v>10085</v>
      </c>
      <c r="F24" s="17">
        <v>13199</v>
      </c>
      <c r="G24" s="17">
        <v>17576</v>
      </c>
      <c r="H24" s="17">
        <v>14715</v>
      </c>
    </row>
    <row r="25" spans="1:8" ht="15.95" customHeight="1" x14ac:dyDescent="0.25">
      <c r="A25" s="7" t="s">
        <v>157</v>
      </c>
      <c r="B25" s="17">
        <v>4</v>
      </c>
      <c r="C25" s="17">
        <v>4</v>
      </c>
      <c r="D25" s="17">
        <v>4</v>
      </c>
      <c r="E25" s="17">
        <v>8</v>
      </c>
      <c r="F25" s="17">
        <v>4</v>
      </c>
      <c r="G25" s="17">
        <v>3</v>
      </c>
      <c r="H25" s="17">
        <v>1</v>
      </c>
    </row>
    <row r="26" spans="1:8" ht="15.95" customHeight="1" x14ac:dyDescent="0.25">
      <c r="A26" s="7" t="s">
        <v>158</v>
      </c>
      <c r="B26" s="17">
        <v>7</v>
      </c>
      <c r="C26" s="17">
        <v>7</v>
      </c>
      <c r="D26" s="17">
        <v>8</v>
      </c>
      <c r="E26" s="17">
        <v>7</v>
      </c>
      <c r="F26" s="17">
        <v>6</v>
      </c>
      <c r="G26" s="17">
        <v>4</v>
      </c>
      <c r="H26" s="17">
        <v>6</v>
      </c>
    </row>
    <row r="27" spans="1:8" ht="15.95" customHeight="1" x14ac:dyDescent="0.25">
      <c r="A27" s="7" t="s">
        <v>159</v>
      </c>
      <c r="B27" s="17">
        <v>34</v>
      </c>
      <c r="C27" s="17">
        <v>36</v>
      </c>
      <c r="D27" s="17">
        <v>33</v>
      </c>
      <c r="E27" s="17">
        <v>45</v>
      </c>
      <c r="F27" s="17">
        <v>35</v>
      </c>
      <c r="G27" s="17">
        <v>34</v>
      </c>
      <c r="H27" s="17">
        <v>53</v>
      </c>
    </row>
    <row r="28" spans="1:8" ht="15.95" customHeight="1" x14ac:dyDescent="0.25">
      <c r="A28" s="7" t="s">
        <v>160</v>
      </c>
      <c r="B28" s="17">
        <v>15</v>
      </c>
      <c r="C28" s="17">
        <v>15</v>
      </c>
      <c r="D28" s="17">
        <v>15</v>
      </c>
      <c r="E28" s="17">
        <v>14</v>
      </c>
      <c r="F28" s="17">
        <v>16</v>
      </c>
      <c r="G28" s="17">
        <v>20</v>
      </c>
      <c r="H28" s="17">
        <v>22</v>
      </c>
    </row>
    <row r="29" spans="1:8" ht="15.95" customHeight="1" x14ac:dyDescent="0.25">
      <c r="A29" s="7" t="s">
        <v>161</v>
      </c>
      <c r="B29" s="17">
        <v>40</v>
      </c>
      <c r="C29" s="17">
        <v>39</v>
      </c>
      <c r="D29" s="17">
        <v>41</v>
      </c>
      <c r="E29" s="17">
        <v>26</v>
      </c>
      <c r="F29" s="17">
        <v>39</v>
      </c>
      <c r="G29" s="17">
        <v>38</v>
      </c>
      <c r="H29" s="17">
        <v>18</v>
      </c>
    </row>
    <row r="30" spans="1:8" ht="15.95" customHeight="1" x14ac:dyDescent="0.25">
      <c r="A30" s="7" t="s">
        <v>162</v>
      </c>
      <c r="B30" s="17">
        <v>26</v>
      </c>
      <c r="C30" s="17">
        <v>26</v>
      </c>
      <c r="D30" s="17">
        <v>30</v>
      </c>
      <c r="E30" s="17">
        <v>20</v>
      </c>
      <c r="F30" s="17">
        <v>21</v>
      </c>
      <c r="G30" s="17">
        <v>3</v>
      </c>
      <c r="H30" s="17">
        <v>6</v>
      </c>
    </row>
    <row r="31" spans="1:8" ht="15.95" customHeight="1" x14ac:dyDescent="0.25">
      <c r="A31" s="7" t="s">
        <v>163</v>
      </c>
      <c r="B31" s="17">
        <v>6</v>
      </c>
      <c r="C31" s="17">
        <v>5</v>
      </c>
      <c r="D31" s="17">
        <v>7</v>
      </c>
      <c r="E31" s="17">
        <v>8</v>
      </c>
      <c r="F31" s="17">
        <v>4</v>
      </c>
      <c r="G31" s="17">
        <v>2</v>
      </c>
      <c r="H31" s="17">
        <v>1</v>
      </c>
    </row>
    <row r="32" spans="1:8" ht="15.95" customHeight="1" x14ac:dyDescent="0.25">
      <c r="A32" s="7" t="s">
        <v>164</v>
      </c>
      <c r="B32" s="17">
        <v>65</v>
      </c>
      <c r="C32" s="17">
        <v>66</v>
      </c>
      <c r="D32" s="17">
        <v>59</v>
      </c>
      <c r="E32" s="17">
        <v>61</v>
      </c>
      <c r="F32" s="17">
        <v>73</v>
      </c>
      <c r="G32" s="17">
        <v>95</v>
      </c>
      <c r="H32" s="17">
        <v>90</v>
      </c>
    </row>
    <row r="33" spans="1:14" ht="15.95" customHeight="1" x14ac:dyDescent="0.25">
      <c r="A33" s="7" t="s">
        <v>165</v>
      </c>
      <c r="B33" s="17">
        <v>21</v>
      </c>
      <c r="C33" s="17">
        <v>23</v>
      </c>
      <c r="D33" s="17">
        <v>21</v>
      </c>
      <c r="E33" s="17">
        <v>18</v>
      </c>
      <c r="F33" s="17">
        <v>21</v>
      </c>
      <c r="G33" s="17">
        <v>21</v>
      </c>
      <c r="H33" s="17">
        <v>17</v>
      </c>
    </row>
    <row r="34" spans="1:14" ht="15.95" customHeight="1" x14ac:dyDescent="0.25">
      <c r="A34" s="7" t="s">
        <v>93</v>
      </c>
      <c r="B34" s="17">
        <v>95</v>
      </c>
      <c r="C34" s="17">
        <v>93</v>
      </c>
      <c r="D34" s="17">
        <v>94</v>
      </c>
      <c r="E34" s="17">
        <v>97</v>
      </c>
      <c r="F34" s="17">
        <v>95</v>
      </c>
      <c r="G34" s="17">
        <v>99</v>
      </c>
      <c r="H34" s="17">
        <v>99</v>
      </c>
    </row>
    <row r="35" spans="1:14" ht="15.95" customHeight="1" x14ac:dyDescent="0.25">
      <c r="A35" s="7" t="s">
        <v>92</v>
      </c>
      <c r="B35" s="17">
        <v>79</v>
      </c>
      <c r="C35" s="17">
        <v>78</v>
      </c>
      <c r="D35" s="17">
        <v>78</v>
      </c>
      <c r="E35" s="17">
        <v>87</v>
      </c>
      <c r="F35" s="17">
        <v>79</v>
      </c>
      <c r="G35" s="17">
        <v>80</v>
      </c>
      <c r="H35" s="17">
        <v>94</v>
      </c>
      <c r="I35">
        <v>0.78</v>
      </c>
    </row>
    <row r="36" spans="1:14" ht="15.95" customHeight="1" x14ac:dyDescent="0.25">
      <c r="A36" s="7" t="s">
        <v>166</v>
      </c>
      <c r="B36" s="17">
        <v>3</v>
      </c>
      <c r="C36" s="17">
        <v>3</v>
      </c>
      <c r="D36" s="17">
        <v>3</v>
      </c>
      <c r="E36" s="17">
        <v>1</v>
      </c>
      <c r="F36" s="17">
        <v>3</v>
      </c>
      <c r="G36" s="23">
        <v>-1</v>
      </c>
      <c r="H36" s="23">
        <v>-1</v>
      </c>
      <c r="I36">
        <v>0.87</v>
      </c>
    </row>
    <row r="37" spans="1:14" ht="15.95" customHeight="1" x14ac:dyDescent="0.25">
      <c r="A37" s="7" t="s">
        <v>167</v>
      </c>
      <c r="B37" s="17">
        <v>25</v>
      </c>
      <c r="C37" s="17">
        <v>21</v>
      </c>
      <c r="D37" s="17">
        <v>32</v>
      </c>
      <c r="E37" s="17">
        <v>21</v>
      </c>
      <c r="F37" s="17">
        <v>16</v>
      </c>
      <c r="G37" s="23">
        <v>-1</v>
      </c>
      <c r="H37" s="17">
        <v>0</v>
      </c>
      <c r="I37">
        <v>0.79</v>
      </c>
    </row>
    <row r="38" spans="1:14" ht="15.95" customHeight="1" x14ac:dyDescent="0.25">
      <c r="A38" s="7" t="s">
        <v>168</v>
      </c>
      <c r="B38" s="17">
        <v>72</v>
      </c>
      <c r="C38" s="17">
        <v>66</v>
      </c>
      <c r="D38" s="17">
        <v>78</v>
      </c>
      <c r="E38" s="17">
        <v>52</v>
      </c>
      <c r="F38" s="17">
        <v>67</v>
      </c>
      <c r="G38" s="17">
        <v>68</v>
      </c>
      <c r="H38" s="17">
        <v>36</v>
      </c>
      <c r="I38">
        <v>0.8</v>
      </c>
    </row>
    <row r="39" spans="1:14" ht="15.95" customHeight="1" x14ac:dyDescent="0.25">
      <c r="A39" s="7" t="s">
        <v>169</v>
      </c>
      <c r="B39" s="17">
        <v>25</v>
      </c>
      <c r="C39" s="17">
        <v>22</v>
      </c>
      <c r="D39" s="17">
        <v>32</v>
      </c>
      <c r="E39" s="17">
        <v>21</v>
      </c>
      <c r="F39" s="17">
        <v>16</v>
      </c>
      <c r="G39" s="23">
        <v>-1</v>
      </c>
      <c r="H39" s="17">
        <v>0</v>
      </c>
      <c r="I39">
        <v>0.94</v>
      </c>
    </row>
    <row r="40" spans="1:14" ht="15.95" customHeight="1" x14ac:dyDescent="0.25">
      <c r="A40" s="7" t="s">
        <v>170</v>
      </c>
      <c r="B40" s="168">
        <v>40</v>
      </c>
      <c r="C40" s="17">
        <v>42</v>
      </c>
      <c r="D40" s="17">
        <v>42</v>
      </c>
      <c r="E40" s="17">
        <v>46</v>
      </c>
      <c r="F40" s="17">
        <v>34</v>
      </c>
      <c r="G40" s="17">
        <v>43</v>
      </c>
      <c r="H40" s="17">
        <v>100</v>
      </c>
    </row>
    <row r="41" spans="1:14" ht="15.95" customHeight="1" x14ac:dyDescent="0.25">
      <c r="A41" s="7" t="s">
        <v>171</v>
      </c>
      <c r="B41" s="17">
        <v>45</v>
      </c>
      <c r="C41" s="17">
        <v>55</v>
      </c>
      <c r="D41" s="17">
        <v>66</v>
      </c>
      <c r="E41" s="17">
        <v>66</v>
      </c>
      <c r="F41" s="17">
        <v>26</v>
      </c>
      <c r="G41" s="17">
        <v>7</v>
      </c>
      <c r="H41" s="17">
        <v>100</v>
      </c>
    </row>
    <row r="42" spans="1:14" ht="15.95" customHeight="1" x14ac:dyDescent="0.25">
      <c r="A42" s="7" t="s">
        <v>172</v>
      </c>
      <c r="B42" s="17">
        <v>28</v>
      </c>
      <c r="C42" s="17">
        <v>31</v>
      </c>
      <c r="D42" s="17">
        <v>30</v>
      </c>
      <c r="E42" s="17">
        <v>37</v>
      </c>
      <c r="F42" s="17">
        <v>20</v>
      </c>
      <c r="G42" s="17">
        <v>7</v>
      </c>
      <c r="H42" s="17">
        <v>99</v>
      </c>
    </row>
    <row r="43" spans="1:14" ht="15.95" customHeight="1" x14ac:dyDescent="0.25">
      <c r="A43" s="7" t="s">
        <v>173</v>
      </c>
      <c r="B43" s="17">
        <v>1</v>
      </c>
      <c r="C43" s="17">
        <v>1</v>
      </c>
      <c r="D43" s="17">
        <v>1</v>
      </c>
      <c r="E43" s="17">
        <v>2</v>
      </c>
      <c r="F43" s="17">
        <v>1</v>
      </c>
      <c r="G43" s="17">
        <v>0</v>
      </c>
      <c r="H43" s="17">
        <v>4</v>
      </c>
      <c r="J43" s="169" t="s">
        <v>174</v>
      </c>
      <c r="K43" s="169"/>
      <c r="L43" s="169"/>
      <c r="M43" s="169"/>
      <c r="N43" s="169">
        <f>B46+(1-B46/100)*B40</f>
        <v>67.599999999999994</v>
      </c>
    </row>
    <row r="44" spans="1:14" ht="15.95" customHeight="1" x14ac:dyDescent="0.25">
      <c r="A44" s="7" t="s">
        <v>175</v>
      </c>
      <c r="B44" s="17">
        <v>33</v>
      </c>
      <c r="C44" s="17">
        <v>29</v>
      </c>
      <c r="D44" s="17">
        <v>42</v>
      </c>
      <c r="E44" s="17">
        <v>41</v>
      </c>
      <c r="F44" s="17">
        <v>23</v>
      </c>
      <c r="G44" s="17">
        <v>0</v>
      </c>
      <c r="H44" s="17">
        <v>37</v>
      </c>
    </row>
    <row r="45" spans="1:14" ht="15.95" customHeight="1" x14ac:dyDescent="0.25">
      <c r="A45" s="7" t="s">
        <v>176</v>
      </c>
      <c r="B45" s="17">
        <v>20</v>
      </c>
      <c r="C45" s="17">
        <v>19</v>
      </c>
      <c r="D45" s="17">
        <v>24</v>
      </c>
      <c r="E45" s="17">
        <v>26</v>
      </c>
      <c r="F45" s="17">
        <v>14</v>
      </c>
      <c r="G45" s="17">
        <v>0</v>
      </c>
      <c r="H45" s="17">
        <v>29</v>
      </c>
    </row>
    <row r="46" spans="1:14" ht="15.95" customHeight="1" x14ac:dyDescent="0.25">
      <c r="A46" s="7" t="s">
        <v>177</v>
      </c>
      <c r="B46" s="168">
        <v>46</v>
      </c>
      <c r="C46" s="17">
        <v>50</v>
      </c>
      <c r="D46" s="17">
        <v>33</v>
      </c>
      <c r="E46" s="17">
        <v>30</v>
      </c>
      <c r="F46" s="17">
        <v>62</v>
      </c>
      <c r="G46" s="17">
        <v>100</v>
      </c>
      <c r="H46" s="17">
        <v>31</v>
      </c>
    </row>
    <row r="47" spans="1:14" ht="15.95" customHeight="1" x14ac:dyDescent="0.25">
      <c r="A47" s="7" t="s">
        <v>178</v>
      </c>
      <c r="B47" s="17">
        <v>5</v>
      </c>
      <c r="C47" s="17">
        <v>5</v>
      </c>
      <c r="D47" s="17">
        <v>2</v>
      </c>
      <c r="E47" s="17">
        <v>1</v>
      </c>
      <c r="F47" s="17">
        <v>10</v>
      </c>
      <c r="G47" s="17">
        <v>22</v>
      </c>
      <c r="H47" s="17">
        <v>1</v>
      </c>
    </row>
    <row r="48" spans="1:14" ht="15.95" customHeight="1" x14ac:dyDescent="0.25">
      <c r="A48" s="7" t="s">
        <v>179</v>
      </c>
      <c r="B48" s="17">
        <v>58</v>
      </c>
      <c r="C48" s="17">
        <v>65</v>
      </c>
      <c r="D48" s="17">
        <v>59</v>
      </c>
      <c r="E48" s="17">
        <v>60</v>
      </c>
      <c r="F48" s="17">
        <v>55</v>
      </c>
      <c r="G48" s="17">
        <v>33</v>
      </c>
      <c r="H48" s="17">
        <v>22</v>
      </c>
    </row>
    <row r="49" spans="1:8" ht="15.95" customHeight="1" x14ac:dyDescent="0.25">
      <c r="A49" s="7" t="s">
        <v>180</v>
      </c>
      <c r="B49" s="17">
        <v>20</v>
      </c>
      <c r="C49" s="17">
        <v>19</v>
      </c>
      <c r="D49" s="17">
        <v>24</v>
      </c>
      <c r="E49" s="17">
        <v>18</v>
      </c>
      <c r="F49" s="17">
        <v>16</v>
      </c>
      <c r="G49" s="17">
        <v>12</v>
      </c>
      <c r="H49" s="17">
        <v>12</v>
      </c>
    </row>
    <row r="50" spans="1:8" ht="15.95" customHeight="1" x14ac:dyDescent="0.25">
      <c r="A50" s="7" t="s">
        <v>181</v>
      </c>
      <c r="B50" s="17">
        <v>0</v>
      </c>
      <c r="C50" s="17">
        <v>0</v>
      </c>
      <c r="D50" s="17">
        <v>0</v>
      </c>
      <c r="E50" s="17">
        <v>0</v>
      </c>
      <c r="F50" s="17">
        <v>0</v>
      </c>
      <c r="G50" s="17">
        <v>0</v>
      </c>
      <c r="H50" s="17">
        <v>0</v>
      </c>
    </row>
    <row r="51" spans="1:8" ht="15.95" customHeight="1" x14ac:dyDescent="0.25">
      <c r="A51" s="7" t="s">
        <v>182</v>
      </c>
      <c r="B51" s="17">
        <v>5</v>
      </c>
      <c r="C51" s="17">
        <v>7</v>
      </c>
      <c r="D51" s="17">
        <v>3</v>
      </c>
      <c r="E51" s="17">
        <v>1</v>
      </c>
      <c r="F51" s="17">
        <v>9</v>
      </c>
      <c r="G51" s="17">
        <v>7</v>
      </c>
      <c r="H51" s="17">
        <v>3</v>
      </c>
    </row>
    <row r="52" spans="1:8" ht="15.95" customHeight="1" x14ac:dyDescent="0.25">
      <c r="A52" s="7" t="s">
        <v>183</v>
      </c>
      <c r="B52" s="17">
        <v>39</v>
      </c>
      <c r="C52" s="17">
        <v>35</v>
      </c>
      <c r="D52" s="17">
        <v>40</v>
      </c>
      <c r="E52" s="17">
        <v>40</v>
      </c>
      <c r="F52" s="17">
        <v>38</v>
      </c>
      <c r="G52" s="17">
        <v>58</v>
      </c>
      <c r="H52" s="17">
        <v>68</v>
      </c>
    </row>
    <row r="53" spans="1:8" ht="15.95" customHeight="1" x14ac:dyDescent="0.25">
      <c r="A53" s="7" t="s">
        <v>184</v>
      </c>
      <c r="B53" s="17">
        <v>4</v>
      </c>
      <c r="C53" s="17">
        <v>4</v>
      </c>
      <c r="D53" s="17">
        <v>4</v>
      </c>
      <c r="E53" s="17">
        <v>3</v>
      </c>
      <c r="F53" s="17">
        <v>3</v>
      </c>
      <c r="G53" s="17">
        <v>1</v>
      </c>
      <c r="H53" s="17">
        <v>0</v>
      </c>
    </row>
    <row r="54" spans="1:8" ht="15.95" customHeight="1" x14ac:dyDescent="0.25">
      <c r="A54" s="7" t="s">
        <v>185</v>
      </c>
      <c r="B54" s="17">
        <v>23</v>
      </c>
      <c r="C54" s="17">
        <v>34</v>
      </c>
      <c r="D54" s="17">
        <v>27</v>
      </c>
      <c r="E54" s="17">
        <v>37</v>
      </c>
      <c r="F54" s="17">
        <v>12</v>
      </c>
      <c r="G54" s="17">
        <v>5</v>
      </c>
      <c r="H54" s="17">
        <v>4</v>
      </c>
    </row>
    <row r="55" spans="1:8" ht="15.95" customHeight="1" x14ac:dyDescent="0.25">
      <c r="A55" s="7" t="s">
        <v>186</v>
      </c>
      <c r="B55" s="17">
        <v>5</v>
      </c>
      <c r="C55" s="17">
        <v>0</v>
      </c>
      <c r="D55" s="17">
        <v>1</v>
      </c>
      <c r="E55" s="17">
        <v>0</v>
      </c>
      <c r="F55" s="17">
        <v>15</v>
      </c>
      <c r="G55" s="17">
        <v>7</v>
      </c>
      <c r="H55" s="17">
        <v>3</v>
      </c>
    </row>
    <row r="56" spans="1:8" ht="15.95" customHeight="1" x14ac:dyDescent="0.25">
      <c r="A56" s="7" t="s">
        <v>187</v>
      </c>
      <c r="B56" s="17">
        <v>32</v>
      </c>
      <c r="C56" s="17">
        <v>38</v>
      </c>
      <c r="D56" s="17">
        <v>32</v>
      </c>
      <c r="E56" s="17">
        <v>41</v>
      </c>
      <c r="F56" s="17">
        <v>31</v>
      </c>
      <c r="G56" s="17">
        <v>13</v>
      </c>
      <c r="H56" s="17">
        <v>8</v>
      </c>
    </row>
    <row r="57" spans="1:8" ht="15.95" customHeight="1" x14ac:dyDescent="0.25">
      <c r="A57" s="7" t="s">
        <v>188</v>
      </c>
      <c r="B57" s="17">
        <v>1</v>
      </c>
      <c r="C57" s="17">
        <v>0</v>
      </c>
      <c r="D57" s="17">
        <v>1</v>
      </c>
      <c r="E57" s="17">
        <v>0</v>
      </c>
      <c r="F57" s="17">
        <v>1</v>
      </c>
      <c r="G57" s="17">
        <v>1</v>
      </c>
      <c r="H57" s="17">
        <v>0</v>
      </c>
    </row>
    <row r="58" spans="1:8" ht="15.95" customHeight="1" x14ac:dyDescent="0.25">
      <c r="A58" s="7" t="s">
        <v>189</v>
      </c>
      <c r="B58" s="17">
        <v>42</v>
      </c>
      <c r="C58" s="17">
        <v>37</v>
      </c>
      <c r="D58" s="17">
        <v>45</v>
      </c>
      <c r="E58" s="17">
        <v>24</v>
      </c>
      <c r="F58" s="23">
        <v>-1</v>
      </c>
      <c r="G58" s="23">
        <v>-1</v>
      </c>
      <c r="H58" s="23">
        <v>-1</v>
      </c>
    </row>
    <row r="59" spans="1:8" ht="15.95" customHeight="1" x14ac:dyDescent="0.25">
      <c r="A59" s="18" t="s">
        <v>94</v>
      </c>
      <c r="B59" s="19">
        <v>175</v>
      </c>
      <c r="C59" s="19">
        <v>138</v>
      </c>
      <c r="D59" s="19">
        <v>215</v>
      </c>
      <c r="E59" s="19">
        <v>100</v>
      </c>
      <c r="F59" s="19">
        <v>134</v>
      </c>
      <c r="G59" s="19">
        <v>98</v>
      </c>
      <c r="H59" s="19">
        <v>109</v>
      </c>
    </row>
    <row r="60" spans="1:8" ht="15.95" customHeight="1" x14ac:dyDescent="0.25">
      <c r="A60" s="7" t="s">
        <v>190</v>
      </c>
      <c r="B60" s="17">
        <v>61</v>
      </c>
      <c r="C60" s="17">
        <v>22</v>
      </c>
      <c r="D60" s="17">
        <v>73</v>
      </c>
      <c r="E60" s="17">
        <v>51</v>
      </c>
      <c r="F60" s="17">
        <v>65</v>
      </c>
      <c r="G60" s="17">
        <v>16</v>
      </c>
      <c r="H60" s="17">
        <v>5</v>
      </c>
    </row>
    <row r="61" spans="1:8" ht="15.95" customHeight="1" x14ac:dyDescent="0.25">
      <c r="A61" s="7" t="s">
        <v>191</v>
      </c>
      <c r="B61" s="17">
        <v>136</v>
      </c>
      <c r="C61" s="17">
        <v>97</v>
      </c>
      <c r="D61" s="17">
        <v>178</v>
      </c>
      <c r="E61" s="17">
        <v>147</v>
      </c>
      <c r="F61" s="17">
        <v>66</v>
      </c>
      <c r="G61" s="17">
        <v>38</v>
      </c>
      <c r="H61" s="17">
        <v>42</v>
      </c>
    </row>
    <row r="62" spans="1:8" ht="15.95" customHeight="1" x14ac:dyDescent="0.25">
      <c r="A62" s="7" t="s">
        <v>192</v>
      </c>
      <c r="B62" s="17">
        <v>50</v>
      </c>
      <c r="C62" s="17">
        <v>57</v>
      </c>
      <c r="D62" s="17">
        <v>37</v>
      </c>
      <c r="E62" s="17">
        <v>65</v>
      </c>
      <c r="F62" s="17">
        <v>63</v>
      </c>
      <c r="G62" s="17">
        <v>100</v>
      </c>
      <c r="H62" s="17">
        <v>97</v>
      </c>
    </row>
    <row r="63" spans="1:8" ht="15.95" customHeight="1" x14ac:dyDescent="0.25">
      <c r="A63" s="7" t="s">
        <v>193</v>
      </c>
      <c r="B63" s="17">
        <v>28</v>
      </c>
      <c r="C63" s="17">
        <v>23</v>
      </c>
      <c r="D63" s="17">
        <v>33</v>
      </c>
      <c r="E63" s="17">
        <v>21</v>
      </c>
      <c r="F63" s="17">
        <v>25</v>
      </c>
      <c r="G63" s="23">
        <v>-1</v>
      </c>
      <c r="H63" s="17">
        <v>3</v>
      </c>
    </row>
    <row r="64" spans="1:8" ht="15.95" customHeight="1" x14ac:dyDescent="0.25">
      <c r="A64" s="7" t="s">
        <v>194</v>
      </c>
      <c r="B64" s="17">
        <v>22</v>
      </c>
      <c r="C64" s="17">
        <v>20</v>
      </c>
      <c r="D64" s="17">
        <v>30</v>
      </c>
      <c r="E64" s="17">
        <v>14</v>
      </c>
      <c r="F64" s="17">
        <v>12</v>
      </c>
      <c r="G64" s="23">
        <v>-1</v>
      </c>
      <c r="H64" s="17">
        <v>0</v>
      </c>
    </row>
    <row r="65" spans="1:8" ht="15.95" customHeight="1" x14ac:dyDescent="0.25">
      <c r="A65" s="7" t="s">
        <v>195</v>
      </c>
      <c r="B65" s="17">
        <v>14</v>
      </c>
      <c r="C65" s="17">
        <v>11</v>
      </c>
      <c r="D65" s="17">
        <v>18</v>
      </c>
      <c r="E65" s="17">
        <v>11</v>
      </c>
      <c r="F65" s="17">
        <v>10</v>
      </c>
      <c r="G65" s="23">
        <v>-1</v>
      </c>
      <c r="H65" s="17">
        <v>2</v>
      </c>
    </row>
    <row r="66" spans="1:8" ht="15.95" customHeight="1" x14ac:dyDescent="0.25">
      <c r="A66" s="7" t="s">
        <v>196</v>
      </c>
      <c r="B66" s="17">
        <v>20</v>
      </c>
      <c r="C66" s="17">
        <v>24</v>
      </c>
      <c r="D66" s="17">
        <v>17</v>
      </c>
      <c r="E66" s="17">
        <v>32</v>
      </c>
      <c r="F66" s="17">
        <v>21</v>
      </c>
      <c r="G66" s="17">
        <v>14</v>
      </c>
      <c r="H66" s="17">
        <v>12</v>
      </c>
    </row>
    <row r="67" spans="1:8" ht="15.95" customHeight="1" x14ac:dyDescent="0.25">
      <c r="A67" s="7" t="s">
        <v>197</v>
      </c>
      <c r="B67" s="17">
        <v>52</v>
      </c>
      <c r="C67" s="17">
        <v>56</v>
      </c>
      <c r="D67" s="17">
        <v>51</v>
      </c>
      <c r="E67" s="17">
        <v>61</v>
      </c>
      <c r="F67" s="17">
        <v>53</v>
      </c>
      <c r="G67" s="17">
        <v>43</v>
      </c>
      <c r="H67" s="17">
        <v>36</v>
      </c>
    </row>
    <row r="68" spans="1:8" ht="15.95" customHeight="1" x14ac:dyDescent="0.25">
      <c r="A68" s="7" t="s">
        <v>198</v>
      </c>
      <c r="B68" s="17">
        <v>26</v>
      </c>
      <c r="C68" s="17">
        <v>21</v>
      </c>
      <c r="D68" s="17">
        <v>29</v>
      </c>
      <c r="E68" s="17">
        <v>13</v>
      </c>
      <c r="F68" s="17">
        <v>23</v>
      </c>
      <c r="G68" s="17">
        <v>36</v>
      </c>
      <c r="H68" s="17">
        <v>42</v>
      </c>
    </row>
    <row r="69" spans="1:8" ht="15.95" customHeight="1" x14ac:dyDescent="0.25">
      <c r="A69" s="7" t="s">
        <v>199</v>
      </c>
      <c r="B69" s="14" t="s">
        <v>144</v>
      </c>
      <c r="C69" s="14" t="s">
        <v>144</v>
      </c>
      <c r="D69" s="14" t="s">
        <v>144</v>
      </c>
      <c r="E69" s="14" t="s">
        <v>144</v>
      </c>
      <c r="F69" s="14" t="s">
        <v>144</v>
      </c>
      <c r="G69" s="14" t="s">
        <v>144</v>
      </c>
      <c r="H69" s="14" t="s">
        <v>144</v>
      </c>
    </row>
    <row r="70" spans="1:8" ht="15.95" customHeight="1" x14ac:dyDescent="0.25">
      <c r="A70" s="7" t="s">
        <v>200</v>
      </c>
      <c r="B70" s="14" t="s">
        <v>144</v>
      </c>
      <c r="C70" s="14" t="s">
        <v>144</v>
      </c>
      <c r="D70" s="14" t="s">
        <v>144</v>
      </c>
      <c r="E70" s="14" t="s">
        <v>144</v>
      </c>
      <c r="F70" s="14" t="s">
        <v>144</v>
      </c>
      <c r="G70" s="14" t="s">
        <v>144</v>
      </c>
      <c r="H70" s="14" t="s">
        <v>144</v>
      </c>
    </row>
    <row r="71" spans="1:8" ht="15.95" customHeight="1" x14ac:dyDescent="0.25">
      <c r="A71" s="7" t="s">
        <v>201</v>
      </c>
      <c r="B71" s="14" t="s">
        <v>144</v>
      </c>
      <c r="C71" s="14" t="s">
        <v>144</v>
      </c>
      <c r="D71" s="14" t="s">
        <v>144</v>
      </c>
      <c r="E71" s="14" t="s">
        <v>144</v>
      </c>
      <c r="F71" s="14" t="s">
        <v>144</v>
      </c>
      <c r="G71" s="14" t="s">
        <v>144</v>
      </c>
      <c r="H71" s="14" t="s">
        <v>144</v>
      </c>
    </row>
    <row r="72" spans="1:8" ht="15.95" customHeight="1" x14ac:dyDescent="0.25">
      <c r="A72" s="7" t="s">
        <v>202</v>
      </c>
      <c r="B72" s="9" t="s">
        <v>144</v>
      </c>
      <c r="C72" s="9" t="s">
        <v>144</v>
      </c>
      <c r="D72" s="9" t="s">
        <v>144</v>
      </c>
      <c r="E72" s="9" t="s">
        <v>144</v>
      </c>
      <c r="F72" s="9" t="s">
        <v>144</v>
      </c>
      <c r="G72" s="9" t="s">
        <v>144</v>
      </c>
      <c r="H72" s="9" t="s">
        <v>144</v>
      </c>
    </row>
    <row r="73" spans="1:8" ht="15.95" customHeight="1" x14ac:dyDescent="0.25">
      <c r="A73" s="7" t="s">
        <v>203</v>
      </c>
      <c r="B73" s="9" t="s">
        <v>144</v>
      </c>
      <c r="C73" s="9" t="s">
        <v>144</v>
      </c>
      <c r="D73" s="9" t="s">
        <v>144</v>
      </c>
      <c r="E73" s="9" t="s">
        <v>144</v>
      </c>
      <c r="F73" s="9" t="s">
        <v>144</v>
      </c>
      <c r="G73" s="9" t="s">
        <v>144</v>
      </c>
      <c r="H73" s="9" t="s">
        <v>144</v>
      </c>
    </row>
    <row r="74" spans="1:8" ht="15.95" customHeight="1" x14ac:dyDescent="0.25">
      <c r="A74" s="7" t="s">
        <v>204</v>
      </c>
      <c r="B74" s="14" t="s">
        <v>205</v>
      </c>
      <c r="C74" s="14" t="s">
        <v>205</v>
      </c>
      <c r="D74" s="14" t="s">
        <v>205</v>
      </c>
      <c r="E74" s="14" t="s">
        <v>205</v>
      </c>
      <c r="F74" s="14" t="s">
        <v>205</v>
      </c>
      <c r="G74" s="14" t="s">
        <v>205</v>
      </c>
      <c r="H74" s="14" t="s">
        <v>205</v>
      </c>
    </row>
    <row r="75" spans="1:8" ht="15.95" customHeight="1" x14ac:dyDescent="0.25">
      <c r="A75" s="7" t="s">
        <v>206</v>
      </c>
      <c r="B75" s="9" t="s">
        <v>144</v>
      </c>
      <c r="C75" s="9" t="s">
        <v>144</v>
      </c>
      <c r="D75" s="9" t="s">
        <v>144</v>
      </c>
      <c r="E75" s="9" t="s">
        <v>144</v>
      </c>
      <c r="F75" s="9" t="s">
        <v>144</v>
      </c>
      <c r="G75" s="9" t="s">
        <v>144</v>
      </c>
      <c r="H75" s="9" t="s">
        <v>144</v>
      </c>
    </row>
    <row r="76" spans="1:8" ht="15.95" customHeight="1" x14ac:dyDescent="0.25">
      <c r="A76" s="7" t="s">
        <v>207</v>
      </c>
      <c r="B76" s="9" t="s">
        <v>144</v>
      </c>
      <c r="C76" s="9" t="s">
        <v>144</v>
      </c>
      <c r="D76" s="9" t="s">
        <v>144</v>
      </c>
      <c r="E76" s="9" t="s">
        <v>144</v>
      </c>
      <c r="F76" s="9" t="s">
        <v>144</v>
      </c>
      <c r="G76" s="9" t="s">
        <v>144</v>
      </c>
      <c r="H76" s="9" t="s">
        <v>144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19F45-2E11-4E6B-9FF3-FC238BDE0943}">
  <dimension ref="A1:AL118"/>
  <sheetViews>
    <sheetView topLeftCell="A79" workbookViewId="0">
      <selection activeCell="M82" sqref="M82:P82"/>
    </sheetView>
  </sheetViews>
  <sheetFormatPr defaultRowHeight="15" x14ac:dyDescent="0.25"/>
  <cols>
    <col min="1" max="1" width="23.140625" customWidth="1"/>
    <col min="2" max="2" width="16.28515625" customWidth="1"/>
    <col min="3" max="3" width="13.7109375" bestFit="1" customWidth="1"/>
    <col min="4" max="4" width="14.140625" customWidth="1"/>
    <col min="6" max="6" width="11.5703125" bestFit="1" customWidth="1"/>
    <col min="7" max="7" width="10.85546875" customWidth="1"/>
    <col min="8" max="8" width="13" customWidth="1"/>
    <col min="9" max="9" width="13.7109375" customWidth="1"/>
    <col min="13" max="13" width="13.42578125" customWidth="1"/>
    <col min="14" max="14" width="14.42578125" customWidth="1"/>
    <col min="15" max="15" width="18.5703125" customWidth="1"/>
    <col min="16" max="16" width="15.42578125" customWidth="1"/>
  </cols>
  <sheetData>
    <row r="1" spans="1:16" x14ac:dyDescent="0.25">
      <c r="A1" t="s">
        <v>208</v>
      </c>
    </row>
    <row r="2" spans="1:16" x14ac:dyDescent="0.25">
      <c r="A2" t="s">
        <v>209</v>
      </c>
    </row>
    <row r="3" spans="1:16" x14ac:dyDescent="0.25">
      <c r="A3" s="1" t="s">
        <v>210</v>
      </c>
      <c r="G3" s="1" t="s">
        <v>211</v>
      </c>
      <c r="L3" s="1" t="s">
        <v>212</v>
      </c>
    </row>
    <row r="4" spans="1:16" x14ac:dyDescent="0.25">
      <c r="A4" t="s">
        <v>213</v>
      </c>
      <c r="G4" s="1" t="s">
        <v>214</v>
      </c>
      <c r="L4" t="s">
        <v>215</v>
      </c>
    </row>
    <row r="5" spans="1:16" x14ac:dyDescent="0.25">
      <c r="A5" s="51" t="s">
        <v>216</v>
      </c>
      <c r="B5" s="51" t="s">
        <v>217</v>
      </c>
      <c r="C5" s="51" t="s">
        <v>218</v>
      </c>
      <c r="D5" s="51" t="s">
        <v>219</v>
      </c>
      <c r="E5" s="51" t="s">
        <v>220</v>
      </c>
      <c r="F5" s="57"/>
      <c r="G5" s="48" t="s">
        <v>216</v>
      </c>
      <c r="H5" s="48" t="s">
        <v>217</v>
      </c>
      <c r="I5" s="48" t="s">
        <v>218</v>
      </c>
      <c r="J5" s="48" t="s">
        <v>220</v>
      </c>
      <c r="L5" s="48" t="s">
        <v>221</v>
      </c>
      <c r="M5" s="48" t="s">
        <v>217</v>
      </c>
      <c r="N5" s="48" t="s">
        <v>218</v>
      </c>
      <c r="O5" s="48" t="s">
        <v>219</v>
      </c>
      <c r="P5" s="48" t="s">
        <v>220</v>
      </c>
    </row>
    <row r="6" spans="1:16" x14ac:dyDescent="0.25">
      <c r="A6" s="52">
        <v>1987</v>
      </c>
      <c r="B6" s="52">
        <v>1637</v>
      </c>
      <c r="C6" s="52">
        <v>1050</v>
      </c>
      <c r="D6" s="59">
        <v>1050</v>
      </c>
      <c r="E6" s="52">
        <v>15</v>
      </c>
      <c r="F6" s="58"/>
      <c r="G6" s="49">
        <v>1991</v>
      </c>
      <c r="H6" s="49">
        <v>30</v>
      </c>
      <c r="I6" s="54"/>
      <c r="J6" s="49">
        <v>1</v>
      </c>
      <c r="L6" s="54"/>
      <c r="M6" s="49">
        <v>37046</v>
      </c>
      <c r="N6" s="49">
        <v>20653</v>
      </c>
      <c r="O6" s="49">
        <v>32245.463</v>
      </c>
      <c r="P6" s="49">
        <v>455</v>
      </c>
    </row>
    <row r="7" spans="1:16" x14ac:dyDescent="0.25">
      <c r="A7" s="52">
        <v>1988</v>
      </c>
      <c r="B7" s="52">
        <v>1933</v>
      </c>
      <c r="C7" s="52">
        <v>1056</v>
      </c>
      <c r="D7" s="59">
        <v>1056</v>
      </c>
      <c r="E7" s="52">
        <v>30</v>
      </c>
      <c r="F7" s="58"/>
      <c r="G7" s="49">
        <v>1993</v>
      </c>
      <c r="H7" s="49">
        <v>143</v>
      </c>
      <c r="I7" s="54"/>
      <c r="J7" s="49">
        <v>2</v>
      </c>
      <c r="L7" s="49">
        <v>1</v>
      </c>
      <c r="M7" s="49">
        <v>22514</v>
      </c>
      <c r="N7" s="49">
        <v>16832</v>
      </c>
      <c r="O7" s="49">
        <v>16977.147000000001</v>
      </c>
      <c r="P7" s="49">
        <v>186</v>
      </c>
    </row>
    <row r="8" spans="1:16" x14ac:dyDescent="0.25">
      <c r="A8" s="52">
        <v>1989</v>
      </c>
      <c r="B8" s="52">
        <v>2834</v>
      </c>
      <c r="C8" s="52">
        <v>1767</v>
      </c>
      <c r="D8" s="59">
        <v>1767</v>
      </c>
      <c r="E8" s="52">
        <v>25</v>
      </c>
      <c r="F8" s="58"/>
      <c r="G8" s="49">
        <v>1994</v>
      </c>
      <c r="H8" s="49">
        <v>24</v>
      </c>
      <c r="I8" s="54"/>
      <c r="J8" s="49">
        <v>2</v>
      </c>
      <c r="L8" s="49">
        <v>2</v>
      </c>
      <c r="M8" s="49">
        <v>23891</v>
      </c>
      <c r="N8" s="49">
        <v>20273</v>
      </c>
      <c r="O8" s="49">
        <v>20845.198</v>
      </c>
      <c r="P8" s="49">
        <v>394</v>
      </c>
    </row>
    <row r="9" spans="1:16" x14ac:dyDescent="0.25">
      <c r="A9" s="52">
        <v>1990</v>
      </c>
      <c r="B9" s="52">
        <v>1044</v>
      </c>
      <c r="C9" s="52">
        <v>640</v>
      </c>
      <c r="D9" s="59">
        <v>640</v>
      </c>
      <c r="E9" s="52">
        <v>15</v>
      </c>
      <c r="F9" s="58"/>
      <c r="G9" s="49">
        <v>1995</v>
      </c>
      <c r="H9" s="49">
        <v>71</v>
      </c>
      <c r="I9" s="54"/>
      <c r="J9" s="49">
        <v>1</v>
      </c>
      <c r="L9" t="s">
        <v>222</v>
      </c>
    </row>
    <row r="10" spans="1:16" x14ac:dyDescent="0.25">
      <c r="A10" s="52">
        <v>1991</v>
      </c>
      <c r="B10" s="52">
        <v>1280</v>
      </c>
      <c r="C10" s="52">
        <v>596</v>
      </c>
      <c r="D10" s="59">
        <v>621.16999999999996</v>
      </c>
      <c r="E10" s="52">
        <v>20</v>
      </c>
      <c r="F10" s="58"/>
      <c r="G10" s="49">
        <v>2001</v>
      </c>
      <c r="H10" s="49">
        <v>168</v>
      </c>
      <c r="I10" s="54"/>
      <c r="J10" s="49">
        <v>1</v>
      </c>
      <c r="L10" s="48" t="s">
        <v>223</v>
      </c>
      <c r="M10" s="48" t="s">
        <v>217</v>
      </c>
      <c r="N10" s="48" t="s">
        <v>218</v>
      </c>
      <c r="O10" s="48" t="s">
        <v>219</v>
      </c>
      <c r="P10" s="48" t="s">
        <v>220</v>
      </c>
    </row>
    <row r="11" spans="1:16" x14ac:dyDescent="0.25">
      <c r="A11" s="52">
        <v>1992</v>
      </c>
      <c r="B11" s="52">
        <v>484</v>
      </c>
      <c r="C11" s="52">
        <v>462</v>
      </c>
      <c r="D11" s="59">
        <v>462</v>
      </c>
      <c r="E11" s="52">
        <v>9</v>
      </c>
      <c r="F11" s="58"/>
      <c r="G11" s="49">
        <v>2002</v>
      </c>
      <c r="H11" s="49">
        <v>154</v>
      </c>
      <c r="I11" s="54"/>
      <c r="J11" s="49">
        <v>2</v>
      </c>
      <c r="L11" s="54"/>
      <c r="M11" s="49">
        <v>57733</v>
      </c>
      <c r="N11" s="49">
        <v>36227</v>
      </c>
      <c r="O11" s="49">
        <v>46703.593000000001</v>
      </c>
      <c r="P11" s="49">
        <v>671</v>
      </c>
    </row>
    <row r="12" spans="1:16" x14ac:dyDescent="0.25">
      <c r="A12" s="52">
        <v>1993</v>
      </c>
      <c r="B12" s="52">
        <v>1190</v>
      </c>
      <c r="C12" s="52">
        <v>1024</v>
      </c>
      <c r="D12" s="59">
        <v>1143.9769999999999</v>
      </c>
      <c r="E12" s="52">
        <v>23</v>
      </c>
      <c r="F12" s="58"/>
      <c r="G12" s="49">
        <v>2004</v>
      </c>
      <c r="H12" s="49">
        <v>80</v>
      </c>
      <c r="I12" s="54"/>
      <c r="J12" s="49">
        <v>1</v>
      </c>
      <c r="L12" s="49">
        <v>1</v>
      </c>
      <c r="M12" s="49">
        <v>19131</v>
      </c>
      <c r="N12" s="49">
        <v>15858</v>
      </c>
      <c r="O12" s="49">
        <v>17691.215</v>
      </c>
      <c r="P12" s="49">
        <v>274</v>
      </c>
    </row>
    <row r="13" spans="1:16" x14ac:dyDescent="0.25">
      <c r="A13" s="52">
        <v>1994</v>
      </c>
      <c r="B13" s="52">
        <v>1162</v>
      </c>
      <c r="C13" s="52">
        <v>1113</v>
      </c>
      <c r="D13" s="59">
        <v>1133.136</v>
      </c>
      <c r="E13" s="52">
        <v>21</v>
      </c>
      <c r="F13" s="58"/>
      <c r="G13" s="49">
        <v>2005</v>
      </c>
      <c r="H13" s="49">
        <v>133</v>
      </c>
      <c r="I13" s="54"/>
      <c r="J13" s="49">
        <v>3</v>
      </c>
      <c r="L13" s="49">
        <v>2</v>
      </c>
      <c r="M13" s="49">
        <v>6587</v>
      </c>
      <c r="N13" s="49">
        <v>5673</v>
      </c>
      <c r="O13" s="49">
        <v>5673</v>
      </c>
      <c r="P13" s="49">
        <v>90</v>
      </c>
    </row>
    <row r="14" spans="1:16" x14ac:dyDescent="0.25">
      <c r="A14" s="52">
        <v>1995</v>
      </c>
      <c r="B14" s="52">
        <v>1097</v>
      </c>
      <c r="C14" s="52">
        <v>815</v>
      </c>
      <c r="D14" s="59">
        <v>874.56899999999996</v>
      </c>
      <c r="E14" s="52">
        <v>12</v>
      </c>
      <c r="F14" s="58"/>
      <c r="G14" s="49">
        <v>2006</v>
      </c>
      <c r="H14" s="49">
        <v>52</v>
      </c>
      <c r="I14" s="54"/>
      <c r="J14" s="49">
        <v>1</v>
      </c>
      <c r="L14" t="s">
        <v>224</v>
      </c>
    </row>
    <row r="15" spans="1:16" x14ac:dyDescent="0.25">
      <c r="A15" s="52">
        <v>1996</v>
      </c>
      <c r="B15" s="52">
        <v>1035</v>
      </c>
      <c r="C15" s="52">
        <v>799</v>
      </c>
      <c r="D15" s="59">
        <v>799</v>
      </c>
      <c r="E15" s="52">
        <v>14</v>
      </c>
      <c r="F15" s="58"/>
      <c r="G15" s="49">
        <v>2013</v>
      </c>
      <c r="H15" s="49">
        <v>2185</v>
      </c>
      <c r="I15" s="54"/>
      <c r="J15" s="49">
        <v>24</v>
      </c>
      <c r="L15" s="48" t="s">
        <v>225</v>
      </c>
      <c r="M15" s="48" t="s">
        <v>217</v>
      </c>
      <c r="N15" s="48" t="s">
        <v>218</v>
      </c>
      <c r="O15" s="48" t="s">
        <v>219</v>
      </c>
      <c r="P15" s="48" t="s">
        <v>220</v>
      </c>
    </row>
    <row r="16" spans="1:16" x14ac:dyDescent="0.25">
      <c r="A16" s="52">
        <v>1997</v>
      </c>
      <c r="B16" s="52">
        <v>2506</v>
      </c>
      <c r="C16" s="52">
        <v>1936</v>
      </c>
      <c r="D16" s="59">
        <v>1936</v>
      </c>
      <c r="E16" s="52">
        <v>26</v>
      </c>
      <c r="F16" s="58"/>
      <c r="G16" s="49">
        <v>2014</v>
      </c>
      <c r="H16" s="54"/>
      <c r="I16" s="49">
        <v>72</v>
      </c>
      <c r="J16" s="49">
        <v>1</v>
      </c>
      <c r="L16" s="54"/>
      <c r="M16" s="49">
        <v>24065</v>
      </c>
      <c r="N16" s="49">
        <v>8284</v>
      </c>
      <c r="O16" s="49">
        <v>18007.170999999998</v>
      </c>
      <c r="P16" s="49">
        <v>266</v>
      </c>
    </row>
    <row r="17" spans="1:16" x14ac:dyDescent="0.25">
      <c r="A17" s="52">
        <v>1998</v>
      </c>
      <c r="B17" s="52">
        <v>1889</v>
      </c>
      <c r="C17" s="52">
        <v>1472</v>
      </c>
      <c r="D17" s="59">
        <v>1472</v>
      </c>
      <c r="E17" s="52">
        <v>23</v>
      </c>
      <c r="F17" s="58"/>
      <c r="G17" s="49">
        <v>2015</v>
      </c>
      <c r="H17" s="54"/>
      <c r="I17" s="54"/>
      <c r="J17" s="49">
        <v>3</v>
      </c>
      <c r="L17" s="49">
        <v>1</v>
      </c>
      <c r="M17" s="49">
        <v>7464</v>
      </c>
      <c r="N17" s="49">
        <v>5291</v>
      </c>
      <c r="O17" s="49">
        <v>5306.9409999999998</v>
      </c>
      <c r="P17" s="49">
        <v>95</v>
      </c>
    </row>
    <row r="18" spans="1:16" x14ac:dyDescent="0.25">
      <c r="A18" s="52">
        <v>1999</v>
      </c>
      <c r="B18" s="52">
        <v>2571</v>
      </c>
      <c r="C18" s="52">
        <v>2140</v>
      </c>
      <c r="D18" s="59">
        <v>2140</v>
      </c>
      <c r="E18" s="52">
        <v>27</v>
      </c>
      <c r="F18" s="58"/>
      <c r="G18" s="49">
        <v>2016</v>
      </c>
      <c r="H18" s="54"/>
      <c r="I18" s="54"/>
      <c r="J18" s="49">
        <v>2</v>
      </c>
      <c r="L18" s="49">
        <v>2</v>
      </c>
      <c r="M18" s="49">
        <v>51922</v>
      </c>
      <c r="N18" s="49">
        <v>44183</v>
      </c>
      <c r="O18" s="49">
        <v>46753.696000000004</v>
      </c>
      <c r="P18" s="49">
        <v>674</v>
      </c>
    </row>
    <row r="19" spans="1:16" x14ac:dyDescent="0.25">
      <c r="A19" s="52">
        <v>2000</v>
      </c>
      <c r="B19" s="52">
        <v>3558</v>
      </c>
      <c r="C19" s="52">
        <v>3128</v>
      </c>
      <c r="D19" s="59">
        <v>3128</v>
      </c>
      <c r="E19" s="52">
        <v>32</v>
      </c>
      <c r="F19" s="58"/>
      <c r="G19" s="49">
        <v>8888</v>
      </c>
      <c r="H19" s="49">
        <v>11632</v>
      </c>
      <c r="I19" s="54"/>
      <c r="J19" s="49">
        <v>123</v>
      </c>
    </row>
    <row r="20" spans="1:16" x14ac:dyDescent="0.25">
      <c r="A20" s="52">
        <v>2001</v>
      </c>
      <c r="B20" s="52">
        <v>2432</v>
      </c>
      <c r="C20" s="52">
        <v>2193</v>
      </c>
      <c r="D20" s="59">
        <v>2333.9520000000002</v>
      </c>
      <c r="E20" s="52">
        <v>28</v>
      </c>
      <c r="F20" s="58"/>
      <c r="G20" s="1" t="s">
        <v>226</v>
      </c>
    </row>
    <row r="21" spans="1:16" x14ac:dyDescent="0.25">
      <c r="A21" s="52">
        <v>2002</v>
      </c>
      <c r="B21" s="52">
        <v>1488</v>
      </c>
      <c r="C21" s="52">
        <v>1095</v>
      </c>
      <c r="D21" s="59">
        <v>1224.2060000000001</v>
      </c>
      <c r="E21" s="52">
        <v>20</v>
      </c>
      <c r="F21" s="58"/>
      <c r="G21" s="48" t="s">
        <v>216</v>
      </c>
      <c r="H21" s="48" t="s">
        <v>217</v>
      </c>
      <c r="I21" s="48" t="s">
        <v>218</v>
      </c>
      <c r="J21" s="48" t="s">
        <v>220</v>
      </c>
      <c r="L21" s="69" t="s">
        <v>227</v>
      </c>
    </row>
    <row r="22" spans="1:16" x14ac:dyDescent="0.25">
      <c r="A22" s="52">
        <v>2003</v>
      </c>
      <c r="B22" s="52">
        <v>2439</v>
      </c>
      <c r="C22" s="52">
        <v>2012</v>
      </c>
      <c r="D22" s="59">
        <v>2012</v>
      </c>
      <c r="E22" s="52">
        <v>30</v>
      </c>
      <c r="F22" s="58"/>
      <c r="G22" s="49">
        <v>1994</v>
      </c>
      <c r="H22" s="54"/>
      <c r="I22" s="54"/>
      <c r="J22" s="49">
        <v>1</v>
      </c>
      <c r="M22" s="1" t="s">
        <v>228</v>
      </c>
    </row>
    <row r="23" spans="1:16" x14ac:dyDescent="0.25">
      <c r="A23" s="52">
        <v>2004</v>
      </c>
      <c r="B23" s="52">
        <v>1809</v>
      </c>
      <c r="C23" s="52">
        <v>1400</v>
      </c>
      <c r="D23" s="59">
        <v>1467.12</v>
      </c>
      <c r="E23" s="52">
        <v>24</v>
      </c>
      <c r="F23" s="58"/>
      <c r="G23" s="49">
        <v>2015</v>
      </c>
      <c r="H23" s="54"/>
      <c r="I23" s="54"/>
      <c r="J23" s="49">
        <v>3</v>
      </c>
      <c r="M23" t="s">
        <v>229</v>
      </c>
    </row>
    <row r="24" spans="1:16" x14ac:dyDescent="0.25">
      <c r="A24" s="52">
        <v>2005</v>
      </c>
      <c r="B24" s="52">
        <v>3529</v>
      </c>
      <c r="C24" s="52">
        <v>2914</v>
      </c>
      <c r="D24" s="59">
        <v>3025.587</v>
      </c>
      <c r="E24" s="52">
        <v>33</v>
      </c>
      <c r="F24" s="58"/>
      <c r="G24" s="49">
        <v>2016</v>
      </c>
      <c r="H24" s="54"/>
      <c r="I24" s="54"/>
      <c r="J24" s="49">
        <v>2</v>
      </c>
      <c r="M24" s="70" t="s">
        <v>230</v>
      </c>
      <c r="N24" s="2"/>
    </row>
    <row r="25" spans="1:16" x14ac:dyDescent="0.25">
      <c r="A25" s="52">
        <v>2006</v>
      </c>
      <c r="B25" s="52">
        <v>1180</v>
      </c>
      <c r="C25" s="52">
        <v>984</v>
      </c>
      <c r="D25" s="59">
        <v>1027.6280000000002</v>
      </c>
      <c r="E25" s="52">
        <v>20</v>
      </c>
      <c r="F25" s="58"/>
      <c r="G25" s="1" t="s">
        <v>231</v>
      </c>
      <c r="M25" s="2" t="s">
        <v>232</v>
      </c>
      <c r="N25" s="2"/>
    </row>
    <row r="26" spans="1:16" x14ac:dyDescent="0.25">
      <c r="A26" s="52">
        <v>2007</v>
      </c>
      <c r="B26" s="52">
        <v>2259</v>
      </c>
      <c r="C26" s="52">
        <v>1973</v>
      </c>
      <c r="D26" s="59">
        <v>1973</v>
      </c>
      <c r="E26" s="52">
        <v>20</v>
      </c>
      <c r="F26" s="58"/>
      <c r="G26" s="48" t="s">
        <v>216</v>
      </c>
      <c r="H26" s="48" t="s">
        <v>217</v>
      </c>
      <c r="I26" s="48" t="s">
        <v>218</v>
      </c>
      <c r="J26" s="48" t="s">
        <v>220</v>
      </c>
      <c r="M26" s="2" t="s">
        <v>233</v>
      </c>
      <c r="N26" s="2"/>
    </row>
    <row r="27" spans="1:16" x14ac:dyDescent="0.25">
      <c r="A27" s="52">
        <v>2008</v>
      </c>
      <c r="B27" s="52">
        <v>1070</v>
      </c>
      <c r="C27" s="52">
        <v>948</v>
      </c>
      <c r="D27" s="59">
        <v>948</v>
      </c>
      <c r="E27" s="52">
        <v>21</v>
      </c>
      <c r="F27" s="58"/>
      <c r="G27" s="49">
        <v>1987</v>
      </c>
      <c r="H27" s="49">
        <v>1637</v>
      </c>
      <c r="I27" s="49">
        <v>1050</v>
      </c>
      <c r="J27" s="49">
        <v>15</v>
      </c>
      <c r="M27" s="2" t="s">
        <v>234</v>
      </c>
      <c r="N27" s="2"/>
    </row>
    <row r="28" spans="1:16" x14ac:dyDescent="0.25">
      <c r="A28" s="52">
        <v>2009</v>
      </c>
      <c r="B28" s="52">
        <v>1299</v>
      </c>
      <c r="C28" s="52">
        <v>1025</v>
      </c>
      <c r="D28" s="59">
        <v>1025</v>
      </c>
      <c r="E28" s="52">
        <v>20</v>
      </c>
      <c r="F28" s="58"/>
      <c r="G28" s="49">
        <v>1988</v>
      </c>
      <c r="H28" s="49">
        <v>1933</v>
      </c>
      <c r="I28" s="49">
        <v>1056</v>
      </c>
      <c r="J28" s="49">
        <v>30</v>
      </c>
      <c r="M28" s="2" t="s">
        <v>235</v>
      </c>
      <c r="N28" s="2"/>
      <c r="P28">
        <v>53032</v>
      </c>
    </row>
    <row r="29" spans="1:16" x14ac:dyDescent="0.25">
      <c r="A29" s="52">
        <v>2010</v>
      </c>
      <c r="B29" s="52">
        <v>1269</v>
      </c>
      <c r="C29" s="52">
        <v>1072</v>
      </c>
      <c r="D29" s="59">
        <v>1072</v>
      </c>
      <c r="E29" s="52">
        <v>19</v>
      </c>
      <c r="F29" s="58"/>
      <c r="G29" s="49">
        <v>1989</v>
      </c>
      <c r="H29" s="49">
        <v>2834</v>
      </c>
      <c r="I29" s="49">
        <v>1767</v>
      </c>
      <c r="J29" s="49">
        <v>25</v>
      </c>
      <c r="M29" s="2" t="s">
        <v>236</v>
      </c>
      <c r="N29" s="2"/>
      <c r="P29">
        <v>43466</v>
      </c>
    </row>
    <row r="30" spans="1:16" x14ac:dyDescent="0.25">
      <c r="A30" s="52">
        <v>2011</v>
      </c>
      <c r="B30" s="52">
        <v>2030</v>
      </c>
      <c r="C30" s="52">
        <v>1919</v>
      </c>
      <c r="D30" s="59">
        <v>1919</v>
      </c>
      <c r="E30" s="52">
        <v>40</v>
      </c>
      <c r="F30" s="58"/>
      <c r="G30" s="49">
        <v>1990</v>
      </c>
      <c r="H30" s="49">
        <v>1044</v>
      </c>
      <c r="I30" s="49">
        <v>640</v>
      </c>
      <c r="J30" s="49">
        <v>15</v>
      </c>
      <c r="M30" s="2" t="s">
        <v>237</v>
      </c>
      <c r="N30" s="2"/>
      <c r="P30" s="72">
        <v>3645861</v>
      </c>
    </row>
    <row r="31" spans="1:16" x14ac:dyDescent="0.25">
      <c r="A31" s="52">
        <v>2012</v>
      </c>
      <c r="B31" s="52">
        <v>2402</v>
      </c>
      <c r="C31" s="52">
        <v>2330</v>
      </c>
      <c r="D31" s="59">
        <v>2330</v>
      </c>
      <c r="E31" s="52">
        <v>25</v>
      </c>
      <c r="F31" s="58"/>
      <c r="G31" s="49">
        <v>1991</v>
      </c>
      <c r="H31" s="49">
        <v>1250</v>
      </c>
      <c r="I31" s="49">
        <v>596</v>
      </c>
      <c r="J31" s="49">
        <v>19</v>
      </c>
      <c r="M31" s="2" t="s">
        <v>238</v>
      </c>
      <c r="N31" s="2"/>
      <c r="P31" s="41">
        <v>3270190</v>
      </c>
    </row>
    <row r="32" spans="1:16" x14ac:dyDescent="0.25">
      <c r="A32" s="52">
        <v>2013</v>
      </c>
      <c r="B32" s="52">
        <v>2312</v>
      </c>
      <c r="C32" s="52">
        <v>127</v>
      </c>
      <c r="D32" s="59">
        <v>1960.2149999999999</v>
      </c>
      <c r="E32" s="52">
        <v>27</v>
      </c>
      <c r="F32" s="58"/>
      <c r="G32" s="49">
        <v>1992</v>
      </c>
      <c r="H32" s="49">
        <v>484</v>
      </c>
      <c r="I32" s="49">
        <v>462</v>
      </c>
      <c r="J32" s="49">
        <v>9</v>
      </c>
      <c r="M32" s="2" t="s">
        <v>239</v>
      </c>
      <c r="N32" s="2"/>
    </row>
    <row r="33" spans="1:19" x14ac:dyDescent="0.25">
      <c r="A33" s="52">
        <v>2014</v>
      </c>
      <c r="B33" s="52">
        <v>972</v>
      </c>
      <c r="C33" s="52">
        <v>989</v>
      </c>
      <c r="D33" s="59">
        <v>989</v>
      </c>
      <c r="E33" s="52">
        <v>18</v>
      </c>
      <c r="F33" s="58"/>
      <c r="G33" s="49">
        <v>1993</v>
      </c>
      <c r="H33" s="49">
        <v>1047</v>
      </c>
      <c r="I33" s="49">
        <v>1024</v>
      </c>
      <c r="J33" s="49">
        <v>21</v>
      </c>
      <c r="M33" s="2" t="s">
        <v>240</v>
      </c>
      <c r="N33" s="2"/>
    </row>
    <row r="34" spans="1:19" x14ac:dyDescent="0.25">
      <c r="A34" s="52">
        <v>2015</v>
      </c>
      <c r="B34" s="52">
        <v>3020</v>
      </c>
      <c r="C34" s="52">
        <v>2872</v>
      </c>
      <c r="D34" s="59">
        <v>2872</v>
      </c>
      <c r="E34" s="52">
        <v>51</v>
      </c>
      <c r="F34" s="58"/>
      <c r="G34" s="49">
        <v>1994</v>
      </c>
      <c r="H34" s="49">
        <v>1138</v>
      </c>
      <c r="I34" s="49">
        <v>1113</v>
      </c>
      <c r="J34" s="49">
        <v>19</v>
      </c>
      <c r="M34" s="28" t="s">
        <v>241</v>
      </c>
      <c r="N34" s="28"/>
      <c r="O34" s="28"/>
    </row>
    <row r="35" spans="1:19" x14ac:dyDescent="0.25">
      <c r="A35" s="52">
        <v>2016</v>
      </c>
      <c r="B35" s="52">
        <v>1069</v>
      </c>
      <c r="C35" s="52">
        <v>1051</v>
      </c>
      <c r="D35" s="59">
        <v>1051</v>
      </c>
      <c r="E35" s="52">
        <v>18</v>
      </c>
      <c r="F35" s="58"/>
      <c r="G35" s="49">
        <v>1995</v>
      </c>
      <c r="H35" s="49">
        <v>1026</v>
      </c>
      <c r="I35" s="49">
        <v>815</v>
      </c>
      <c r="J35" s="49">
        <v>11</v>
      </c>
      <c r="M35" s="70" t="s">
        <v>242</v>
      </c>
    </row>
    <row r="36" spans="1:19" x14ac:dyDescent="0.25">
      <c r="A36" s="52">
        <v>2017</v>
      </c>
      <c r="B36" s="52">
        <v>2280</v>
      </c>
      <c r="C36" s="52">
        <v>2191</v>
      </c>
      <c r="D36" s="59">
        <v>2191</v>
      </c>
      <c r="E36" s="52">
        <v>22</v>
      </c>
      <c r="F36" s="58"/>
      <c r="G36" s="49">
        <v>1996</v>
      </c>
      <c r="H36" s="49">
        <v>1035</v>
      </c>
      <c r="I36" s="49">
        <v>799</v>
      </c>
      <c r="J36" s="49">
        <v>14</v>
      </c>
      <c r="M36" s="2" t="s">
        <v>243</v>
      </c>
      <c r="N36" s="2"/>
      <c r="O36" s="2"/>
      <c r="P36" s="2"/>
      <c r="Q36" s="2"/>
      <c r="R36" s="2"/>
      <c r="S36" s="2"/>
    </row>
    <row r="37" spans="1:19" x14ac:dyDescent="0.25">
      <c r="A37" s="52">
        <v>2018</v>
      </c>
      <c r="B37" s="52">
        <v>790</v>
      </c>
      <c r="C37" s="52">
        <v>655</v>
      </c>
      <c r="D37" s="59">
        <v>655</v>
      </c>
      <c r="E37" s="52">
        <v>11</v>
      </c>
      <c r="F37" s="58"/>
      <c r="G37" s="49">
        <v>1997</v>
      </c>
      <c r="H37" s="49">
        <v>2506</v>
      </c>
      <c r="I37" s="49">
        <v>1936</v>
      </c>
      <c r="J37" s="49">
        <v>26</v>
      </c>
      <c r="M37" s="79" t="s">
        <v>244</v>
      </c>
      <c r="N37" s="78" t="s">
        <v>4</v>
      </c>
    </row>
    <row r="38" spans="1:19" x14ac:dyDescent="0.25">
      <c r="A38" s="52">
        <v>2019</v>
      </c>
      <c r="B38" s="52">
        <v>989</v>
      </c>
      <c r="C38" s="52">
        <v>901</v>
      </c>
      <c r="D38" s="59">
        <v>901</v>
      </c>
      <c r="E38" s="52">
        <v>15</v>
      </c>
      <c r="F38" s="58"/>
      <c r="G38" s="49">
        <v>1998</v>
      </c>
      <c r="H38" s="49">
        <v>1889</v>
      </c>
      <c r="I38" s="49">
        <v>1472</v>
      </c>
      <c r="J38" s="49">
        <v>23</v>
      </c>
      <c r="M38" s="76">
        <v>1035</v>
      </c>
      <c r="N38" s="75">
        <v>72430</v>
      </c>
      <c r="O38" t="s">
        <v>205</v>
      </c>
    </row>
    <row r="39" spans="1:19" x14ac:dyDescent="0.25">
      <c r="A39" s="52">
        <v>2020</v>
      </c>
      <c r="B39" s="52">
        <v>3627</v>
      </c>
      <c r="C39" s="52">
        <v>3204</v>
      </c>
      <c r="D39" s="59">
        <v>3204</v>
      </c>
      <c r="E39" s="52">
        <v>53</v>
      </c>
      <c r="F39" s="58"/>
      <c r="G39" s="49">
        <v>1999</v>
      </c>
      <c r="H39" s="49">
        <v>2571</v>
      </c>
      <c r="I39" s="49">
        <v>2140</v>
      </c>
      <c r="J39" s="49">
        <v>27</v>
      </c>
      <c r="M39" s="80">
        <v>43349</v>
      </c>
      <c r="N39" s="94">
        <v>3060475</v>
      </c>
      <c r="O39" t="s">
        <v>245</v>
      </c>
    </row>
    <row r="40" spans="1:19" x14ac:dyDescent="0.25">
      <c r="A40" s="52">
        <v>2021</v>
      </c>
      <c r="B40" s="52">
        <v>153</v>
      </c>
      <c r="C40" s="52">
        <v>153</v>
      </c>
      <c r="D40" s="59">
        <v>153</v>
      </c>
      <c r="E40" s="52">
        <v>3</v>
      </c>
      <c r="F40" s="58"/>
      <c r="G40" s="49">
        <v>2000</v>
      </c>
      <c r="H40" s="49">
        <v>3558</v>
      </c>
      <c r="I40" s="49">
        <v>3128</v>
      </c>
      <c r="J40" s="49">
        <v>32</v>
      </c>
      <c r="M40" t="s">
        <v>246</v>
      </c>
    </row>
    <row r="41" spans="1:19" x14ac:dyDescent="0.25">
      <c r="A41" s="52">
        <v>8888</v>
      </c>
      <c r="B41" s="52">
        <v>20813</v>
      </c>
      <c r="C41" s="52">
        <v>7752</v>
      </c>
      <c r="D41" s="59">
        <v>17511.248</v>
      </c>
      <c r="E41" s="52">
        <v>225</v>
      </c>
      <c r="F41" s="67">
        <f>+D41/D42</f>
        <v>0.24991859314337336</v>
      </c>
      <c r="G41" s="49">
        <v>2001</v>
      </c>
      <c r="H41" s="49">
        <v>2264</v>
      </c>
      <c r="I41" s="49">
        <v>2193</v>
      </c>
      <c r="J41" s="49">
        <v>27</v>
      </c>
    </row>
    <row r="42" spans="1:19" x14ac:dyDescent="0.25">
      <c r="A42" s="61" t="s">
        <v>247</v>
      </c>
      <c r="B42" s="61">
        <f>SUM(B6:B41)</f>
        <v>83451</v>
      </c>
      <c r="C42" s="61">
        <f>SUM(C6:C41)</f>
        <v>57758</v>
      </c>
      <c r="D42" s="60">
        <f>SUM(D6:D41)</f>
        <v>70067.80799999999</v>
      </c>
      <c r="E42" s="61">
        <f>SUM(E6:E41)</f>
        <v>1035</v>
      </c>
      <c r="F42" s="62"/>
      <c r="G42" s="49">
        <v>2002</v>
      </c>
      <c r="H42" s="49">
        <v>1334</v>
      </c>
      <c r="I42" s="49">
        <v>1095</v>
      </c>
      <c r="J42" s="49">
        <v>18</v>
      </c>
    </row>
    <row r="43" spans="1:19" x14ac:dyDescent="0.25">
      <c r="A43" s="61" t="s">
        <v>248</v>
      </c>
      <c r="B43" s="61">
        <f>B42-B41</f>
        <v>62638</v>
      </c>
      <c r="C43" s="61">
        <f>C42-C41</f>
        <v>50006</v>
      </c>
      <c r="D43" s="60">
        <f>D42-D41</f>
        <v>52556.55999999999</v>
      </c>
      <c r="E43" s="61">
        <f>E42-E41</f>
        <v>810</v>
      </c>
      <c r="F43" s="62"/>
      <c r="G43" s="49">
        <v>2003</v>
      </c>
      <c r="H43" s="49">
        <v>2439</v>
      </c>
      <c r="I43" s="49">
        <v>2012</v>
      </c>
      <c r="J43" s="49">
        <v>30</v>
      </c>
    </row>
    <row r="44" spans="1:19" x14ac:dyDescent="0.25">
      <c r="A44" s="30" t="s">
        <v>249</v>
      </c>
      <c r="B44" s="30"/>
      <c r="C44" s="30"/>
      <c r="D44" s="30"/>
      <c r="E44" s="30"/>
      <c r="G44" s="49">
        <v>2004</v>
      </c>
      <c r="H44" s="49">
        <v>1729</v>
      </c>
      <c r="I44" s="49">
        <v>1400</v>
      </c>
      <c r="J44" s="49">
        <v>23</v>
      </c>
    </row>
    <row r="45" spans="1:19" x14ac:dyDescent="0.25">
      <c r="A45" t="s">
        <v>250</v>
      </c>
      <c r="G45" s="49">
        <v>2005</v>
      </c>
      <c r="H45" s="49">
        <v>3396</v>
      </c>
      <c r="I45" s="49">
        <v>2914</v>
      </c>
      <c r="J45" s="49">
        <v>30</v>
      </c>
    </row>
    <row r="46" spans="1:19" x14ac:dyDescent="0.25">
      <c r="A46" t="s">
        <v>251</v>
      </c>
      <c r="G46" s="49">
        <v>2006</v>
      </c>
      <c r="H46" s="49">
        <v>1128</v>
      </c>
      <c r="I46" s="49">
        <v>984</v>
      </c>
      <c r="J46" s="49">
        <v>19</v>
      </c>
    </row>
    <row r="47" spans="1:19" x14ac:dyDescent="0.25">
      <c r="A47" s="63" t="s">
        <v>252</v>
      </c>
      <c r="G47" s="49">
        <v>2007</v>
      </c>
      <c r="H47" s="49">
        <v>2259</v>
      </c>
      <c r="I47" s="49">
        <v>1973</v>
      </c>
      <c r="J47" s="49">
        <v>20</v>
      </c>
    </row>
    <row r="48" spans="1:19" x14ac:dyDescent="0.25">
      <c r="A48" t="s">
        <v>253</v>
      </c>
      <c r="G48" s="49">
        <v>2008</v>
      </c>
      <c r="H48" s="49">
        <v>1070</v>
      </c>
      <c r="I48" s="49">
        <v>948</v>
      </c>
      <c r="J48" s="49">
        <v>21</v>
      </c>
    </row>
    <row r="49" spans="1:11" x14ac:dyDescent="0.25">
      <c r="G49" s="49">
        <v>2009</v>
      </c>
      <c r="H49" s="49">
        <v>1299</v>
      </c>
      <c r="I49" s="49">
        <v>1025</v>
      </c>
      <c r="J49" s="49">
        <v>20</v>
      </c>
    </row>
    <row r="50" spans="1:11" x14ac:dyDescent="0.25">
      <c r="G50" s="49">
        <v>2010</v>
      </c>
      <c r="H50" s="49">
        <v>1269</v>
      </c>
      <c r="I50" s="49">
        <v>1072</v>
      </c>
      <c r="J50" s="49">
        <v>19</v>
      </c>
    </row>
    <row r="51" spans="1:11" x14ac:dyDescent="0.25">
      <c r="A51" t="s">
        <v>254</v>
      </c>
      <c r="G51" s="49">
        <v>2011</v>
      </c>
      <c r="H51" s="49">
        <v>2030</v>
      </c>
      <c r="I51" s="49">
        <v>1919</v>
      </c>
      <c r="J51" s="49">
        <v>40</v>
      </c>
    </row>
    <row r="52" spans="1:11" x14ac:dyDescent="0.25">
      <c r="B52" t="s">
        <v>255</v>
      </c>
      <c r="C52" t="s">
        <v>256</v>
      </c>
      <c r="G52" s="49">
        <v>2012</v>
      </c>
      <c r="H52" s="49">
        <v>2402</v>
      </c>
      <c r="I52" s="49">
        <v>2330</v>
      </c>
      <c r="J52" s="49">
        <v>25</v>
      </c>
    </row>
    <row r="53" spans="1:11" x14ac:dyDescent="0.25">
      <c r="A53">
        <v>2013</v>
      </c>
      <c r="B53" s="41">
        <v>15082189</v>
      </c>
      <c r="C53">
        <v>0</v>
      </c>
      <c r="G53" s="49">
        <v>2013</v>
      </c>
      <c r="H53" s="49">
        <v>127</v>
      </c>
      <c r="I53" s="49">
        <v>127</v>
      </c>
      <c r="J53" s="49">
        <v>3</v>
      </c>
    </row>
    <row r="54" spans="1:11" x14ac:dyDescent="0.25">
      <c r="A54">
        <v>2014</v>
      </c>
      <c r="B54" s="41">
        <v>15472923</v>
      </c>
      <c r="C54">
        <v>15742</v>
      </c>
      <c r="G54" s="49">
        <v>2014</v>
      </c>
      <c r="H54" s="49">
        <v>972</v>
      </c>
      <c r="I54" s="49">
        <v>917</v>
      </c>
      <c r="J54" s="49">
        <v>17</v>
      </c>
    </row>
    <row r="55" spans="1:11" x14ac:dyDescent="0.25">
      <c r="A55">
        <v>2015</v>
      </c>
      <c r="B55" s="41">
        <v>15581935</v>
      </c>
      <c r="C55">
        <v>0</v>
      </c>
      <c r="G55" s="49">
        <v>2015</v>
      </c>
      <c r="H55" s="49">
        <v>3020</v>
      </c>
      <c r="I55" s="49">
        <v>2872</v>
      </c>
      <c r="J55" s="49">
        <v>48</v>
      </c>
    </row>
    <row r="56" spans="1:11" x14ac:dyDescent="0.25">
      <c r="A56">
        <v>2016</v>
      </c>
      <c r="B56" s="41">
        <v>16122603</v>
      </c>
      <c r="C56">
        <v>83440</v>
      </c>
      <c r="G56" s="49">
        <v>2016</v>
      </c>
      <c r="H56" s="49">
        <v>1069</v>
      </c>
      <c r="I56" s="49">
        <v>1051</v>
      </c>
      <c r="J56" s="49">
        <v>16</v>
      </c>
    </row>
    <row r="57" spans="1:11" x14ac:dyDescent="0.25">
      <c r="A57">
        <v>2017</v>
      </c>
      <c r="B57" s="41">
        <v>16679884</v>
      </c>
      <c r="C57">
        <v>598165</v>
      </c>
      <c r="G57" s="49">
        <v>2017</v>
      </c>
      <c r="H57" s="49">
        <v>2280</v>
      </c>
      <c r="I57" s="49">
        <v>2191</v>
      </c>
      <c r="J57" s="49">
        <v>22</v>
      </c>
    </row>
    <row r="58" spans="1:11" x14ac:dyDescent="0.25">
      <c r="A58">
        <v>2018</v>
      </c>
      <c r="B58" s="41">
        <v>18829694</v>
      </c>
      <c r="C58">
        <v>237845</v>
      </c>
      <c r="G58" s="49">
        <v>2018</v>
      </c>
      <c r="H58" s="49">
        <v>790</v>
      </c>
      <c r="I58" s="49">
        <v>655</v>
      </c>
      <c r="J58" s="49">
        <v>11</v>
      </c>
    </row>
    <row r="59" spans="1:11" x14ac:dyDescent="0.25">
      <c r="A59">
        <v>2019</v>
      </c>
      <c r="B59" s="41">
        <v>22033625</v>
      </c>
      <c r="C59">
        <v>2938338</v>
      </c>
      <c r="G59" s="49">
        <v>2019</v>
      </c>
      <c r="H59" s="49">
        <v>989</v>
      </c>
      <c r="I59" s="49">
        <v>901</v>
      </c>
      <c r="J59" s="49">
        <v>15</v>
      </c>
    </row>
    <row r="60" spans="1:11" x14ac:dyDescent="0.25">
      <c r="A60">
        <v>2020</v>
      </c>
      <c r="B60" s="41">
        <v>19876866</v>
      </c>
      <c r="C60">
        <v>409412</v>
      </c>
      <c r="G60" s="49">
        <v>2020</v>
      </c>
      <c r="H60" s="49">
        <v>3627</v>
      </c>
      <c r="I60" s="49">
        <v>3204</v>
      </c>
      <c r="J60" s="49">
        <v>53</v>
      </c>
    </row>
    <row r="61" spans="1:11" x14ac:dyDescent="0.25">
      <c r="A61">
        <v>2021</v>
      </c>
      <c r="B61" s="41">
        <v>19713884</v>
      </c>
      <c r="C61">
        <v>87956</v>
      </c>
      <c r="G61" s="49">
        <v>2021</v>
      </c>
      <c r="H61" s="49">
        <v>153</v>
      </c>
      <c r="I61" s="49">
        <v>153</v>
      </c>
      <c r="J61" s="49">
        <v>3</v>
      </c>
    </row>
    <row r="62" spans="1:11" x14ac:dyDescent="0.25">
      <c r="A62">
        <v>2022</v>
      </c>
      <c r="B62" s="41">
        <v>18335183</v>
      </c>
      <c r="C62">
        <v>0</v>
      </c>
      <c r="G62" s="49">
        <v>8888</v>
      </c>
      <c r="H62" s="49">
        <v>9181</v>
      </c>
      <c r="I62" s="49">
        <v>7752</v>
      </c>
      <c r="J62" s="49">
        <v>102</v>
      </c>
    </row>
    <row r="63" spans="1:11" x14ac:dyDescent="0.25">
      <c r="A63">
        <v>2023</v>
      </c>
      <c r="B63" s="41">
        <v>20309730</v>
      </c>
      <c r="C63">
        <v>1004617</v>
      </c>
      <c r="G63" t="s">
        <v>247</v>
      </c>
      <c r="H63">
        <f>SUM(H27:H62)</f>
        <v>68779</v>
      </c>
      <c r="I63">
        <f>SUM(I27:I62)</f>
        <v>57686</v>
      </c>
      <c r="K63" s="64">
        <f>I63/H63</f>
        <v>0.83871530554384333</v>
      </c>
    </row>
    <row r="64" spans="1:11" x14ac:dyDescent="0.25">
      <c r="B64" s="65">
        <f>AVERAGE(B53:B63)</f>
        <v>18003501.454545453</v>
      </c>
      <c r="C64" s="65">
        <f>AVERAGE(C53:C63)</f>
        <v>488683.18181818182</v>
      </c>
      <c r="D64" s="66">
        <f>C64/B64</f>
        <v>2.714378550483584E-2</v>
      </c>
      <c r="G64" s="1" t="s">
        <v>257</v>
      </c>
    </row>
    <row r="65" spans="1:10" x14ac:dyDescent="0.25">
      <c r="G65" s="48" t="s">
        <v>216</v>
      </c>
      <c r="H65" s="48" t="s">
        <v>217</v>
      </c>
      <c r="I65" s="48" t="s">
        <v>218</v>
      </c>
      <c r="J65" s="48" t="s">
        <v>220</v>
      </c>
    </row>
    <row r="66" spans="1:10" x14ac:dyDescent="0.25">
      <c r="A66" t="s">
        <v>258</v>
      </c>
      <c r="G66" s="49">
        <v>2014</v>
      </c>
      <c r="H66" s="54"/>
      <c r="I66" s="49">
        <v>72</v>
      </c>
      <c r="J66" s="49">
        <v>1</v>
      </c>
    </row>
    <row r="67" spans="1:10" x14ac:dyDescent="0.25">
      <c r="A67" t="s">
        <v>259</v>
      </c>
      <c r="G67" s="1" t="s">
        <v>260</v>
      </c>
    </row>
    <row r="68" spans="1:10" x14ac:dyDescent="0.25">
      <c r="A68" t="s">
        <v>261</v>
      </c>
      <c r="G68" s="48" t="s">
        <v>216</v>
      </c>
      <c r="H68" s="48" t="s">
        <v>217</v>
      </c>
      <c r="I68" s="48" t="s">
        <v>218</v>
      </c>
      <c r="J68" s="48" t="s">
        <v>220</v>
      </c>
    </row>
    <row r="69" spans="1:10" x14ac:dyDescent="0.25">
      <c r="A69" s="1" t="s">
        <v>262</v>
      </c>
      <c r="G69" s="49">
        <v>1991</v>
      </c>
      <c r="H69" s="49">
        <v>30</v>
      </c>
      <c r="I69" s="54"/>
      <c r="J69" s="49">
        <v>1</v>
      </c>
    </row>
    <row r="70" spans="1:10" x14ac:dyDescent="0.25">
      <c r="B70" s="48" t="s">
        <v>217</v>
      </c>
      <c r="C70" s="48" t="s">
        <v>218</v>
      </c>
      <c r="D70" s="48" t="s">
        <v>219</v>
      </c>
      <c r="E70" s="48" t="s">
        <v>220</v>
      </c>
      <c r="G70" s="49">
        <v>1993</v>
      </c>
      <c r="H70" s="49">
        <v>143</v>
      </c>
      <c r="I70" s="54"/>
      <c r="J70" s="49">
        <v>2</v>
      </c>
    </row>
    <row r="71" spans="1:10" x14ac:dyDescent="0.25">
      <c r="B71" s="49">
        <v>1664</v>
      </c>
      <c r="C71" s="49">
        <v>267</v>
      </c>
      <c r="D71" s="49">
        <v>1168.925</v>
      </c>
      <c r="E71" s="50">
        <v>26</v>
      </c>
      <c r="G71" s="49">
        <v>1994</v>
      </c>
      <c r="H71" s="49">
        <v>24</v>
      </c>
      <c r="I71" s="54"/>
      <c r="J71" s="49">
        <v>1</v>
      </c>
    </row>
    <row r="72" spans="1:10" x14ac:dyDescent="0.25">
      <c r="A72" t="s">
        <v>263</v>
      </c>
      <c r="G72" s="49">
        <v>1995</v>
      </c>
      <c r="H72" s="49">
        <v>71</v>
      </c>
      <c r="I72" s="54"/>
      <c r="J72" s="49">
        <v>1</v>
      </c>
    </row>
    <row r="73" spans="1:10" x14ac:dyDescent="0.25">
      <c r="A73" t="s">
        <v>264</v>
      </c>
      <c r="G73" s="49">
        <v>2001</v>
      </c>
      <c r="H73" s="49">
        <v>168</v>
      </c>
      <c r="I73" s="54"/>
      <c r="J73" s="49">
        <v>1</v>
      </c>
    </row>
    <row r="74" spans="1:10" x14ac:dyDescent="0.25">
      <c r="B74" s="68" t="s">
        <v>217</v>
      </c>
      <c r="C74" s="68" t="s">
        <v>218</v>
      </c>
      <c r="D74" s="68" t="s">
        <v>219</v>
      </c>
      <c r="E74" s="68" t="s">
        <v>220</v>
      </c>
      <c r="G74" s="49">
        <v>2002</v>
      </c>
      <c r="H74" s="49">
        <v>154</v>
      </c>
      <c r="I74" s="54"/>
      <c r="J74" s="49">
        <v>2</v>
      </c>
    </row>
    <row r="75" spans="1:10" x14ac:dyDescent="0.25">
      <c r="B75" s="60">
        <f>B42-B71</f>
        <v>81787</v>
      </c>
      <c r="C75" s="60">
        <f>C42-C71</f>
        <v>57491</v>
      </c>
      <c r="D75" s="60">
        <f>D42-D71</f>
        <v>68898.882999999987</v>
      </c>
      <c r="E75" s="60">
        <f>E42-E71</f>
        <v>1009</v>
      </c>
      <c r="G75" s="49">
        <v>2004</v>
      </c>
      <c r="H75" s="49">
        <v>80</v>
      </c>
      <c r="I75" s="54"/>
      <c r="J75" s="49">
        <v>1</v>
      </c>
    </row>
    <row r="76" spans="1:10" x14ac:dyDescent="0.25">
      <c r="G76" s="49">
        <v>2005</v>
      </c>
      <c r="H76" s="49">
        <v>133</v>
      </c>
      <c r="I76" s="54"/>
      <c r="J76" s="49">
        <v>3</v>
      </c>
    </row>
    <row r="77" spans="1:10" x14ac:dyDescent="0.25">
      <c r="G77" s="49">
        <v>2006</v>
      </c>
      <c r="H77" s="49">
        <v>52</v>
      </c>
      <c r="I77" s="54"/>
      <c r="J77" s="49">
        <v>1</v>
      </c>
    </row>
    <row r="78" spans="1:10" x14ac:dyDescent="0.25">
      <c r="G78" s="49">
        <v>2013</v>
      </c>
      <c r="H78" s="49">
        <v>2185</v>
      </c>
      <c r="I78" s="54"/>
      <c r="J78" s="49">
        <v>24</v>
      </c>
    </row>
    <row r="79" spans="1:10" x14ac:dyDescent="0.25">
      <c r="G79" s="49">
        <v>8888</v>
      </c>
      <c r="H79" s="49">
        <v>11632</v>
      </c>
      <c r="I79" s="54"/>
      <c r="J79" s="49">
        <v>123</v>
      </c>
    </row>
    <row r="81" spans="1:38" x14ac:dyDescent="0.25">
      <c r="A81" t="s">
        <v>265</v>
      </c>
    </row>
    <row r="82" spans="1:38" x14ac:dyDescent="0.25">
      <c r="A82" s="51" t="s">
        <v>216</v>
      </c>
      <c r="B82" s="51" t="s">
        <v>266</v>
      </c>
      <c r="C82" s="51" t="s">
        <v>267</v>
      </c>
      <c r="D82" s="51" t="s">
        <v>268</v>
      </c>
      <c r="E82" s="51" t="s">
        <v>269</v>
      </c>
      <c r="F82" s="51" t="s">
        <v>270</v>
      </c>
      <c r="G82" s="51" t="s">
        <v>271</v>
      </c>
      <c r="H82" s="51" t="s">
        <v>272</v>
      </c>
      <c r="I82" s="51" t="s">
        <v>273</v>
      </c>
      <c r="J82" s="51" t="s">
        <v>274</v>
      </c>
      <c r="K82" s="51" t="s">
        <v>275</v>
      </c>
      <c r="L82" s="51" t="s">
        <v>276</v>
      </c>
      <c r="M82" s="51" t="s">
        <v>277</v>
      </c>
      <c r="N82" s="51" t="s">
        <v>278</v>
      </c>
      <c r="O82" s="51" t="s">
        <v>279</v>
      </c>
      <c r="P82" s="51" t="s">
        <v>280</v>
      </c>
      <c r="Q82" s="51" t="s">
        <v>281</v>
      </c>
      <c r="R82" s="51" t="s">
        <v>282</v>
      </c>
      <c r="S82" s="51" t="s">
        <v>283</v>
      </c>
      <c r="T82" s="51" t="s">
        <v>284</v>
      </c>
      <c r="U82" s="51" t="s">
        <v>285</v>
      </c>
      <c r="V82" s="51" t="s">
        <v>286</v>
      </c>
      <c r="W82" s="51" t="s">
        <v>287</v>
      </c>
      <c r="X82" s="51" t="s">
        <v>288</v>
      </c>
      <c r="Y82" s="51" t="s">
        <v>289</v>
      </c>
      <c r="Z82" s="51" t="s">
        <v>290</v>
      </c>
      <c r="AA82" s="51" t="s">
        <v>291</v>
      </c>
      <c r="AB82" s="51" t="s">
        <v>292</v>
      </c>
      <c r="AC82" s="51" t="s">
        <v>293</v>
      </c>
      <c r="AD82" s="51" t="s">
        <v>294</v>
      </c>
      <c r="AE82" s="51" t="s">
        <v>295</v>
      </c>
      <c r="AF82" s="51" t="s">
        <v>296</v>
      </c>
      <c r="AG82" s="51" t="s">
        <v>297</v>
      </c>
      <c r="AH82" s="51" t="s">
        <v>298</v>
      </c>
      <c r="AI82" s="51" t="s">
        <v>299</v>
      </c>
      <c r="AJ82" s="51" t="s">
        <v>300</v>
      </c>
      <c r="AK82" s="51" t="s">
        <v>301</v>
      </c>
      <c r="AL82" s="51" t="s">
        <v>302</v>
      </c>
    </row>
    <row r="83" spans="1:38" x14ac:dyDescent="0.25">
      <c r="A83" s="52">
        <v>1987</v>
      </c>
      <c r="B83" s="52">
        <v>14</v>
      </c>
      <c r="C83" s="52">
        <v>1</v>
      </c>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row>
    <row r="84" spans="1:38" x14ac:dyDescent="0.25">
      <c r="A84" s="52">
        <v>1988</v>
      </c>
      <c r="B84" s="52">
        <v>5</v>
      </c>
      <c r="C84" s="52">
        <v>25</v>
      </c>
      <c r="D84" s="61"/>
      <c r="E84" s="61"/>
      <c r="F84" s="61"/>
      <c r="G84" s="61"/>
      <c r="H84" s="61"/>
      <c r="I84" s="61"/>
      <c r="J84" s="61"/>
      <c r="K84" s="61"/>
      <c r="L84" s="61"/>
      <c r="M84" s="61"/>
      <c r="N84" s="61"/>
      <c r="O84" s="61"/>
      <c r="P84" s="61"/>
      <c r="Q84" s="61"/>
      <c r="R84" s="61"/>
      <c r="S84" s="61"/>
      <c r="T84" s="61"/>
      <c r="U84" s="61"/>
      <c r="V84" s="61"/>
      <c r="W84" s="61"/>
      <c r="X84" s="61"/>
      <c r="Y84" s="61"/>
      <c r="Z84" s="61"/>
      <c r="AA84" s="61"/>
      <c r="AB84" s="61"/>
      <c r="AC84" s="61"/>
      <c r="AD84" s="61"/>
      <c r="AE84" s="61"/>
      <c r="AF84" s="61"/>
      <c r="AG84" s="61"/>
      <c r="AH84" s="61"/>
      <c r="AI84" s="61"/>
      <c r="AJ84" s="61"/>
      <c r="AK84" s="61"/>
      <c r="AL84" s="61"/>
    </row>
    <row r="85" spans="1:38" x14ac:dyDescent="0.25">
      <c r="A85" s="52">
        <v>1989</v>
      </c>
      <c r="B85" s="52">
        <v>2</v>
      </c>
      <c r="C85" s="52">
        <v>15</v>
      </c>
      <c r="D85" s="52">
        <v>8</v>
      </c>
      <c r="E85" s="61"/>
      <c r="F85" s="61"/>
      <c r="G85" s="61"/>
      <c r="H85" s="61"/>
      <c r="I85" s="61"/>
      <c r="J85" s="61"/>
      <c r="K85" s="61"/>
      <c r="L85" s="61"/>
      <c r="M85" s="61"/>
      <c r="N85" s="61"/>
      <c r="O85" s="61"/>
      <c r="P85" s="61"/>
      <c r="Q85" s="61"/>
      <c r="R85" s="61"/>
      <c r="S85" s="61"/>
      <c r="T85" s="61"/>
      <c r="U85" s="61"/>
      <c r="V85" s="61"/>
      <c r="W85" s="61"/>
      <c r="X85" s="61"/>
      <c r="Y85" s="61"/>
      <c r="Z85" s="61"/>
      <c r="AA85" s="61"/>
      <c r="AB85" s="61"/>
      <c r="AC85" s="61"/>
      <c r="AD85" s="61"/>
      <c r="AE85" s="61"/>
      <c r="AF85" s="61"/>
      <c r="AG85" s="61"/>
      <c r="AH85" s="61"/>
      <c r="AI85" s="61"/>
      <c r="AJ85" s="61"/>
      <c r="AK85" s="61"/>
      <c r="AL85" s="61"/>
    </row>
    <row r="86" spans="1:38" x14ac:dyDescent="0.25">
      <c r="A86" s="52">
        <v>1990</v>
      </c>
      <c r="B86" s="61"/>
      <c r="C86" s="52">
        <v>9</v>
      </c>
      <c r="D86" s="52">
        <v>4</v>
      </c>
      <c r="E86" s="52">
        <v>1</v>
      </c>
      <c r="F86" s="61"/>
      <c r="G86" s="61"/>
      <c r="H86" s="61"/>
      <c r="I86" s="61"/>
      <c r="J86" s="61"/>
      <c r="K86" s="61"/>
      <c r="L86" s="61"/>
      <c r="M86" s="61"/>
      <c r="N86" s="61"/>
      <c r="O86" s="61"/>
      <c r="P86" s="61"/>
      <c r="Q86" s="61"/>
      <c r="R86" s="61"/>
      <c r="S86" s="61"/>
      <c r="T86" s="61"/>
      <c r="U86" s="61"/>
      <c r="V86" s="61"/>
      <c r="W86" s="61"/>
      <c r="X86" s="61"/>
      <c r="Y86" s="61"/>
      <c r="Z86" s="61"/>
      <c r="AA86" s="61"/>
      <c r="AB86" s="61"/>
      <c r="AC86" s="61"/>
      <c r="AD86" s="61"/>
      <c r="AE86" s="61"/>
      <c r="AF86" s="61"/>
      <c r="AG86" s="61"/>
      <c r="AH86" s="61"/>
      <c r="AI86" s="61"/>
      <c r="AJ86" s="61"/>
      <c r="AK86" s="52">
        <v>1</v>
      </c>
      <c r="AL86" s="61"/>
    </row>
    <row r="87" spans="1:38" x14ac:dyDescent="0.25">
      <c r="A87" s="52">
        <v>1991</v>
      </c>
      <c r="B87" s="61"/>
      <c r="C87" s="61"/>
      <c r="D87" s="52">
        <v>9</v>
      </c>
      <c r="E87" s="52">
        <v>8</v>
      </c>
      <c r="F87" s="52">
        <v>3</v>
      </c>
      <c r="G87" s="61"/>
      <c r="H87" s="61"/>
      <c r="I87" s="61"/>
      <c r="J87" s="61"/>
      <c r="K87" s="61"/>
      <c r="L87" s="61"/>
      <c r="M87" s="61"/>
      <c r="N87" s="61"/>
      <c r="O87" s="61"/>
      <c r="P87" s="61"/>
      <c r="Q87" s="61"/>
      <c r="R87" s="61"/>
      <c r="S87" s="61"/>
      <c r="T87" s="61"/>
      <c r="U87" s="61"/>
      <c r="V87" s="61"/>
      <c r="W87" s="61"/>
      <c r="X87" s="61"/>
      <c r="Y87" s="61"/>
      <c r="Z87" s="61"/>
      <c r="AA87" s="61"/>
      <c r="AB87" s="61"/>
      <c r="AC87" s="61"/>
      <c r="AD87" s="61"/>
      <c r="AE87" s="61"/>
      <c r="AF87" s="61"/>
      <c r="AG87" s="61"/>
      <c r="AH87" s="61"/>
      <c r="AI87" s="61"/>
      <c r="AJ87" s="61"/>
      <c r="AK87" s="61"/>
      <c r="AL87" s="61"/>
    </row>
    <row r="88" spans="1:38" x14ac:dyDescent="0.25">
      <c r="A88" s="52">
        <v>1992</v>
      </c>
      <c r="B88" s="61"/>
      <c r="C88" s="61"/>
      <c r="D88" s="61"/>
      <c r="E88" s="52">
        <v>5</v>
      </c>
      <c r="F88" s="52">
        <v>4</v>
      </c>
      <c r="G88" s="61"/>
      <c r="H88" s="61"/>
      <c r="I88" s="61"/>
      <c r="J88" s="61"/>
      <c r="K88" s="61"/>
      <c r="L88" s="61"/>
      <c r="M88" s="61"/>
      <c r="N88" s="61"/>
      <c r="O88" s="61"/>
      <c r="P88" s="61"/>
      <c r="Q88" s="61"/>
      <c r="R88" s="61"/>
      <c r="S88" s="61"/>
      <c r="T88" s="61"/>
      <c r="U88" s="61"/>
      <c r="V88" s="61"/>
      <c r="W88" s="61"/>
      <c r="X88" s="61"/>
      <c r="Y88" s="61"/>
      <c r="Z88" s="61"/>
      <c r="AA88" s="61"/>
      <c r="AB88" s="61"/>
      <c r="AC88" s="61"/>
      <c r="AD88" s="61"/>
      <c r="AE88" s="61"/>
      <c r="AF88" s="61"/>
      <c r="AG88" s="61"/>
      <c r="AH88" s="61"/>
      <c r="AI88" s="61"/>
      <c r="AJ88" s="61"/>
      <c r="AK88" s="61"/>
      <c r="AL88" s="61"/>
    </row>
    <row r="89" spans="1:38" x14ac:dyDescent="0.25">
      <c r="A89" s="52">
        <v>1993</v>
      </c>
      <c r="B89" s="61"/>
      <c r="C89" s="61"/>
      <c r="D89" s="61"/>
      <c r="E89" s="52">
        <v>13</v>
      </c>
      <c r="F89" s="52">
        <v>6</v>
      </c>
      <c r="G89" s="52">
        <v>3</v>
      </c>
      <c r="H89" s="52">
        <v>1</v>
      </c>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L89" s="61"/>
    </row>
    <row r="90" spans="1:38" x14ac:dyDescent="0.25">
      <c r="A90" s="52">
        <v>1994</v>
      </c>
      <c r="B90" s="61"/>
      <c r="C90" s="61"/>
      <c r="D90" s="61"/>
      <c r="E90" s="61"/>
      <c r="F90" s="61"/>
      <c r="G90" s="52">
        <v>15</v>
      </c>
      <c r="H90" s="52">
        <v>5</v>
      </c>
      <c r="I90" s="52">
        <v>1</v>
      </c>
      <c r="J90" s="61"/>
      <c r="K90" s="61"/>
      <c r="L90" s="61"/>
      <c r="M90" s="61"/>
      <c r="N90" s="61"/>
      <c r="O90" s="61"/>
      <c r="P90" s="61"/>
      <c r="Q90" s="61"/>
      <c r="R90" s="61"/>
      <c r="S90" s="61"/>
      <c r="T90" s="61"/>
      <c r="U90" s="61"/>
      <c r="V90" s="61"/>
      <c r="W90" s="61"/>
      <c r="X90" s="61"/>
      <c r="Y90" s="61"/>
      <c r="Z90" s="61"/>
      <c r="AA90" s="61"/>
      <c r="AB90" s="61"/>
      <c r="AC90" s="61"/>
      <c r="AD90" s="61"/>
      <c r="AE90" s="61"/>
      <c r="AF90" s="61"/>
      <c r="AG90" s="61"/>
      <c r="AH90" s="61"/>
      <c r="AI90" s="61"/>
      <c r="AJ90" s="61"/>
      <c r="AK90" s="61"/>
      <c r="AL90" s="61"/>
    </row>
    <row r="91" spans="1:38" x14ac:dyDescent="0.25">
      <c r="A91" s="52">
        <v>1995</v>
      </c>
      <c r="B91" s="61"/>
      <c r="C91" s="61"/>
      <c r="D91" s="61"/>
      <c r="E91" s="61"/>
      <c r="F91" s="61"/>
      <c r="G91" s="61"/>
      <c r="H91" s="52">
        <v>9</v>
      </c>
      <c r="I91" s="52">
        <v>2</v>
      </c>
      <c r="J91" s="52">
        <v>1</v>
      </c>
      <c r="K91" s="61"/>
      <c r="L91" s="61"/>
      <c r="M91" s="61"/>
      <c r="N91" s="61"/>
      <c r="O91" s="61"/>
      <c r="P91" s="61"/>
      <c r="Q91" s="61"/>
      <c r="R91" s="61"/>
      <c r="S91" s="61"/>
      <c r="T91" s="61"/>
      <c r="U91" s="61"/>
      <c r="V91" s="61"/>
      <c r="W91" s="61"/>
      <c r="X91" s="61"/>
      <c r="Y91" s="61"/>
      <c r="Z91" s="61"/>
      <c r="AA91" s="61"/>
      <c r="AB91" s="61"/>
      <c r="AC91" s="61"/>
      <c r="AD91" s="61"/>
      <c r="AE91" s="61"/>
      <c r="AF91" s="61"/>
      <c r="AG91" s="61"/>
      <c r="AH91" s="61"/>
      <c r="AI91" s="61"/>
      <c r="AJ91" s="61"/>
      <c r="AK91" s="61"/>
      <c r="AL91" s="61"/>
    </row>
    <row r="92" spans="1:38" x14ac:dyDescent="0.25">
      <c r="A92" s="52">
        <v>1996</v>
      </c>
      <c r="B92" s="61"/>
      <c r="C92" s="61"/>
      <c r="D92" s="61"/>
      <c r="E92" s="61"/>
      <c r="F92" s="61"/>
      <c r="G92" s="61"/>
      <c r="H92" s="61"/>
      <c r="I92" s="52">
        <v>8</v>
      </c>
      <c r="J92" s="52">
        <v>4</v>
      </c>
      <c r="K92" s="52">
        <v>2</v>
      </c>
      <c r="L92" s="61"/>
      <c r="M92" s="61"/>
      <c r="N92" s="61"/>
      <c r="O92" s="61"/>
      <c r="P92" s="61"/>
      <c r="Q92" s="61"/>
      <c r="R92" s="61"/>
      <c r="S92" s="61"/>
      <c r="T92" s="61"/>
      <c r="U92" s="61"/>
      <c r="V92" s="61"/>
      <c r="W92" s="61"/>
      <c r="X92" s="61"/>
      <c r="Y92" s="61"/>
      <c r="Z92" s="61"/>
      <c r="AA92" s="61"/>
      <c r="AB92" s="61"/>
      <c r="AC92" s="61"/>
      <c r="AD92" s="61"/>
      <c r="AE92" s="61"/>
      <c r="AF92" s="61"/>
      <c r="AG92" s="61"/>
      <c r="AH92" s="61"/>
      <c r="AI92" s="61"/>
      <c r="AJ92" s="61"/>
      <c r="AK92" s="61"/>
      <c r="AL92" s="61"/>
    </row>
    <row r="93" spans="1:38" x14ac:dyDescent="0.25">
      <c r="A93" s="52">
        <v>1997</v>
      </c>
      <c r="B93" s="61"/>
      <c r="C93" s="61"/>
      <c r="D93" s="61"/>
      <c r="E93" s="61"/>
      <c r="F93" s="61"/>
      <c r="G93" s="61"/>
      <c r="H93" s="61"/>
      <c r="I93" s="52">
        <v>2</v>
      </c>
      <c r="J93" s="52">
        <v>14</v>
      </c>
      <c r="K93" s="52">
        <v>8</v>
      </c>
      <c r="L93" s="52">
        <v>1</v>
      </c>
      <c r="M93" s="61"/>
      <c r="N93" s="61"/>
      <c r="O93" s="61"/>
      <c r="P93" s="61"/>
      <c r="Q93" s="61"/>
      <c r="R93" s="61"/>
      <c r="S93" s="61"/>
      <c r="T93" s="61"/>
      <c r="U93" s="61"/>
      <c r="V93" s="61"/>
      <c r="W93" s="61"/>
      <c r="X93" s="61"/>
      <c r="Y93" s="61"/>
      <c r="Z93" s="61"/>
      <c r="AA93" s="61"/>
      <c r="AB93" s="61"/>
      <c r="AC93" s="61"/>
      <c r="AD93" s="61"/>
      <c r="AE93" s="61"/>
      <c r="AF93" s="61"/>
      <c r="AG93" s="61"/>
      <c r="AH93" s="61"/>
      <c r="AI93" s="61"/>
      <c r="AJ93" s="61"/>
      <c r="AK93" s="52">
        <v>1</v>
      </c>
      <c r="AL93" s="61"/>
    </row>
    <row r="94" spans="1:38" x14ac:dyDescent="0.25">
      <c r="A94" s="52">
        <v>1998</v>
      </c>
      <c r="B94" s="61"/>
      <c r="C94" s="61"/>
      <c r="D94" s="61"/>
      <c r="E94" s="61"/>
      <c r="F94" s="61"/>
      <c r="G94" s="61"/>
      <c r="H94" s="61"/>
      <c r="I94" s="61"/>
      <c r="J94" s="61"/>
      <c r="K94" s="52">
        <v>10</v>
      </c>
      <c r="L94" s="52">
        <v>12</v>
      </c>
      <c r="M94" s="52">
        <v>1</v>
      </c>
      <c r="N94" s="61"/>
      <c r="O94" s="61"/>
      <c r="P94" s="61"/>
      <c r="Q94" s="61"/>
      <c r="R94" s="61"/>
      <c r="S94" s="61"/>
      <c r="T94" s="61"/>
      <c r="U94" s="61"/>
      <c r="V94" s="61"/>
      <c r="W94" s="61"/>
      <c r="X94" s="61"/>
      <c r="Y94" s="61"/>
      <c r="Z94" s="61"/>
      <c r="AA94" s="61"/>
      <c r="AB94" s="61"/>
      <c r="AC94" s="61"/>
      <c r="AD94" s="61"/>
      <c r="AE94" s="61"/>
      <c r="AF94" s="61"/>
      <c r="AG94" s="61"/>
      <c r="AH94" s="61"/>
      <c r="AI94" s="61"/>
      <c r="AJ94" s="61"/>
      <c r="AK94" s="61"/>
      <c r="AL94" s="61"/>
    </row>
    <row r="95" spans="1:38" x14ac:dyDescent="0.25">
      <c r="A95" s="52">
        <v>1999</v>
      </c>
      <c r="B95" s="61"/>
      <c r="C95" s="61"/>
      <c r="D95" s="61"/>
      <c r="E95" s="61"/>
      <c r="F95" s="61"/>
      <c r="G95" s="61"/>
      <c r="H95" s="61"/>
      <c r="I95" s="61"/>
      <c r="J95" s="61"/>
      <c r="K95" s="52">
        <v>1</v>
      </c>
      <c r="L95" s="52">
        <v>8</v>
      </c>
      <c r="M95" s="52">
        <v>15</v>
      </c>
      <c r="N95" s="52">
        <v>3</v>
      </c>
      <c r="O95" s="61"/>
      <c r="P95" s="61"/>
      <c r="Q95" s="61"/>
      <c r="R95" s="61"/>
      <c r="S95" s="61"/>
      <c r="T95" s="61"/>
      <c r="U95" s="61"/>
      <c r="V95" s="61"/>
      <c r="W95" s="61"/>
      <c r="X95" s="61"/>
      <c r="Y95" s="61"/>
      <c r="Z95" s="61"/>
      <c r="AA95" s="61"/>
      <c r="AB95" s="61"/>
      <c r="AC95" s="61"/>
      <c r="AD95" s="61"/>
      <c r="AE95" s="61"/>
      <c r="AF95" s="61"/>
      <c r="AG95" s="61"/>
      <c r="AH95" s="61"/>
      <c r="AI95" s="61"/>
      <c r="AJ95" s="61"/>
      <c r="AK95" s="61"/>
      <c r="AL95" s="61"/>
    </row>
    <row r="96" spans="1:38" x14ac:dyDescent="0.25">
      <c r="A96" s="52">
        <v>2000</v>
      </c>
      <c r="B96" s="61"/>
      <c r="C96" s="61"/>
      <c r="D96" s="61"/>
      <c r="E96" s="61"/>
      <c r="F96" s="61"/>
      <c r="G96" s="61"/>
      <c r="H96" s="61"/>
      <c r="I96" s="61"/>
      <c r="J96" s="61"/>
      <c r="K96" s="61"/>
      <c r="L96" s="61"/>
      <c r="M96" s="52">
        <v>14</v>
      </c>
      <c r="N96" s="52">
        <v>17</v>
      </c>
      <c r="O96" s="52">
        <v>1</v>
      </c>
      <c r="P96" s="61"/>
      <c r="Q96" s="61"/>
      <c r="R96" s="61"/>
      <c r="S96" s="61"/>
      <c r="T96" s="61"/>
      <c r="U96" s="61"/>
      <c r="V96" s="61"/>
      <c r="W96" s="61"/>
      <c r="X96" s="61"/>
      <c r="Y96" s="61"/>
      <c r="Z96" s="61"/>
      <c r="AA96" s="61"/>
      <c r="AB96" s="61"/>
      <c r="AC96" s="61"/>
      <c r="AD96" s="61"/>
      <c r="AE96" s="61"/>
      <c r="AF96" s="61"/>
      <c r="AG96" s="61"/>
      <c r="AH96" s="61"/>
      <c r="AI96" s="61"/>
      <c r="AJ96" s="61"/>
      <c r="AK96" s="61"/>
      <c r="AL96" s="61"/>
    </row>
    <row r="97" spans="1:38" x14ac:dyDescent="0.25">
      <c r="A97" s="52">
        <v>2001</v>
      </c>
      <c r="B97" s="61"/>
      <c r="C97" s="61"/>
      <c r="D97" s="61"/>
      <c r="E97" s="61"/>
      <c r="F97" s="61"/>
      <c r="G97" s="61"/>
      <c r="H97" s="61"/>
      <c r="I97" s="61"/>
      <c r="J97" s="61"/>
      <c r="K97" s="61"/>
      <c r="L97" s="61"/>
      <c r="M97" s="61"/>
      <c r="N97" s="52">
        <v>8</v>
      </c>
      <c r="O97" s="52">
        <v>13</v>
      </c>
      <c r="P97" s="52">
        <v>7</v>
      </c>
      <c r="Q97" s="61"/>
      <c r="R97" s="61"/>
      <c r="S97" s="61"/>
      <c r="T97" s="61"/>
      <c r="U97" s="61"/>
      <c r="V97" s="61"/>
      <c r="W97" s="61"/>
      <c r="X97" s="61"/>
      <c r="Y97" s="61"/>
      <c r="Z97" s="61"/>
      <c r="AA97" s="61"/>
      <c r="AB97" s="61"/>
      <c r="AC97" s="61"/>
      <c r="AD97" s="61"/>
      <c r="AE97" s="61"/>
      <c r="AF97" s="61"/>
      <c r="AG97" s="61"/>
      <c r="AH97" s="61"/>
      <c r="AI97" s="61"/>
      <c r="AJ97" s="61"/>
      <c r="AK97" s="61"/>
      <c r="AL97" s="61"/>
    </row>
    <row r="98" spans="1:38" x14ac:dyDescent="0.25">
      <c r="A98" s="52">
        <v>2002</v>
      </c>
      <c r="B98" s="61"/>
      <c r="C98" s="61"/>
      <c r="D98" s="61"/>
      <c r="E98" s="61"/>
      <c r="F98" s="61"/>
      <c r="G98" s="61"/>
      <c r="H98" s="61"/>
      <c r="I98" s="61"/>
      <c r="J98" s="61"/>
      <c r="K98" s="61"/>
      <c r="L98" s="61"/>
      <c r="M98" s="61"/>
      <c r="N98" s="61"/>
      <c r="O98" s="52">
        <v>11</v>
      </c>
      <c r="P98" s="52">
        <v>8</v>
      </c>
      <c r="Q98" s="52">
        <v>1</v>
      </c>
      <c r="R98" s="61"/>
      <c r="S98" s="61"/>
      <c r="T98" s="61"/>
      <c r="U98" s="61"/>
      <c r="V98" s="61"/>
      <c r="W98" s="61"/>
      <c r="X98" s="61"/>
      <c r="Y98" s="61"/>
      <c r="Z98" s="61"/>
      <c r="AA98" s="61"/>
      <c r="AB98" s="61"/>
      <c r="AC98" s="61"/>
      <c r="AD98" s="61"/>
      <c r="AE98" s="61"/>
      <c r="AF98" s="61"/>
      <c r="AG98" s="61"/>
      <c r="AH98" s="61"/>
      <c r="AI98" s="61"/>
      <c r="AJ98" s="61"/>
      <c r="AK98" s="61"/>
      <c r="AL98" s="61"/>
    </row>
    <row r="99" spans="1:38" x14ac:dyDescent="0.25">
      <c r="A99" s="52">
        <v>2003</v>
      </c>
      <c r="B99" s="61"/>
      <c r="C99" s="61"/>
      <c r="D99" s="61"/>
      <c r="E99" s="61"/>
      <c r="F99" s="61"/>
      <c r="G99" s="61"/>
      <c r="H99" s="61"/>
      <c r="I99" s="61"/>
      <c r="J99" s="61"/>
      <c r="K99" s="61"/>
      <c r="L99" s="61"/>
      <c r="M99" s="61"/>
      <c r="N99" s="52">
        <v>1</v>
      </c>
      <c r="O99" s="52">
        <v>1</v>
      </c>
      <c r="P99" s="52">
        <v>9</v>
      </c>
      <c r="Q99" s="52">
        <v>14</v>
      </c>
      <c r="R99" s="52">
        <v>4</v>
      </c>
      <c r="S99" s="61"/>
      <c r="T99" s="61"/>
      <c r="U99" s="61"/>
      <c r="V99" s="61"/>
      <c r="W99" s="61"/>
      <c r="X99" s="61"/>
      <c r="Y99" s="61"/>
      <c r="Z99" s="61"/>
      <c r="AA99" s="61"/>
      <c r="AB99" s="61"/>
      <c r="AC99" s="61"/>
      <c r="AD99" s="61"/>
      <c r="AE99" s="61"/>
      <c r="AF99" s="61"/>
      <c r="AG99" s="61"/>
      <c r="AH99" s="61"/>
      <c r="AI99" s="61"/>
      <c r="AJ99" s="61"/>
      <c r="AK99" s="52">
        <v>1</v>
      </c>
      <c r="AL99" s="61"/>
    </row>
    <row r="100" spans="1:38" x14ac:dyDescent="0.25">
      <c r="A100" s="52">
        <v>2004</v>
      </c>
      <c r="B100" s="61"/>
      <c r="C100" s="61"/>
      <c r="D100" s="61"/>
      <c r="E100" s="61"/>
      <c r="F100" s="61"/>
      <c r="G100" s="61"/>
      <c r="H100" s="61"/>
      <c r="I100" s="61"/>
      <c r="J100" s="61"/>
      <c r="K100" s="61"/>
      <c r="L100" s="61"/>
      <c r="M100" s="61"/>
      <c r="N100" s="61"/>
      <c r="O100" s="61"/>
      <c r="P100" s="52">
        <v>1</v>
      </c>
      <c r="Q100" s="52">
        <v>13</v>
      </c>
      <c r="R100" s="52">
        <v>7</v>
      </c>
      <c r="S100" s="52">
        <v>3</v>
      </c>
      <c r="T100" s="61"/>
      <c r="U100" s="61"/>
      <c r="V100" s="61"/>
      <c r="W100" s="61"/>
      <c r="X100" s="61"/>
      <c r="Y100" s="61"/>
      <c r="Z100" s="61"/>
      <c r="AA100" s="61"/>
      <c r="AB100" s="61"/>
      <c r="AC100" s="61"/>
      <c r="AD100" s="61"/>
      <c r="AE100" s="61"/>
      <c r="AF100" s="61"/>
      <c r="AG100" s="61"/>
      <c r="AH100" s="61"/>
      <c r="AI100" s="61"/>
      <c r="AJ100" s="61"/>
      <c r="AK100" s="61"/>
      <c r="AL100" s="61"/>
    </row>
    <row r="101" spans="1:38" x14ac:dyDescent="0.25">
      <c r="A101" s="52">
        <v>2005</v>
      </c>
      <c r="B101" s="61"/>
      <c r="C101" s="61"/>
      <c r="D101" s="61"/>
      <c r="E101" s="61"/>
      <c r="F101" s="61"/>
      <c r="G101" s="61"/>
      <c r="H101" s="61"/>
      <c r="I101" s="61"/>
      <c r="J101" s="61"/>
      <c r="K101" s="61"/>
      <c r="L101" s="61"/>
      <c r="M101" s="61"/>
      <c r="N101" s="61"/>
      <c r="O101" s="61"/>
      <c r="P101" s="61"/>
      <c r="Q101" s="52">
        <v>1</v>
      </c>
      <c r="R101" s="52">
        <v>20</v>
      </c>
      <c r="S101" s="52">
        <v>10</v>
      </c>
      <c r="T101" s="52">
        <v>2</v>
      </c>
      <c r="U101" s="61"/>
      <c r="V101" s="61"/>
      <c r="W101" s="61"/>
      <c r="X101" s="61"/>
      <c r="Y101" s="61"/>
      <c r="Z101" s="61"/>
      <c r="AA101" s="61"/>
      <c r="AB101" s="61"/>
      <c r="AC101" s="61"/>
      <c r="AD101" s="61"/>
      <c r="AE101" s="61"/>
      <c r="AF101" s="61"/>
      <c r="AG101" s="61"/>
      <c r="AH101" s="61"/>
      <c r="AI101" s="61"/>
      <c r="AJ101" s="61"/>
      <c r="AK101" s="61"/>
      <c r="AL101" s="61"/>
    </row>
    <row r="102" spans="1:38" x14ac:dyDescent="0.25">
      <c r="A102" s="52">
        <v>2006</v>
      </c>
      <c r="B102" s="61"/>
      <c r="C102" s="61"/>
      <c r="D102" s="61"/>
      <c r="E102" s="61"/>
      <c r="F102" s="61"/>
      <c r="G102" s="61"/>
      <c r="H102" s="61"/>
      <c r="I102" s="61"/>
      <c r="J102" s="61"/>
      <c r="K102" s="61"/>
      <c r="L102" s="61"/>
      <c r="M102" s="61"/>
      <c r="N102" s="61"/>
      <c r="O102" s="61"/>
      <c r="P102" s="61"/>
      <c r="Q102" s="61"/>
      <c r="R102" s="52">
        <v>1</v>
      </c>
      <c r="S102" s="52">
        <v>10</v>
      </c>
      <c r="T102" s="52">
        <v>7</v>
      </c>
      <c r="U102" s="52">
        <v>2</v>
      </c>
      <c r="V102" s="61"/>
      <c r="W102" s="61"/>
      <c r="X102" s="61"/>
      <c r="Y102" s="61"/>
      <c r="Z102" s="61"/>
      <c r="AA102" s="61"/>
      <c r="AB102" s="61"/>
      <c r="AC102" s="61"/>
      <c r="AD102" s="61"/>
      <c r="AE102" s="61"/>
      <c r="AF102" s="61"/>
      <c r="AG102" s="61"/>
      <c r="AH102" s="61"/>
      <c r="AI102" s="61"/>
      <c r="AJ102" s="61"/>
      <c r="AK102" s="61"/>
      <c r="AL102" s="61"/>
    </row>
    <row r="103" spans="1:38" x14ac:dyDescent="0.25">
      <c r="A103" s="52">
        <v>2007</v>
      </c>
      <c r="B103" s="61"/>
      <c r="C103" s="61"/>
      <c r="D103" s="61"/>
      <c r="E103" s="61"/>
      <c r="F103" s="61"/>
      <c r="G103" s="61"/>
      <c r="H103" s="61"/>
      <c r="I103" s="61"/>
      <c r="J103" s="61"/>
      <c r="K103" s="61"/>
      <c r="L103" s="61"/>
      <c r="M103" s="61"/>
      <c r="N103" s="61"/>
      <c r="O103" s="61"/>
      <c r="P103" s="61"/>
      <c r="Q103" s="61"/>
      <c r="R103" s="61"/>
      <c r="S103" s="61"/>
      <c r="T103" s="52">
        <v>4</v>
      </c>
      <c r="U103" s="52">
        <v>14</v>
      </c>
      <c r="V103" s="52">
        <v>2</v>
      </c>
      <c r="W103" s="61"/>
      <c r="X103" s="61"/>
      <c r="Y103" s="61"/>
      <c r="Z103" s="61"/>
      <c r="AA103" s="61"/>
      <c r="AB103" s="61"/>
      <c r="AC103" s="61"/>
      <c r="AD103" s="61"/>
      <c r="AE103" s="61"/>
      <c r="AF103" s="61"/>
      <c r="AG103" s="61"/>
      <c r="AH103" s="61"/>
      <c r="AI103" s="61"/>
      <c r="AJ103" s="61"/>
      <c r="AK103" s="61"/>
      <c r="AL103" s="61"/>
    </row>
    <row r="104" spans="1:38" x14ac:dyDescent="0.25">
      <c r="A104" s="52">
        <v>2008</v>
      </c>
      <c r="B104" s="61"/>
      <c r="C104" s="61"/>
      <c r="D104" s="61"/>
      <c r="E104" s="61"/>
      <c r="F104" s="61"/>
      <c r="G104" s="61"/>
      <c r="H104" s="61"/>
      <c r="I104" s="61"/>
      <c r="J104" s="61"/>
      <c r="K104" s="61"/>
      <c r="L104" s="61"/>
      <c r="M104" s="61"/>
      <c r="N104" s="61"/>
      <c r="O104" s="61"/>
      <c r="P104" s="61"/>
      <c r="Q104" s="61"/>
      <c r="R104" s="61"/>
      <c r="S104" s="61"/>
      <c r="T104" s="61"/>
      <c r="U104" s="52">
        <v>8</v>
      </c>
      <c r="V104" s="52">
        <v>10</v>
      </c>
      <c r="W104" s="52">
        <v>2</v>
      </c>
      <c r="X104" s="61"/>
      <c r="Y104" s="61"/>
      <c r="Z104" s="61"/>
      <c r="AA104" s="61"/>
      <c r="AB104" s="61"/>
      <c r="AC104" s="61"/>
      <c r="AD104" s="61"/>
      <c r="AE104" s="61"/>
      <c r="AF104" s="61"/>
      <c r="AG104" s="61"/>
      <c r="AH104" s="61"/>
      <c r="AI104" s="61"/>
      <c r="AJ104" s="61"/>
      <c r="AK104" s="52">
        <v>1</v>
      </c>
      <c r="AL104" s="61"/>
    </row>
    <row r="105" spans="1:38" x14ac:dyDescent="0.25">
      <c r="A105" s="52">
        <v>2009</v>
      </c>
      <c r="B105" s="61"/>
      <c r="C105" s="61"/>
      <c r="D105" s="61"/>
      <c r="E105" s="61"/>
      <c r="F105" s="61"/>
      <c r="G105" s="61"/>
      <c r="H105" s="61"/>
      <c r="I105" s="61"/>
      <c r="J105" s="61"/>
      <c r="K105" s="61"/>
      <c r="L105" s="61"/>
      <c r="M105" s="61"/>
      <c r="N105" s="61"/>
      <c r="O105" s="61"/>
      <c r="P105" s="61"/>
      <c r="Q105" s="61"/>
      <c r="R105" s="61"/>
      <c r="S105" s="61"/>
      <c r="T105" s="61"/>
      <c r="U105" s="52">
        <v>2</v>
      </c>
      <c r="V105" s="52">
        <v>6</v>
      </c>
      <c r="W105" s="52">
        <v>10</v>
      </c>
      <c r="X105" s="52">
        <v>2</v>
      </c>
      <c r="Y105" s="61"/>
      <c r="Z105" s="61"/>
      <c r="AA105" s="61"/>
      <c r="AB105" s="61"/>
      <c r="AC105" s="61"/>
      <c r="AD105" s="61"/>
      <c r="AE105" s="61"/>
      <c r="AF105" s="61"/>
      <c r="AG105" s="61"/>
      <c r="AH105" s="61"/>
      <c r="AI105" s="61"/>
      <c r="AJ105" s="61"/>
      <c r="AK105" s="61"/>
      <c r="AL105" s="61"/>
    </row>
    <row r="106" spans="1:38" x14ac:dyDescent="0.25">
      <c r="A106" s="52">
        <v>2010</v>
      </c>
      <c r="B106" s="61"/>
      <c r="C106" s="61"/>
      <c r="D106" s="61"/>
      <c r="E106" s="61"/>
      <c r="F106" s="61"/>
      <c r="G106" s="61"/>
      <c r="H106" s="61"/>
      <c r="I106" s="61"/>
      <c r="J106" s="61"/>
      <c r="K106" s="61"/>
      <c r="L106" s="61"/>
      <c r="M106" s="61"/>
      <c r="N106" s="61"/>
      <c r="O106" s="61"/>
      <c r="P106" s="61"/>
      <c r="Q106" s="61"/>
      <c r="R106" s="61"/>
      <c r="S106" s="61"/>
      <c r="T106" s="61"/>
      <c r="U106" s="61"/>
      <c r="V106" s="52">
        <v>3</v>
      </c>
      <c r="W106" s="52">
        <v>4</v>
      </c>
      <c r="X106" s="52">
        <v>5</v>
      </c>
      <c r="Y106" s="52">
        <v>7</v>
      </c>
      <c r="Z106" s="61"/>
      <c r="AA106" s="61"/>
      <c r="AB106" s="61"/>
      <c r="AC106" s="61"/>
      <c r="AD106" s="61"/>
      <c r="AE106" s="61"/>
      <c r="AF106" s="61"/>
      <c r="AG106" s="61"/>
      <c r="AH106" s="61"/>
      <c r="AI106" s="61"/>
      <c r="AJ106" s="61"/>
      <c r="AK106" s="61"/>
      <c r="AL106" s="61"/>
    </row>
    <row r="107" spans="1:38" x14ac:dyDescent="0.25">
      <c r="A107" s="52">
        <v>2011</v>
      </c>
      <c r="B107" s="61"/>
      <c r="C107" s="61"/>
      <c r="D107" s="61"/>
      <c r="E107" s="61"/>
      <c r="F107" s="61"/>
      <c r="G107" s="61"/>
      <c r="H107" s="61"/>
      <c r="I107" s="61"/>
      <c r="J107" s="61"/>
      <c r="K107" s="61"/>
      <c r="L107" s="61"/>
      <c r="M107" s="61"/>
      <c r="N107" s="61"/>
      <c r="O107" s="61"/>
      <c r="P107" s="61"/>
      <c r="Q107" s="61"/>
      <c r="R107" s="61"/>
      <c r="S107" s="61"/>
      <c r="T107" s="61"/>
      <c r="U107" s="61"/>
      <c r="V107" s="61"/>
      <c r="W107" s="52">
        <v>10</v>
      </c>
      <c r="X107" s="52">
        <v>21</v>
      </c>
      <c r="Y107" s="52">
        <v>8</v>
      </c>
      <c r="Z107" s="61"/>
      <c r="AA107" s="61"/>
      <c r="AB107" s="61"/>
      <c r="AC107" s="61"/>
      <c r="AD107" s="61"/>
      <c r="AE107" s="61"/>
      <c r="AF107" s="61"/>
      <c r="AG107" s="61"/>
      <c r="AH107" s="61"/>
      <c r="AI107" s="61"/>
      <c r="AJ107" s="61"/>
      <c r="AK107" s="52">
        <v>1</v>
      </c>
      <c r="AL107" s="61"/>
    </row>
    <row r="108" spans="1:38" x14ac:dyDescent="0.25">
      <c r="A108" s="52">
        <v>2012</v>
      </c>
      <c r="B108" s="61"/>
      <c r="C108" s="61"/>
      <c r="D108" s="61"/>
      <c r="E108" s="61"/>
      <c r="F108" s="61"/>
      <c r="G108" s="61"/>
      <c r="H108" s="61"/>
      <c r="I108" s="61"/>
      <c r="J108" s="61"/>
      <c r="K108" s="61"/>
      <c r="L108" s="61"/>
      <c r="M108" s="61"/>
      <c r="N108" s="61"/>
      <c r="O108" s="61"/>
      <c r="P108" s="61"/>
      <c r="Q108" s="61"/>
      <c r="R108" s="61"/>
      <c r="S108" s="61"/>
      <c r="T108" s="61"/>
      <c r="U108" s="61"/>
      <c r="V108" s="61"/>
      <c r="W108" s="61"/>
      <c r="X108" s="52">
        <v>5</v>
      </c>
      <c r="Y108" s="52">
        <v>15</v>
      </c>
      <c r="Z108" s="52">
        <v>1</v>
      </c>
      <c r="AA108" s="52">
        <v>4</v>
      </c>
      <c r="AB108" s="61"/>
      <c r="AC108" s="61"/>
      <c r="AD108" s="61"/>
      <c r="AE108" s="61"/>
      <c r="AF108" s="61"/>
      <c r="AG108" s="61"/>
      <c r="AH108" s="61"/>
      <c r="AI108" s="61"/>
      <c r="AJ108" s="61"/>
      <c r="AK108" s="61"/>
      <c r="AL108" s="61"/>
    </row>
    <row r="109" spans="1:38" x14ac:dyDescent="0.25">
      <c r="A109" s="52">
        <v>2013</v>
      </c>
      <c r="B109" s="61"/>
      <c r="C109" s="61"/>
      <c r="D109" s="61"/>
      <c r="E109" s="61"/>
      <c r="F109" s="61"/>
      <c r="G109" s="61"/>
      <c r="H109" s="61"/>
      <c r="I109" s="61"/>
      <c r="J109" s="61"/>
      <c r="K109" s="61"/>
      <c r="L109" s="61"/>
      <c r="M109" s="61"/>
      <c r="N109" s="61"/>
      <c r="O109" s="61"/>
      <c r="P109" s="61"/>
      <c r="Q109" s="61"/>
      <c r="R109" s="61"/>
      <c r="S109" s="61"/>
      <c r="T109" s="61"/>
      <c r="U109" s="61"/>
      <c r="V109" s="61"/>
      <c r="W109" s="61"/>
      <c r="X109" s="61"/>
      <c r="Y109" s="52">
        <v>4</v>
      </c>
      <c r="Z109" s="52">
        <v>9</v>
      </c>
      <c r="AA109" s="52">
        <v>7</v>
      </c>
      <c r="AB109" s="52">
        <v>3</v>
      </c>
      <c r="AC109" s="52">
        <v>1</v>
      </c>
      <c r="AD109" s="61"/>
      <c r="AE109" s="61"/>
      <c r="AF109" s="61"/>
      <c r="AG109" s="61"/>
      <c r="AH109" s="61"/>
      <c r="AI109" s="61"/>
      <c r="AJ109" s="61"/>
      <c r="AK109" s="52">
        <v>3</v>
      </c>
      <c r="AL109" s="61"/>
    </row>
    <row r="110" spans="1:38" x14ac:dyDescent="0.25">
      <c r="A110" s="52">
        <v>2014</v>
      </c>
      <c r="B110" s="61"/>
      <c r="C110" s="61"/>
      <c r="D110" s="61"/>
      <c r="E110" s="61"/>
      <c r="F110" s="61"/>
      <c r="G110" s="61"/>
      <c r="H110" s="61"/>
      <c r="I110" s="61"/>
      <c r="J110" s="61"/>
      <c r="K110" s="61"/>
      <c r="L110" s="61"/>
      <c r="M110" s="61"/>
      <c r="N110" s="61"/>
      <c r="O110" s="61"/>
      <c r="P110" s="61"/>
      <c r="Q110" s="61"/>
      <c r="R110" s="61"/>
      <c r="S110" s="61"/>
      <c r="T110" s="61"/>
      <c r="U110" s="61"/>
      <c r="V110" s="61"/>
      <c r="W110" s="61"/>
      <c r="X110" s="61"/>
      <c r="Y110" s="52">
        <v>2</v>
      </c>
      <c r="Z110" s="52">
        <v>2</v>
      </c>
      <c r="AA110" s="52">
        <v>10</v>
      </c>
      <c r="AB110" s="52">
        <v>2</v>
      </c>
      <c r="AC110" s="52">
        <v>2</v>
      </c>
      <c r="AD110" s="61"/>
      <c r="AE110" s="61"/>
      <c r="AF110" s="61"/>
      <c r="AG110" s="61"/>
      <c r="AH110" s="61"/>
      <c r="AI110" s="61"/>
      <c r="AJ110" s="61"/>
      <c r="AK110" s="61"/>
      <c r="AL110" s="61"/>
    </row>
    <row r="111" spans="1:38" x14ac:dyDescent="0.25">
      <c r="A111" s="52">
        <v>2015</v>
      </c>
      <c r="B111" s="61"/>
      <c r="C111" s="61"/>
      <c r="D111" s="61"/>
      <c r="E111" s="61"/>
      <c r="F111" s="61"/>
      <c r="G111" s="61"/>
      <c r="H111" s="61"/>
      <c r="I111" s="61"/>
      <c r="J111" s="61"/>
      <c r="K111" s="61"/>
      <c r="L111" s="61"/>
      <c r="M111" s="61"/>
      <c r="N111" s="61"/>
      <c r="O111" s="61"/>
      <c r="P111" s="61"/>
      <c r="Q111" s="61"/>
      <c r="R111" s="61"/>
      <c r="S111" s="61"/>
      <c r="T111" s="61"/>
      <c r="U111" s="61"/>
      <c r="V111" s="61"/>
      <c r="W111" s="61"/>
      <c r="X111" s="61"/>
      <c r="Y111" s="61"/>
      <c r="Z111" s="61"/>
      <c r="AA111" s="61"/>
      <c r="AB111" s="61"/>
      <c r="AC111" s="61"/>
      <c r="AD111" s="52">
        <v>20</v>
      </c>
      <c r="AE111" s="52">
        <v>17</v>
      </c>
      <c r="AF111" s="61"/>
      <c r="AG111" s="61"/>
      <c r="AH111" s="61"/>
      <c r="AI111" s="61"/>
      <c r="AJ111" s="61"/>
      <c r="AK111" s="61"/>
      <c r="AL111" s="52">
        <v>14</v>
      </c>
    </row>
    <row r="112" spans="1:38" x14ac:dyDescent="0.25">
      <c r="A112" s="52">
        <v>2016</v>
      </c>
      <c r="B112" s="61"/>
      <c r="C112" s="61"/>
      <c r="D112" s="61"/>
      <c r="E112" s="61"/>
      <c r="F112" s="61"/>
      <c r="G112" s="61"/>
      <c r="H112" s="61"/>
      <c r="I112" s="61"/>
      <c r="J112" s="61"/>
      <c r="K112" s="61"/>
      <c r="L112" s="61"/>
      <c r="M112" s="61"/>
      <c r="N112" s="61"/>
      <c r="O112" s="61"/>
      <c r="P112" s="61"/>
      <c r="Q112" s="61"/>
      <c r="R112" s="61"/>
      <c r="S112" s="61"/>
      <c r="T112" s="61"/>
      <c r="U112" s="61"/>
      <c r="V112" s="61"/>
      <c r="W112" s="61"/>
      <c r="X112" s="61"/>
      <c r="Y112" s="61"/>
      <c r="Z112" s="61"/>
      <c r="AA112" s="61"/>
      <c r="AB112" s="61"/>
      <c r="AC112" s="52">
        <v>1</v>
      </c>
      <c r="AD112" s="52">
        <v>5</v>
      </c>
      <c r="AE112" s="52">
        <v>5</v>
      </c>
      <c r="AF112" s="52">
        <v>6</v>
      </c>
      <c r="AG112" s="61"/>
      <c r="AH112" s="52">
        <v>1</v>
      </c>
      <c r="AI112" s="61"/>
      <c r="AJ112" s="61"/>
      <c r="AK112" s="61"/>
      <c r="AL112" s="61"/>
    </row>
    <row r="113" spans="1:38" x14ac:dyDescent="0.25">
      <c r="A113" s="52">
        <v>2017</v>
      </c>
      <c r="B113" s="61"/>
      <c r="C113" s="61"/>
      <c r="D113" s="61"/>
      <c r="E113" s="61"/>
      <c r="F113" s="61"/>
      <c r="G113" s="61"/>
      <c r="H113" s="61"/>
      <c r="I113" s="61"/>
      <c r="J113" s="61"/>
      <c r="K113" s="61"/>
      <c r="L113" s="61"/>
      <c r="M113" s="61"/>
      <c r="N113" s="61"/>
      <c r="O113" s="61"/>
      <c r="P113" s="61"/>
      <c r="Q113" s="61"/>
      <c r="R113" s="61"/>
      <c r="S113" s="61"/>
      <c r="T113" s="61"/>
      <c r="U113" s="61"/>
      <c r="V113" s="61"/>
      <c r="W113" s="61"/>
      <c r="X113" s="61"/>
      <c r="Y113" s="61"/>
      <c r="Z113" s="61"/>
      <c r="AA113" s="61"/>
      <c r="AB113" s="61"/>
      <c r="AC113" s="61"/>
      <c r="AD113" s="61"/>
      <c r="AE113" s="52">
        <v>1</v>
      </c>
      <c r="AF113" s="52">
        <v>12</v>
      </c>
      <c r="AG113" s="52">
        <v>5</v>
      </c>
      <c r="AH113" s="52">
        <v>4</v>
      </c>
      <c r="AI113" s="61"/>
      <c r="AJ113" s="61"/>
      <c r="AK113" s="61"/>
      <c r="AL113" s="61"/>
    </row>
    <row r="114" spans="1:38" x14ac:dyDescent="0.25">
      <c r="A114" s="52">
        <v>2018</v>
      </c>
      <c r="B114" s="61"/>
      <c r="C114" s="61"/>
      <c r="D114" s="61"/>
      <c r="E114" s="61"/>
      <c r="F114" s="61"/>
      <c r="G114" s="61"/>
      <c r="H114" s="61"/>
      <c r="I114" s="61"/>
      <c r="J114" s="61"/>
      <c r="K114" s="61"/>
      <c r="L114" s="61"/>
      <c r="M114" s="61"/>
      <c r="N114" s="61"/>
      <c r="O114" s="61"/>
      <c r="P114" s="61"/>
      <c r="Q114" s="61"/>
      <c r="R114" s="61"/>
      <c r="S114" s="61"/>
      <c r="T114" s="61"/>
      <c r="U114" s="61"/>
      <c r="V114" s="61"/>
      <c r="W114" s="61"/>
      <c r="X114" s="61"/>
      <c r="Y114" s="61"/>
      <c r="Z114" s="61"/>
      <c r="AA114" s="61"/>
      <c r="AB114" s="61"/>
      <c r="AC114" s="61"/>
      <c r="AD114" s="61"/>
      <c r="AE114" s="61"/>
      <c r="AF114" s="61"/>
      <c r="AG114" s="61"/>
      <c r="AH114" s="52">
        <v>11</v>
      </c>
      <c r="AI114" s="61"/>
      <c r="AJ114" s="61"/>
      <c r="AK114" s="61"/>
      <c r="AL114" s="61"/>
    </row>
    <row r="115" spans="1:38" x14ac:dyDescent="0.25">
      <c r="A115" s="52">
        <v>2019</v>
      </c>
      <c r="B115" s="61"/>
      <c r="C115" s="61"/>
      <c r="D115" s="61"/>
      <c r="E115" s="61"/>
      <c r="F115" s="61"/>
      <c r="G115" s="61"/>
      <c r="H115" s="61"/>
      <c r="I115" s="61"/>
      <c r="J115" s="61"/>
      <c r="K115" s="61"/>
      <c r="L115" s="61"/>
      <c r="M115" s="61"/>
      <c r="N115" s="61"/>
      <c r="O115" s="61"/>
      <c r="P115" s="61"/>
      <c r="Q115" s="61"/>
      <c r="R115" s="61"/>
      <c r="S115" s="61"/>
      <c r="T115" s="61"/>
      <c r="U115" s="61"/>
      <c r="V115" s="61"/>
      <c r="W115" s="61"/>
      <c r="X115" s="61"/>
      <c r="Y115" s="61"/>
      <c r="Z115" s="61"/>
      <c r="AA115" s="61"/>
      <c r="AB115" s="61"/>
      <c r="AC115" s="61"/>
      <c r="AD115" s="61"/>
      <c r="AE115" s="61"/>
      <c r="AF115" s="61"/>
      <c r="AG115" s="61"/>
      <c r="AH115" s="52">
        <v>6</v>
      </c>
      <c r="AI115" s="52">
        <v>7</v>
      </c>
      <c r="AJ115" s="52">
        <v>2</v>
      </c>
      <c r="AK115" s="61"/>
      <c r="AL115" s="61"/>
    </row>
    <row r="116" spans="1:38" x14ac:dyDescent="0.25">
      <c r="A116" s="52">
        <v>2020</v>
      </c>
      <c r="B116" s="61"/>
      <c r="C116" s="61"/>
      <c r="D116" s="61"/>
      <c r="E116" s="61"/>
      <c r="F116" s="61"/>
      <c r="G116" s="61"/>
      <c r="H116" s="61"/>
      <c r="I116" s="61"/>
      <c r="J116" s="61"/>
      <c r="K116" s="61"/>
      <c r="L116" s="61"/>
      <c r="M116" s="61"/>
      <c r="N116" s="61"/>
      <c r="O116" s="61"/>
      <c r="P116" s="61"/>
      <c r="Q116" s="61"/>
      <c r="R116" s="61"/>
      <c r="S116" s="61"/>
      <c r="T116" s="61"/>
      <c r="U116" s="61"/>
      <c r="V116" s="61"/>
      <c r="W116" s="61"/>
      <c r="X116" s="61"/>
      <c r="Y116" s="61"/>
      <c r="Z116" s="61"/>
      <c r="AA116" s="61"/>
      <c r="AB116" s="61"/>
      <c r="AC116" s="61"/>
      <c r="AD116" s="61"/>
      <c r="AE116" s="61"/>
      <c r="AF116" s="61"/>
      <c r="AG116" s="52">
        <v>1</v>
      </c>
      <c r="AH116" s="52">
        <v>2</v>
      </c>
      <c r="AI116" s="52">
        <v>18</v>
      </c>
      <c r="AJ116" s="52">
        <v>32</v>
      </c>
      <c r="AK116" s="61"/>
      <c r="AL116" s="61"/>
    </row>
    <row r="117" spans="1:38" x14ac:dyDescent="0.25">
      <c r="A117" s="52">
        <v>2021</v>
      </c>
      <c r="B117" s="61"/>
      <c r="C117" s="61"/>
      <c r="D117" s="61"/>
      <c r="E117" s="61"/>
      <c r="F117" s="61"/>
      <c r="G117" s="61"/>
      <c r="H117" s="61"/>
      <c r="I117" s="61"/>
      <c r="J117" s="61"/>
      <c r="K117" s="61"/>
      <c r="L117" s="61"/>
      <c r="M117" s="61"/>
      <c r="N117" s="61"/>
      <c r="O117" s="61"/>
      <c r="P117" s="61"/>
      <c r="Q117" s="61"/>
      <c r="R117" s="61"/>
      <c r="S117" s="61"/>
      <c r="T117" s="61"/>
      <c r="U117" s="61"/>
      <c r="V117" s="61"/>
      <c r="W117" s="61"/>
      <c r="X117" s="61"/>
      <c r="Y117" s="61"/>
      <c r="Z117" s="61"/>
      <c r="AA117" s="61"/>
      <c r="AB117" s="61"/>
      <c r="AC117" s="61"/>
      <c r="AD117" s="61"/>
      <c r="AE117" s="61"/>
      <c r="AF117" s="61"/>
      <c r="AG117" s="61"/>
      <c r="AH117" s="61"/>
      <c r="AI117" s="52">
        <v>1</v>
      </c>
      <c r="AJ117" s="52">
        <v>2</v>
      </c>
      <c r="AK117" s="61"/>
      <c r="AL117" s="61"/>
    </row>
    <row r="118" spans="1:38" x14ac:dyDescent="0.25">
      <c r="A118" s="52">
        <v>8888</v>
      </c>
      <c r="B118" s="61"/>
      <c r="C118" s="53">
        <v>4</v>
      </c>
      <c r="D118" s="30"/>
      <c r="E118" s="53">
        <v>1</v>
      </c>
      <c r="F118" s="30"/>
      <c r="G118" s="30"/>
      <c r="H118" s="53">
        <v>1</v>
      </c>
      <c r="I118" s="30"/>
      <c r="J118" s="30"/>
      <c r="K118" s="30"/>
      <c r="L118" s="30"/>
      <c r="M118" s="30"/>
      <c r="N118" s="30"/>
      <c r="O118" s="30"/>
      <c r="P118" s="30"/>
      <c r="Q118" s="30"/>
      <c r="R118" s="30"/>
      <c r="S118" s="30"/>
      <c r="T118" s="30"/>
      <c r="U118" s="30"/>
      <c r="V118" s="30"/>
      <c r="W118" s="30"/>
      <c r="X118" s="30"/>
      <c r="Y118" s="30"/>
      <c r="Z118" s="53">
        <v>1</v>
      </c>
      <c r="AA118" s="53">
        <v>9</v>
      </c>
      <c r="AB118" s="53">
        <v>10</v>
      </c>
      <c r="AC118" s="61"/>
      <c r="AD118" s="61"/>
      <c r="AE118" s="61"/>
      <c r="AF118" s="61"/>
      <c r="AG118" s="61"/>
      <c r="AH118" s="61"/>
      <c r="AI118" s="61"/>
      <c r="AJ118" s="61"/>
      <c r="AK118" s="54">
        <v>199</v>
      </c>
      <c r="AL118" s="6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0BBC9-64A1-4957-B637-208247B9DE61}">
  <dimension ref="A1:AD74"/>
  <sheetViews>
    <sheetView topLeftCell="A43" workbookViewId="0">
      <selection activeCell="A72" sqref="A72"/>
    </sheetView>
  </sheetViews>
  <sheetFormatPr defaultRowHeight="15" x14ac:dyDescent="0.25"/>
  <cols>
    <col min="1" max="1" width="18.140625" customWidth="1"/>
    <col min="2" max="2" width="10.5703125" customWidth="1"/>
    <col min="3" max="3" width="9.140625" bestFit="1" customWidth="1"/>
    <col min="4" max="4" width="11" customWidth="1"/>
    <col min="5" max="5" width="10" customWidth="1"/>
    <col min="6" max="11" width="9.140625" bestFit="1" customWidth="1"/>
    <col min="13" max="13" width="17" customWidth="1"/>
  </cols>
  <sheetData>
    <row r="1" spans="1:14" x14ac:dyDescent="0.25">
      <c r="A1" t="s">
        <v>303</v>
      </c>
    </row>
    <row r="3" spans="1:14" x14ac:dyDescent="0.25">
      <c r="A3" t="s">
        <v>304</v>
      </c>
    </row>
    <row r="4" spans="1:14" x14ac:dyDescent="0.25">
      <c r="B4" t="s">
        <v>305</v>
      </c>
    </row>
    <row r="5" spans="1:14" x14ac:dyDescent="0.25">
      <c r="B5" t="s">
        <v>306</v>
      </c>
    </row>
    <row r="6" spans="1:14" x14ac:dyDescent="0.25">
      <c r="C6" t="s">
        <v>307</v>
      </c>
    </row>
    <row r="8" spans="1:14" ht="15.75" x14ac:dyDescent="0.25">
      <c r="A8" s="200" t="s">
        <v>308</v>
      </c>
      <c r="B8" s="200"/>
      <c r="C8" s="200"/>
      <c r="D8" s="200"/>
      <c r="E8" s="200"/>
      <c r="F8" s="200"/>
      <c r="G8" s="200"/>
      <c r="H8" s="200"/>
      <c r="I8" s="200"/>
      <c r="J8" s="200"/>
      <c r="K8" s="200"/>
      <c r="L8" s="200"/>
      <c r="M8" s="200"/>
    </row>
    <row r="9" spans="1:14" x14ac:dyDescent="0.25">
      <c r="A9" s="90"/>
      <c r="B9" s="201" t="s">
        <v>309</v>
      </c>
      <c r="C9" s="202"/>
      <c r="D9" s="202"/>
      <c r="E9" s="202"/>
      <c r="F9" s="202"/>
      <c r="G9" s="203"/>
      <c r="H9" s="202" t="s">
        <v>310</v>
      </c>
      <c r="I9" s="202"/>
      <c r="J9" s="202"/>
      <c r="K9" s="202"/>
      <c r="L9" s="202"/>
      <c r="M9" s="203"/>
    </row>
    <row r="10" spans="1:14" ht="16.5" x14ac:dyDescent="0.25">
      <c r="A10" s="88"/>
      <c r="B10" s="204" t="s">
        <v>311</v>
      </c>
      <c r="C10" s="205"/>
      <c r="D10" s="204" t="s">
        <v>312</v>
      </c>
      <c r="E10" s="205"/>
      <c r="F10" s="201" t="s">
        <v>313</v>
      </c>
      <c r="G10" s="203"/>
      <c r="H10" s="204" t="s">
        <v>314</v>
      </c>
      <c r="I10" s="205"/>
      <c r="J10" s="204" t="s">
        <v>312</v>
      </c>
      <c r="K10" s="205"/>
      <c r="L10" s="201" t="s">
        <v>313</v>
      </c>
      <c r="M10" s="203"/>
    </row>
    <row r="11" spans="1:14" x14ac:dyDescent="0.25">
      <c r="A11" s="100" t="s">
        <v>204</v>
      </c>
      <c r="B11" s="101" t="s">
        <v>244</v>
      </c>
      <c r="C11" s="102" t="s">
        <v>4</v>
      </c>
      <c r="D11" s="101" t="s">
        <v>244</v>
      </c>
      <c r="E11" s="102" t="s">
        <v>4</v>
      </c>
      <c r="F11" s="101" t="s">
        <v>244</v>
      </c>
      <c r="G11" s="103" t="s">
        <v>4</v>
      </c>
      <c r="H11" s="101" t="s">
        <v>244</v>
      </c>
      <c r="I11" s="102" t="s">
        <v>4</v>
      </c>
      <c r="J11" s="101" t="s">
        <v>244</v>
      </c>
      <c r="K11" s="102" t="s">
        <v>4</v>
      </c>
      <c r="L11" s="101" t="s">
        <v>244</v>
      </c>
      <c r="M11" s="102" t="s">
        <v>4</v>
      </c>
    </row>
    <row r="12" spans="1:14" x14ac:dyDescent="0.25">
      <c r="A12" s="104" t="s">
        <v>315</v>
      </c>
      <c r="B12" s="91">
        <v>1012</v>
      </c>
      <c r="C12" s="92">
        <v>71556</v>
      </c>
      <c r="D12" s="91">
        <v>1035</v>
      </c>
      <c r="E12" s="75">
        <v>72430</v>
      </c>
      <c r="F12" s="91">
        <v>23</v>
      </c>
      <c r="G12" s="92">
        <v>874</v>
      </c>
      <c r="H12" s="93">
        <v>870</v>
      </c>
      <c r="I12" s="122">
        <v>53268</v>
      </c>
      <c r="J12" s="93">
        <v>778</v>
      </c>
      <c r="K12" s="73">
        <v>56985</v>
      </c>
      <c r="L12" s="93">
        <v>-92</v>
      </c>
      <c r="M12" s="122">
        <v>3717</v>
      </c>
      <c r="N12" s="74">
        <f>+K12/E12</f>
        <v>0.7867596299875742</v>
      </c>
    </row>
    <row r="13" spans="1:14" x14ac:dyDescent="0.25">
      <c r="A13" s="89" t="s">
        <v>247</v>
      </c>
      <c r="B13" s="99">
        <v>42717</v>
      </c>
      <c r="C13" s="94">
        <v>2987571</v>
      </c>
      <c r="D13" s="99">
        <v>43349</v>
      </c>
      <c r="E13" s="94">
        <v>3060475</v>
      </c>
      <c r="F13" s="99">
        <v>632</v>
      </c>
      <c r="G13" s="94">
        <v>72904</v>
      </c>
      <c r="H13" s="123">
        <v>35131</v>
      </c>
      <c r="I13" s="124">
        <v>2444247</v>
      </c>
      <c r="J13" s="123">
        <v>35465</v>
      </c>
      <c r="K13" s="124">
        <v>2527791</v>
      </c>
      <c r="L13" s="123">
        <v>334</v>
      </c>
      <c r="M13" s="124">
        <v>83544</v>
      </c>
    </row>
    <row r="14" spans="1:14" x14ac:dyDescent="0.25">
      <c r="A14" s="1"/>
      <c r="B14" s="71"/>
      <c r="C14" s="71"/>
      <c r="D14" s="71"/>
      <c r="E14" s="71"/>
      <c r="F14" s="71"/>
      <c r="G14" s="71"/>
      <c r="H14" s="71"/>
      <c r="I14" s="71"/>
      <c r="J14" s="71"/>
      <c r="K14" s="71"/>
      <c r="L14" s="71"/>
      <c r="M14" s="71"/>
    </row>
    <row r="16" spans="1:14" x14ac:dyDescent="0.25">
      <c r="A16" s="199" t="s">
        <v>316</v>
      </c>
      <c r="B16" s="199"/>
      <c r="C16" s="199"/>
      <c r="D16" s="199"/>
      <c r="E16" s="199"/>
      <c r="F16" s="199"/>
      <c r="G16" s="199"/>
      <c r="H16" s="199"/>
      <c r="I16" s="199"/>
      <c r="J16" s="199"/>
      <c r="K16" s="199"/>
      <c r="L16" s="199"/>
      <c r="M16" s="199"/>
    </row>
    <row r="17" spans="1:13" x14ac:dyDescent="0.25">
      <c r="A17" s="199" t="s">
        <v>317</v>
      </c>
      <c r="B17" s="199"/>
      <c r="C17" s="199"/>
      <c r="D17" s="199"/>
      <c r="E17" s="199"/>
      <c r="F17" s="199"/>
      <c r="G17" s="199"/>
      <c r="H17" s="199"/>
      <c r="I17" s="199"/>
      <c r="J17" s="199"/>
      <c r="K17" s="199"/>
      <c r="L17" s="199"/>
      <c r="M17" s="199"/>
    </row>
    <row r="18" spans="1:13" x14ac:dyDescent="0.25">
      <c r="A18" s="199" t="s">
        <v>318</v>
      </c>
      <c r="B18" s="199"/>
      <c r="C18" s="199"/>
      <c r="D18" s="199"/>
      <c r="E18" s="199"/>
      <c r="F18" s="199"/>
      <c r="G18" s="199"/>
      <c r="H18" s="199"/>
      <c r="I18" s="199"/>
      <c r="J18" s="199"/>
      <c r="K18" s="199"/>
      <c r="L18" s="199"/>
      <c r="M18" s="199"/>
    </row>
    <row r="19" spans="1:13" x14ac:dyDescent="0.25">
      <c r="A19" s="198" t="s">
        <v>319</v>
      </c>
      <c r="B19" s="198"/>
      <c r="C19" s="198"/>
      <c r="D19" s="198"/>
      <c r="E19" s="198"/>
      <c r="F19" s="198"/>
      <c r="G19" s="198"/>
      <c r="H19" s="198"/>
      <c r="I19" s="198"/>
      <c r="J19" s="198"/>
      <c r="K19" s="198"/>
      <c r="L19" s="198"/>
      <c r="M19" s="198"/>
    </row>
    <row r="22" spans="1:13" x14ac:dyDescent="0.25">
      <c r="A22" t="s">
        <v>304</v>
      </c>
    </row>
    <row r="23" spans="1:13" x14ac:dyDescent="0.25">
      <c r="A23" t="s">
        <v>320</v>
      </c>
    </row>
    <row r="24" spans="1:13" x14ac:dyDescent="0.25">
      <c r="A24" t="s">
        <v>321</v>
      </c>
    </row>
    <row r="25" spans="1:13" x14ac:dyDescent="0.25">
      <c r="A25" t="s">
        <v>322</v>
      </c>
    </row>
    <row r="27" spans="1:13" ht="15.75" x14ac:dyDescent="0.25">
      <c r="A27" s="206" t="s">
        <v>323</v>
      </c>
      <c r="B27" s="206"/>
      <c r="C27" s="206"/>
      <c r="D27" s="206"/>
      <c r="E27" s="206"/>
    </row>
    <row r="28" spans="1:13" x14ac:dyDescent="0.25">
      <c r="A28" s="95"/>
      <c r="B28" s="208" t="s">
        <v>324</v>
      </c>
      <c r="C28" s="208" t="s">
        <v>325</v>
      </c>
      <c r="D28" s="220" t="s">
        <v>326</v>
      </c>
      <c r="E28" s="222" t="s">
        <v>327</v>
      </c>
    </row>
    <row r="29" spans="1:13" x14ac:dyDescent="0.25">
      <c r="A29" s="96"/>
      <c r="B29" s="209"/>
      <c r="C29" s="209"/>
      <c r="D29" s="221"/>
      <c r="E29" s="223"/>
    </row>
    <row r="30" spans="1:13" ht="58.5" customHeight="1" x14ac:dyDescent="0.25">
      <c r="A30" s="84" t="s">
        <v>204</v>
      </c>
      <c r="B30" s="209"/>
      <c r="C30" s="209"/>
      <c r="D30" s="221"/>
      <c r="E30" s="223"/>
    </row>
    <row r="31" spans="1:13" x14ac:dyDescent="0.25">
      <c r="A31" s="104" t="s">
        <v>315</v>
      </c>
      <c r="B31" s="125">
        <v>47.922705314009661</v>
      </c>
      <c r="C31" s="109">
        <v>97.899999999999991</v>
      </c>
      <c r="D31" s="121">
        <v>97.899999999999991</v>
      </c>
      <c r="E31" s="77">
        <v>22.8</v>
      </c>
    </row>
    <row r="33" spans="1:11" ht="15.75" x14ac:dyDescent="0.25">
      <c r="A33" s="200" t="s">
        <v>328</v>
      </c>
      <c r="B33" s="200"/>
      <c r="C33" s="200"/>
      <c r="D33" s="200"/>
      <c r="E33" s="200"/>
      <c r="F33" s="200"/>
      <c r="G33" s="200"/>
    </row>
    <row r="34" spans="1:11" x14ac:dyDescent="0.25">
      <c r="A34" s="82"/>
      <c r="B34" s="208" t="s">
        <v>329</v>
      </c>
      <c r="C34" s="212" t="s">
        <v>330</v>
      </c>
      <c r="D34" s="213"/>
      <c r="E34" s="214" t="s">
        <v>331</v>
      </c>
      <c r="F34" s="216" t="s">
        <v>332</v>
      </c>
      <c r="G34" s="218" t="s">
        <v>333</v>
      </c>
    </row>
    <row r="35" spans="1:11" ht="60" x14ac:dyDescent="0.25">
      <c r="A35" s="105" t="s">
        <v>204</v>
      </c>
      <c r="B35" s="209"/>
      <c r="C35" s="87" t="s">
        <v>334</v>
      </c>
      <c r="D35" s="183" t="s">
        <v>335</v>
      </c>
      <c r="E35" s="215"/>
      <c r="F35" s="217"/>
      <c r="G35" s="219"/>
    </row>
    <row r="36" spans="1:11" x14ac:dyDescent="0.25">
      <c r="A36" s="104" t="s">
        <v>315</v>
      </c>
      <c r="B36" s="109">
        <v>97.899999999999991</v>
      </c>
      <c r="C36" s="121">
        <v>99.8</v>
      </c>
      <c r="D36" s="108">
        <v>99.5</v>
      </c>
      <c r="E36" s="106">
        <v>28.4</v>
      </c>
      <c r="F36" s="119">
        <v>44.6</v>
      </c>
      <c r="G36" s="77">
        <v>44.1</v>
      </c>
    </row>
    <row r="38" spans="1:11" x14ac:dyDescent="0.25">
      <c r="A38" s="207" t="s">
        <v>336</v>
      </c>
      <c r="B38" s="207"/>
      <c r="C38" s="207"/>
      <c r="D38" s="207"/>
      <c r="E38" s="207"/>
      <c r="F38" s="207"/>
      <c r="G38" s="207"/>
      <c r="H38" s="207"/>
      <c r="I38" s="207"/>
      <c r="J38" s="207"/>
    </row>
    <row r="39" spans="1:11" x14ac:dyDescent="0.25">
      <c r="A39" s="83"/>
      <c r="B39" s="208" t="s">
        <v>337</v>
      </c>
      <c r="C39" s="208" t="s">
        <v>338</v>
      </c>
      <c r="D39" s="210" t="s">
        <v>339</v>
      </c>
      <c r="E39" s="210"/>
      <c r="F39" s="210"/>
      <c r="G39" s="210"/>
      <c r="H39" s="210"/>
      <c r="I39" s="210"/>
      <c r="J39" s="211"/>
    </row>
    <row r="40" spans="1:11" ht="60" x14ac:dyDescent="0.25">
      <c r="A40" s="84" t="s">
        <v>204</v>
      </c>
      <c r="B40" s="209"/>
      <c r="C40" s="209"/>
      <c r="D40" s="178" t="s">
        <v>340</v>
      </c>
      <c r="E40" s="85" t="s">
        <v>341</v>
      </c>
      <c r="F40" s="120" t="s">
        <v>342</v>
      </c>
      <c r="G40" s="85" t="s">
        <v>343</v>
      </c>
      <c r="H40" s="120" t="s">
        <v>344</v>
      </c>
      <c r="I40" s="85" t="s">
        <v>345</v>
      </c>
      <c r="J40" s="178" t="s">
        <v>247</v>
      </c>
    </row>
    <row r="41" spans="1:11" x14ac:dyDescent="0.25">
      <c r="A41" s="104" t="s">
        <v>315</v>
      </c>
      <c r="B41" s="125">
        <v>47.922705314009661</v>
      </c>
      <c r="C41" s="109">
        <v>98.4</v>
      </c>
      <c r="D41" s="110">
        <v>19200</v>
      </c>
      <c r="E41" s="107">
        <v>3.8</v>
      </c>
      <c r="F41" s="119">
        <v>6.3</v>
      </c>
      <c r="G41" s="107">
        <v>28.499999999999996</v>
      </c>
      <c r="H41" s="119">
        <v>13</v>
      </c>
      <c r="I41" s="107">
        <v>48.4</v>
      </c>
      <c r="J41" s="109">
        <v>100</v>
      </c>
    </row>
    <row r="42" spans="1:11" x14ac:dyDescent="0.25">
      <c r="A42" s="199" t="s">
        <v>346</v>
      </c>
      <c r="B42" s="199"/>
      <c r="C42" s="199"/>
      <c r="D42" s="199"/>
      <c r="E42" s="199"/>
      <c r="F42" s="199"/>
      <c r="G42" s="199"/>
      <c r="H42" s="199"/>
      <c r="I42" s="199"/>
      <c r="J42" s="199"/>
    </row>
    <row r="44" spans="1:11" ht="18" x14ac:dyDescent="0.25">
      <c r="A44" s="200" t="s">
        <v>347</v>
      </c>
      <c r="B44" s="200"/>
      <c r="C44" s="200"/>
      <c r="D44" s="200"/>
      <c r="E44" s="200"/>
      <c r="F44" s="200"/>
      <c r="G44" s="200"/>
      <c r="H44" s="200"/>
      <c r="I44" s="200"/>
      <c r="J44" s="200"/>
      <c r="K44" s="86"/>
    </row>
    <row r="45" spans="1:11" x14ac:dyDescent="0.25">
      <c r="A45" s="83"/>
      <c r="B45" s="208" t="s">
        <v>348</v>
      </c>
      <c r="C45" s="208" t="s">
        <v>349</v>
      </c>
      <c r="D45" s="208" t="s">
        <v>350</v>
      </c>
      <c r="E45" s="225" t="s">
        <v>351</v>
      </c>
      <c r="F45" s="225"/>
      <c r="G45" s="225"/>
      <c r="H45" s="225"/>
      <c r="I45" s="225"/>
      <c r="J45" s="225"/>
      <c r="K45" s="213"/>
    </row>
    <row r="46" spans="1:11" ht="45" x14ac:dyDescent="0.25">
      <c r="A46" s="97" t="s">
        <v>204</v>
      </c>
      <c r="B46" s="224"/>
      <c r="C46" s="224"/>
      <c r="D46" s="224"/>
      <c r="E46" s="179" t="s">
        <v>352</v>
      </c>
      <c r="F46" s="81" t="s">
        <v>353</v>
      </c>
      <c r="G46" s="185" t="s">
        <v>354</v>
      </c>
      <c r="H46" s="81" t="s">
        <v>355</v>
      </c>
      <c r="I46" s="81" t="s">
        <v>356</v>
      </c>
      <c r="J46" s="180" t="s">
        <v>357</v>
      </c>
      <c r="K46" s="180" t="s">
        <v>358</v>
      </c>
    </row>
    <row r="47" spans="1:11" x14ac:dyDescent="0.25">
      <c r="A47" s="104" t="s">
        <v>315</v>
      </c>
      <c r="B47" s="125">
        <v>47.922705314009661</v>
      </c>
      <c r="C47" s="109">
        <v>98.4</v>
      </c>
      <c r="D47" s="109">
        <v>98.1</v>
      </c>
      <c r="E47" s="106">
        <v>0</v>
      </c>
      <c r="F47" s="119">
        <v>63.4</v>
      </c>
      <c r="G47" s="107">
        <v>12.7</v>
      </c>
      <c r="H47" s="119">
        <v>10.199999999999999</v>
      </c>
      <c r="I47" s="119">
        <v>6.8000000000000007</v>
      </c>
      <c r="J47" s="108">
        <v>6.9</v>
      </c>
      <c r="K47" s="108">
        <v>100</v>
      </c>
    </row>
    <row r="48" spans="1:11" x14ac:dyDescent="0.25">
      <c r="A48" s="199" t="s">
        <v>359</v>
      </c>
      <c r="B48" s="199"/>
      <c r="C48" s="199"/>
      <c r="D48" s="199"/>
      <c r="E48" s="199"/>
      <c r="F48" s="199"/>
      <c r="G48" s="199"/>
      <c r="H48" s="199"/>
      <c r="I48" s="199"/>
      <c r="J48" s="199"/>
      <c r="K48" s="199"/>
    </row>
    <row r="49" spans="1:30" x14ac:dyDescent="0.25">
      <c r="A49" s="199" t="s">
        <v>346</v>
      </c>
      <c r="B49" s="199"/>
      <c r="C49" s="199"/>
      <c r="D49" s="199"/>
      <c r="E49" s="199"/>
      <c r="F49" s="199"/>
      <c r="G49" s="199"/>
      <c r="H49" s="199"/>
      <c r="I49" s="199"/>
      <c r="J49" s="199"/>
      <c r="K49" s="199"/>
    </row>
    <row r="51" spans="1:30" x14ac:dyDescent="0.25">
      <c r="A51" t="s">
        <v>360</v>
      </c>
    </row>
    <row r="53" spans="1:30" ht="15.75" x14ac:dyDescent="0.25">
      <c r="A53" s="200" t="s">
        <v>361</v>
      </c>
      <c r="B53" s="200"/>
      <c r="C53" s="200"/>
      <c r="D53" s="200"/>
      <c r="E53" s="200"/>
      <c r="F53" s="200"/>
      <c r="G53" s="200"/>
      <c r="H53" s="200"/>
      <c r="I53" s="200"/>
    </row>
    <row r="54" spans="1:30" x14ac:dyDescent="0.25">
      <c r="A54" s="83"/>
      <c r="B54" s="208" t="s">
        <v>362</v>
      </c>
      <c r="C54" s="225" t="s">
        <v>363</v>
      </c>
      <c r="D54" s="225"/>
      <c r="E54" s="225"/>
      <c r="F54" s="225"/>
      <c r="G54" s="225"/>
      <c r="H54" s="225"/>
      <c r="I54" s="213"/>
    </row>
    <row r="55" spans="1:30" ht="30" x14ac:dyDescent="0.25">
      <c r="A55" s="84" t="s">
        <v>204</v>
      </c>
      <c r="B55" s="209"/>
      <c r="C55" s="126" t="s">
        <v>364</v>
      </c>
      <c r="D55" s="127">
        <v>0</v>
      </c>
      <c r="E55" s="182" t="s">
        <v>365</v>
      </c>
      <c r="F55" s="98" t="s">
        <v>366</v>
      </c>
      <c r="G55" s="182" t="s">
        <v>367</v>
      </c>
      <c r="H55" s="182" t="s">
        <v>368</v>
      </c>
      <c r="I55" s="184" t="s">
        <v>369</v>
      </c>
      <c r="Y55">
        <v>42.4</v>
      </c>
      <c r="Z55">
        <v>21121</v>
      </c>
    </row>
    <row r="56" spans="1:30" x14ac:dyDescent="0.25">
      <c r="A56" s="104" t="s">
        <v>315</v>
      </c>
      <c r="B56" s="125">
        <v>98.418385812522629</v>
      </c>
      <c r="C56" s="128">
        <v>0</v>
      </c>
      <c r="D56" s="129">
        <v>2.5</v>
      </c>
      <c r="E56" s="119">
        <v>78.7</v>
      </c>
      <c r="F56" s="107">
        <v>10</v>
      </c>
      <c r="G56" s="119">
        <v>3.5000000000000004</v>
      </c>
      <c r="H56" s="119">
        <v>5.4</v>
      </c>
      <c r="I56" s="108">
        <v>100</v>
      </c>
      <c r="Y56">
        <v>25.96</v>
      </c>
      <c r="Z56">
        <v>12752</v>
      </c>
    </row>
    <row r="57" spans="1:30" x14ac:dyDescent="0.25">
      <c r="A57" s="199" t="s">
        <v>370</v>
      </c>
      <c r="B57" s="199"/>
      <c r="C57" s="199"/>
      <c r="D57" s="199"/>
      <c r="E57" s="199"/>
      <c r="F57" s="199"/>
      <c r="G57" s="199"/>
      <c r="H57" s="199"/>
      <c r="I57" s="199"/>
      <c r="Y57">
        <f>Y55/Y56</f>
        <v>1.6332819722650229</v>
      </c>
      <c r="Z57">
        <f>Z55/Z56</f>
        <v>1.6562892095357591</v>
      </c>
    </row>
    <row r="59" spans="1:30" x14ac:dyDescent="0.25">
      <c r="A59" s="226" t="s">
        <v>371</v>
      </c>
      <c r="B59" s="226"/>
      <c r="C59" s="226"/>
      <c r="D59" s="226"/>
      <c r="E59" s="226"/>
      <c r="F59" s="226"/>
      <c r="AC59">
        <v>18.399999999999999</v>
      </c>
    </row>
    <row r="60" spans="1:30" ht="15.75" x14ac:dyDescent="0.25">
      <c r="A60" s="227" t="s">
        <v>372</v>
      </c>
      <c r="B60" s="227"/>
      <c r="C60" s="227"/>
      <c r="D60" s="227"/>
      <c r="E60" s="227"/>
      <c r="F60" s="227"/>
      <c r="AC60">
        <v>72.3</v>
      </c>
    </row>
    <row r="61" spans="1:30" x14ac:dyDescent="0.25">
      <c r="A61" s="95"/>
      <c r="B61" s="208" t="s">
        <v>348</v>
      </c>
      <c r="C61" s="228" t="s">
        <v>373</v>
      </c>
      <c r="D61" s="228"/>
      <c r="E61" s="228"/>
      <c r="F61" s="229"/>
      <c r="AC61">
        <f>AC60*AC59/10000</f>
        <v>0.13303199999999998</v>
      </c>
      <c r="AD61" s="72">
        <v>9166</v>
      </c>
    </row>
    <row r="62" spans="1:30" ht="60" x14ac:dyDescent="0.25">
      <c r="A62" s="84" t="s">
        <v>204</v>
      </c>
      <c r="B62" s="209"/>
      <c r="C62" s="181" t="s">
        <v>374</v>
      </c>
      <c r="D62" s="111" t="s">
        <v>375</v>
      </c>
      <c r="E62" s="117" t="s">
        <v>376</v>
      </c>
      <c r="F62" s="118" t="s">
        <v>377</v>
      </c>
      <c r="AD62">
        <v>424</v>
      </c>
    </row>
    <row r="63" spans="1:30" x14ac:dyDescent="0.25">
      <c r="A63" s="104" t="s">
        <v>315</v>
      </c>
      <c r="B63" s="125">
        <v>47.922705314009661</v>
      </c>
      <c r="C63" s="106">
        <v>0</v>
      </c>
      <c r="D63" s="119">
        <v>24.6</v>
      </c>
      <c r="E63" s="107">
        <v>75.400000000000006</v>
      </c>
      <c r="F63" s="109">
        <v>100</v>
      </c>
    </row>
    <row r="65" spans="1:12" x14ac:dyDescent="0.25">
      <c r="A65" s="230" t="s">
        <v>378</v>
      </c>
      <c r="B65" s="230"/>
      <c r="C65" s="230"/>
      <c r="D65" s="230"/>
      <c r="E65" s="230"/>
      <c r="F65" s="230"/>
      <c r="G65" s="230"/>
      <c r="H65" s="230"/>
      <c r="I65" s="230"/>
      <c r="J65" s="230"/>
      <c r="K65" s="230"/>
      <c r="L65" s="230"/>
    </row>
    <row r="66" spans="1:12" x14ac:dyDescent="0.25">
      <c r="A66" s="230" t="s">
        <v>379</v>
      </c>
      <c r="B66" s="230"/>
      <c r="C66" s="230"/>
      <c r="D66" s="230"/>
      <c r="E66" s="230"/>
      <c r="F66" s="230"/>
      <c r="G66" s="230"/>
      <c r="H66" s="230"/>
      <c r="I66" s="230"/>
      <c r="J66" s="230"/>
      <c r="K66" s="230"/>
      <c r="L66" s="230"/>
    </row>
    <row r="67" spans="1:12" ht="15.75" x14ac:dyDescent="0.25">
      <c r="A67" s="206" t="s">
        <v>380</v>
      </c>
      <c r="B67" s="206"/>
      <c r="C67" s="206"/>
      <c r="D67" s="206"/>
      <c r="E67" s="206"/>
      <c r="F67" s="206"/>
      <c r="G67" s="206"/>
      <c r="H67" s="206"/>
      <c r="I67" s="206"/>
      <c r="J67" s="206"/>
      <c r="K67" s="206"/>
      <c r="L67" s="206"/>
    </row>
    <row r="68" spans="1:12" x14ac:dyDescent="0.25">
      <c r="A68" s="95"/>
      <c r="B68" s="208" t="s">
        <v>381</v>
      </c>
      <c r="C68" s="228" t="s">
        <v>382</v>
      </c>
      <c r="D68" s="228"/>
      <c r="E68" s="228"/>
      <c r="F68" s="228"/>
      <c r="G68" s="228"/>
      <c r="H68" s="228"/>
      <c r="I68" s="228"/>
      <c r="J68" s="228"/>
      <c r="K68" s="228"/>
      <c r="L68" s="229"/>
    </row>
    <row r="69" spans="1:12" ht="150" x14ac:dyDescent="0.25">
      <c r="A69" s="84" t="s">
        <v>204</v>
      </c>
      <c r="B69" s="209"/>
      <c r="C69" s="87" t="s">
        <v>383</v>
      </c>
      <c r="D69" s="111" t="s">
        <v>384</v>
      </c>
      <c r="E69" s="111" t="s">
        <v>385</v>
      </c>
      <c r="F69" s="111" t="s">
        <v>386</v>
      </c>
      <c r="G69" s="111" t="s">
        <v>387</v>
      </c>
      <c r="H69" s="111" t="s">
        <v>388</v>
      </c>
      <c r="I69" s="111" t="s">
        <v>389</v>
      </c>
      <c r="J69" s="111" t="s">
        <v>390</v>
      </c>
      <c r="K69" s="112" t="s">
        <v>391</v>
      </c>
      <c r="L69" s="113" t="s">
        <v>377</v>
      </c>
    </row>
    <row r="70" spans="1:12" x14ac:dyDescent="0.25">
      <c r="A70" s="104" t="s">
        <v>315</v>
      </c>
      <c r="B70" s="109">
        <v>72.3</v>
      </c>
      <c r="C70" s="114">
        <v>42.4</v>
      </c>
      <c r="D70" s="115">
        <v>0.8</v>
      </c>
      <c r="E70" s="115">
        <v>0.3</v>
      </c>
      <c r="F70" s="115">
        <v>0.2</v>
      </c>
      <c r="G70" s="115">
        <v>18.399999999999999</v>
      </c>
      <c r="H70" s="115">
        <v>25.6</v>
      </c>
      <c r="I70" s="115">
        <v>0.89999999999999991</v>
      </c>
      <c r="J70" s="115">
        <v>5</v>
      </c>
      <c r="K70" s="116">
        <v>6.4</v>
      </c>
      <c r="L70" s="108">
        <v>100</v>
      </c>
    </row>
    <row r="71" spans="1:12" x14ac:dyDescent="0.25">
      <c r="A71" t="s">
        <v>392</v>
      </c>
      <c r="C71" s="26">
        <f>$B$70/100*C70/100</f>
        <v>0.30655199999999999</v>
      </c>
      <c r="D71" s="55">
        <f t="shared" ref="D71:L71" si="0">$B$70/100*D70/100</f>
        <v>5.7840000000000001E-3</v>
      </c>
      <c r="E71" s="55">
        <f t="shared" si="0"/>
        <v>2.1689999999999999E-3</v>
      </c>
      <c r="F71" s="55">
        <f t="shared" si="0"/>
        <v>1.446E-3</v>
      </c>
      <c r="G71" s="55">
        <f t="shared" si="0"/>
        <v>0.13303199999999998</v>
      </c>
      <c r="H71" s="55">
        <f t="shared" si="0"/>
        <v>0.185088</v>
      </c>
      <c r="I71" s="55">
        <f t="shared" si="0"/>
        <v>6.5069999999999998E-3</v>
      </c>
      <c r="J71" s="55">
        <f t="shared" si="0"/>
        <v>3.6149999999999995E-2</v>
      </c>
      <c r="K71" s="55">
        <f t="shared" si="0"/>
        <v>4.6272000000000001E-2</v>
      </c>
      <c r="L71" s="55">
        <f t="shared" si="0"/>
        <v>0.72299999999999998</v>
      </c>
    </row>
    <row r="72" spans="1:12" x14ac:dyDescent="0.25">
      <c r="C72" t="s">
        <v>393</v>
      </c>
    </row>
    <row r="73" spans="1:12" x14ac:dyDescent="0.25">
      <c r="C73" t="s">
        <v>394</v>
      </c>
    </row>
    <row r="74" spans="1:12" x14ac:dyDescent="0.25">
      <c r="C74" s="131" t="s">
        <v>395</v>
      </c>
    </row>
  </sheetData>
  <mergeCells count="49">
    <mergeCell ref="A65:L65"/>
    <mergeCell ref="A66:L66"/>
    <mergeCell ref="A67:L67"/>
    <mergeCell ref="B68:B69"/>
    <mergeCell ref="C68:L68"/>
    <mergeCell ref="A57:I57"/>
    <mergeCell ref="A59:F59"/>
    <mergeCell ref="A60:F60"/>
    <mergeCell ref="B61:B62"/>
    <mergeCell ref="C61:F61"/>
    <mergeCell ref="A48:K48"/>
    <mergeCell ref="A49:K49"/>
    <mergeCell ref="A53:I53"/>
    <mergeCell ref="B54:B55"/>
    <mergeCell ref="C54:I54"/>
    <mergeCell ref="A42:J42"/>
    <mergeCell ref="A44:J44"/>
    <mergeCell ref="B45:B46"/>
    <mergeCell ref="C45:C46"/>
    <mergeCell ref="D45:D46"/>
    <mergeCell ref="E45:K45"/>
    <mergeCell ref="A27:E27"/>
    <mergeCell ref="A38:J38"/>
    <mergeCell ref="B39:B40"/>
    <mergeCell ref="C39:C40"/>
    <mergeCell ref="D39:J39"/>
    <mergeCell ref="B34:B35"/>
    <mergeCell ref="C34:D34"/>
    <mergeCell ref="E34:E35"/>
    <mergeCell ref="F34:F35"/>
    <mergeCell ref="G34:G35"/>
    <mergeCell ref="B28:B30"/>
    <mergeCell ref="C28:C30"/>
    <mergeCell ref="D28:D30"/>
    <mergeCell ref="E28:E30"/>
    <mergeCell ref="A33:G33"/>
    <mergeCell ref="A19:M19"/>
    <mergeCell ref="A17:M17"/>
    <mergeCell ref="A18:M18"/>
    <mergeCell ref="A16:M16"/>
    <mergeCell ref="A8:M8"/>
    <mergeCell ref="B9:G9"/>
    <mergeCell ref="H9:M9"/>
    <mergeCell ref="B10:C10"/>
    <mergeCell ref="D10:E10"/>
    <mergeCell ref="F10:G10"/>
    <mergeCell ref="H10:I10"/>
    <mergeCell ref="J10:K10"/>
    <mergeCell ref="L10:M10"/>
  </mergeCells>
  <hyperlinks>
    <hyperlink ref="C74" r:id="rId1" xr:uid="{91884066-4972-4FC5-A337-C3C09BFF23CA}"/>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5E692-E99E-4534-86B3-C46C787F8334}">
  <dimension ref="A1:C8"/>
  <sheetViews>
    <sheetView workbookViewId="0">
      <selection activeCell="B6" sqref="B6"/>
    </sheetView>
  </sheetViews>
  <sheetFormatPr defaultRowHeight="15" x14ac:dyDescent="0.25"/>
  <cols>
    <col min="1" max="1" width="20" customWidth="1"/>
    <col min="2" max="2" width="11.85546875" customWidth="1"/>
    <col min="16" max="16" width="27" customWidth="1"/>
    <col min="17" max="17" width="11.5703125" customWidth="1"/>
  </cols>
  <sheetData>
    <row r="1" spans="1:3" x14ac:dyDescent="0.25">
      <c r="A1" t="s">
        <v>396</v>
      </c>
    </row>
    <row r="2" spans="1:3" ht="45" x14ac:dyDescent="0.25">
      <c r="B2" s="140" t="s">
        <v>397</v>
      </c>
    </row>
    <row r="3" spans="1:3" x14ac:dyDescent="0.25">
      <c r="A3" t="s">
        <v>398</v>
      </c>
      <c r="B3">
        <v>22554</v>
      </c>
    </row>
    <row r="4" spans="1:3" x14ac:dyDescent="0.25">
      <c r="A4" t="s">
        <v>399</v>
      </c>
      <c r="B4">
        <v>20811</v>
      </c>
    </row>
    <row r="5" spans="1:3" x14ac:dyDescent="0.25">
      <c r="A5" t="s">
        <v>400</v>
      </c>
      <c r="B5">
        <v>1743</v>
      </c>
    </row>
    <row r="6" spans="1:3" x14ac:dyDescent="0.25">
      <c r="A6" t="s">
        <v>401</v>
      </c>
      <c r="B6" s="55">
        <f>+B5/B4</f>
        <v>8.3753784056508573E-2</v>
      </c>
    </row>
    <row r="7" spans="1:3" x14ac:dyDescent="0.25">
      <c r="A7" t="s">
        <v>402</v>
      </c>
      <c r="B7">
        <v>68899</v>
      </c>
      <c r="C7" t="s">
        <v>403</v>
      </c>
    </row>
    <row r="8" spans="1:3" x14ac:dyDescent="0.25">
      <c r="A8" t="s">
        <v>404</v>
      </c>
      <c r="B8" s="42">
        <f>B7*B6</f>
        <v>5770.5519677093844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0DCD0-BE9A-40B7-8711-5E09DA56C00C}">
  <dimension ref="A1:L51"/>
  <sheetViews>
    <sheetView topLeftCell="A30" workbookViewId="0">
      <selection activeCell="B32" sqref="B32"/>
    </sheetView>
  </sheetViews>
  <sheetFormatPr defaultRowHeight="15" x14ac:dyDescent="0.25"/>
  <cols>
    <col min="1" max="1" width="58.5703125" customWidth="1"/>
    <col min="2" max="2" width="14.7109375" bestFit="1" customWidth="1"/>
    <col min="5" max="5" width="12.5703125" bestFit="1" customWidth="1"/>
    <col min="11" max="11" width="15.42578125" customWidth="1"/>
  </cols>
  <sheetData>
    <row r="1" spans="1:11" x14ac:dyDescent="0.25">
      <c r="A1" t="s">
        <v>405</v>
      </c>
    </row>
    <row r="2" spans="1:11" x14ac:dyDescent="0.25">
      <c r="A2" t="s">
        <v>406</v>
      </c>
    </row>
    <row r="3" spans="1:11" x14ac:dyDescent="0.25">
      <c r="A3" s="1" t="s">
        <v>407</v>
      </c>
    </row>
    <row r="4" spans="1:11" ht="30" x14ac:dyDescent="0.25">
      <c r="A4" s="3" t="s">
        <v>408</v>
      </c>
      <c r="B4" s="3" t="s">
        <v>409</v>
      </c>
      <c r="C4" s="3"/>
      <c r="D4" s="3"/>
      <c r="E4" s="137" t="s">
        <v>410</v>
      </c>
      <c r="F4" s="3" t="s">
        <v>411</v>
      </c>
      <c r="G4" s="3" t="s">
        <v>412</v>
      </c>
      <c r="H4" s="3" t="s">
        <v>413</v>
      </c>
      <c r="I4" s="3" t="s">
        <v>414</v>
      </c>
      <c r="J4" s="3" t="s">
        <v>415</v>
      </c>
      <c r="K4" s="6" t="s">
        <v>416</v>
      </c>
    </row>
    <row r="5" spans="1:11" x14ac:dyDescent="0.25">
      <c r="A5" s="3" t="s">
        <v>417</v>
      </c>
      <c r="B5" s="135">
        <v>48950</v>
      </c>
      <c r="C5" s="3">
        <v>0.3</v>
      </c>
      <c r="D5" s="134">
        <f>12^-1</f>
        <v>8.3333333333333329E-2</v>
      </c>
      <c r="E5" s="135">
        <f>PRODUCT(B5:D5)</f>
        <v>1223.75</v>
      </c>
      <c r="F5" s="3">
        <v>0</v>
      </c>
      <c r="G5" s="3">
        <v>0</v>
      </c>
      <c r="H5" s="3">
        <v>0</v>
      </c>
      <c r="I5" s="3">
        <v>0</v>
      </c>
      <c r="J5" s="3">
        <v>0</v>
      </c>
      <c r="K5" s="145">
        <f>E5/$B$32</f>
        <v>1088.0394319814645</v>
      </c>
    </row>
    <row r="6" spans="1:11" x14ac:dyDescent="0.25">
      <c r="A6" s="3" t="s">
        <v>418</v>
      </c>
      <c r="B6" s="135">
        <v>81600</v>
      </c>
      <c r="C6" s="3">
        <v>0.3</v>
      </c>
      <c r="D6" s="134">
        <f t="shared" ref="D6:D9" si="0">12^-1</f>
        <v>8.3333333333333329E-2</v>
      </c>
      <c r="E6" s="135">
        <f t="shared" ref="E6:E9" si="1">PRODUCT(B6:D6)</f>
        <v>2040</v>
      </c>
      <c r="F6" s="3">
        <v>0</v>
      </c>
      <c r="G6" s="3">
        <v>1</v>
      </c>
      <c r="H6" s="3">
        <v>0</v>
      </c>
      <c r="I6" s="3">
        <v>0</v>
      </c>
      <c r="J6" s="3">
        <v>0</v>
      </c>
      <c r="K6" s="145">
        <f t="shared" ref="K6:K10" si="2">E6/$B$32</f>
        <v>1813.7695127617467</v>
      </c>
    </row>
    <row r="7" spans="1:11" x14ac:dyDescent="0.25">
      <c r="A7" s="3" t="s">
        <v>419</v>
      </c>
      <c r="B7" s="135">
        <f>2*B5</f>
        <v>97900</v>
      </c>
      <c r="C7" s="3">
        <v>0.3</v>
      </c>
      <c r="D7" s="134">
        <f t="shared" si="0"/>
        <v>8.3333333333333329E-2</v>
      </c>
      <c r="E7" s="135">
        <f t="shared" ref="E7" si="3">PRODUCT(B7:D7)</f>
        <v>2447.5</v>
      </c>
      <c r="F7" s="3">
        <v>0</v>
      </c>
      <c r="G7" s="3">
        <v>1</v>
      </c>
      <c r="H7" s="3">
        <v>0</v>
      </c>
      <c r="I7" s="3">
        <v>0</v>
      </c>
      <c r="J7" s="3">
        <v>0</v>
      </c>
      <c r="K7" s="145">
        <f t="shared" si="2"/>
        <v>2176.0788639629291</v>
      </c>
    </row>
    <row r="8" spans="1:11" x14ac:dyDescent="0.25">
      <c r="A8" s="3" t="s">
        <v>420</v>
      </c>
      <c r="B8" s="135">
        <v>130250</v>
      </c>
      <c r="C8" s="3">
        <v>0.3</v>
      </c>
      <c r="D8" s="134">
        <f t="shared" si="0"/>
        <v>8.3333333333333329E-2</v>
      </c>
      <c r="E8" s="135">
        <f t="shared" si="1"/>
        <v>3256.25</v>
      </c>
      <c r="F8" s="3">
        <v>133</v>
      </c>
      <c r="G8" s="3">
        <v>20</v>
      </c>
      <c r="H8" s="3">
        <v>13</v>
      </c>
      <c r="I8" s="3">
        <v>18</v>
      </c>
      <c r="J8" s="3">
        <v>12</v>
      </c>
      <c r="K8" s="145">
        <f t="shared" si="2"/>
        <v>2895.1406744757051</v>
      </c>
    </row>
    <row r="9" spans="1:11" x14ac:dyDescent="0.25">
      <c r="A9" s="3" t="s">
        <v>421</v>
      </c>
      <c r="B9" s="135">
        <v>148900</v>
      </c>
      <c r="C9" s="3">
        <v>0.3</v>
      </c>
      <c r="D9" s="134">
        <f t="shared" si="0"/>
        <v>8.3333333333333329E-2</v>
      </c>
      <c r="E9" s="135">
        <f t="shared" si="1"/>
        <v>3722.5</v>
      </c>
      <c r="F9" s="3">
        <v>337</v>
      </c>
      <c r="G9" s="3">
        <v>42</v>
      </c>
      <c r="H9" s="3">
        <v>21</v>
      </c>
      <c r="I9" s="3">
        <v>27</v>
      </c>
      <c r="J9" s="3">
        <v>17</v>
      </c>
      <c r="K9" s="145">
        <f t="shared" si="2"/>
        <v>3309.6848094390207</v>
      </c>
    </row>
    <row r="10" spans="1:11" x14ac:dyDescent="0.25">
      <c r="A10" s="3" t="s">
        <v>422</v>
      </c>
      <c r="B10" s="135"/>
      <c r="C10" s="3"/>
      <c r="D10" s="3"/>
      <c r="E10" s="135"/>
      <c r="F10" s="3">
        <v>951</v>
      </c>
      <c r="G10" s="3">
        <v>172</v>
      </c>
      <c r="H10" s="3">
        <v>29</v>
      </c>
      <c r="I10" s="3">
        <v>34</v>
      </c>
      <c r="J10" s="3">
        <v>21</v>
      </c>
      <c r="K10" s="145">
        <f t="shared" si="2"/>
        <v>0</v>
      </c>
    </row>
    <row r="11" spans="1:11" x14ac:dyDescent="0.25">
      <c r="B11" s="136"/>
      <c r="E11" s="136"/>
    </row>
    <row r="12" spans="1:11" x14ac:dyDescent="0.25">
      <c r="B12" s="136"/>
      <c r="E12" s="136"/>
    </row>
    <row r="13" spans="1:11" x14ac:dyDescent="0.25">
      <c r="A13" s="3" t="s">
        <v>423</v>
      </c>
      <c r="B13" s="135"/>
      <c r="C13" s="3"/>
      <c r="D13" s="3"/>
      <c r="E13" s="135"/>
      <c r="F13" s="3" t="s">
        <v>411</v>
      </c>
      <c r="G13" s="3" t="s">
        <v>412</v>
      </c>
      <c r="H13" s="3" t="s">
        <v>413</v>
      </c>
      <c r="I13" s="3" t="s">
        <v>414</v>
      </c>
      <c r="J13" s="3" t="s">
        <v>415</v>
      </c>
    </row>
    <row r="14" spans="1:11" x14ac:dyDescent="0.25">
      <c r="A14" s="3" t="s">
        <v>417</v>
      </c>
      <c r="B14" s="135">
        <v>34300</v>
      </c>
      <c r="C14" s="3">
        <v>0.3</v>
      </c>
      <c r="D14" s="134">
        <f>12^-1</f>
        <v>8.3333333333333329E-2</v>
      </c>
      <c r="E14" s="135">
        <f>PRODUCT(B14:D14)</f>
        <v>857.5</v>
      </c>
      <c r="F14" s="3">
        <v>0</v>
      </c>
      <c r="G14" s="3">
        <v>0</v>
      </c>
      <c r="H14" s="3" t="s">
        <v>424</v>
      </c>
      <c r="I14" s="3">
        <v>0</v>
      </c>
      <c r="J14" s="3">
        <v>0</v>
      </c>
      <c r="K14" s="145">
        <f>E14/$B$32</f>
        <v>762.40556725156762</v>
      </c>
    </row>
    <row r="15" spans="1:11" x14ac:dyDescent="0.25">
      <c r="A15" s="3" t="s">
        <v>418</v>
      </c>
      <c r="B15" s="135">
        <v>57100</v>
      </c>
      <c r="C15" s="3">
        <v>0.3</v>
      </c>
      <c r="D15" s="134">
        <f t="shared" ref="D15:D18" si="4">12^-1</f>
        <v>8.3333333333333329E-2</v>
      </c>
      <c r="E15" s="135">
        <f t="shared" ref="E15:E18" si="5">PRODUCT(B15:D15)</f>
        <v>1427.5</v>
      </c>
      <c r="F15" s="3">
        <v>1</v>
      </c>
      <c r="G15" s="3">
        <v>0</v>
      </c>
      <c r="H15" s="3" t="s">
        <v>424</v>
      </c>
      <c r="I15" s="3">
        <v>0</v>
      </c>
      <c r="J15" s="3">
        <v>1</v>
      </c>
      <c r="K15" s="145">
        <f t="shared" ref="K15:K19" si="6">E15/$B$32</f>
        <v>1269.1941075820557</v>
      </c>
    </row>
    <row r="16" spans="1:11" x14ac:dyDescent="0.25">
      <c r="A16" s="3" t="s">
        <v>419</v>
      </c>
      <c r="B16" s="135">
        <f>2*B14</f>
        <v>68600</v>
      </c>
      <c r="C16" s="3">
        <v>0.3</v>
      </c>
      <c r="D16" s="134">
        <f t="shared" si="4"/>
        <v>8.3333333333333329E-2</v>
      </c>
      <c r="E16" s="135">
        <f t="shared" si="5"/>
        <v>1715</v>
      </c>
      <c r="F16" s="3">
        <v>6</v>
      </c>
      <c r="G16" s="3">
        <v>2</v>
      </c>
      <c r="H16" s="3" t="s">
        <v>424</v>
      </c>
      <c r="I16" s="3">
        <v>1</v>
      </c>
      <c r="J16" s="3">
        <v>3</v>
      </c>
      <c r="K16" s="145">
        <f t="shared" si="6"/>
        <v>1524.8111345031352</v>
      </c>
    </row>
    <row r="17" spans="1:12" x14ac:dyDescent="0.25">
      <c r="A17" s="3" t="s">
        <v>420</v>
      </c>
      <c r="B17" s="135">
        <v>91200</v>
      </c>
      <c r="C17" s="3">
        <v>0.3</v>
      </c>
      <c r="D17" s="134">
        <f t="shared" si="4"/>
        <v>8.3333333333333329E-2</v>
      </c>
      <c r="E17" s="135">
        <f t="shared" si="5"/>
        <v>2280</v>
      </c>
      <c r="F17" s="3">
        <v>260</v>
      </c>
      <c r="G17" s="3">
        <v>21</v>
      </c>
      <c r="H17" s="3">
        <v>21</v>
      </c>
      <c r="I17" s="3">
        <v>37</v>
      </c>
      <c r="J17" s="3">
        <v>103</v>
      </c>
      <c r="K17" s="145">
        <v>0</v>
      </c>
      <c r="L17" t="s">
        <v>425</v>
      </c>
    </row>
    <row r="18" spans="1:12" x14ac:dyDescent="0.25">
      <c r="A18" s="3" t="s">
        <v>421</v>
      </c>
      <c r="B18" s="135">
        <v>148900</v>
      </c>
      <c r="C18" s="3">
        <v>0.3</v>
      </c>
      <c r="D18" s="134">
        <f t="shared" si="4"/>
        <v>8.3333333333333329E-2</v>
      </c>
      <c r="E18" s="135">
        <f t="shared" si="5"/>
        <v>3722.5</v>
      </c>
      <c r="F18" s="3">
        <v>1428</v>
      </c>
      <c r="G18" s="3">
        <v>157</v>
      </c>
      <c r="H18" s="3">
        <v>402</v>
      </c>
      <c r="I18" s="3">
        <v>218</v>
      </c>
      <c r="J18" s="3">
        <v>201</v>
      </c>
      <c r="K18" s="145">
        <f t="shared" si="6"/>
        <v>3309.6848094390207</v>
      </c>
    </row>
    <row r="19" spans="1:12" x14ac:dyDescent="0.25">
      <c r="A19" s="3" t="s">
        <v>422</v>
      </c>
      <c r="B19" s="135"/>
      <c r="C19" s="3"/>
      <c r="D19" s="3"/>
      <c r="E19" s="135"/>
      <c r="F19" s="3">
        <v>2178</v>
      </c>
      <c r="G19" s="3">
        <v>325</v>
      </c>
      <c r="H19" s="3">
        <v>468</v>
      </c>
      <c r="I19" s="3">
        <v>225</v>
      </c>
      <c r="J19" s="3">
        <v>206</v>
      </c>
      <c r="K19" s="145">
        <f t="shared" si="6"/>
        <v>0</v>
      </c>
    </row>
    <row r="20" spans="1:12" x14ac:dyDescent="0.25">
      <c r="A20" t="s">
        <v>426</v>
      </c>
    </row>
    <row r="21" spans="1:12" x14ac:dyDescent="0.25">
      <c r="A21" t="s">
        <v>427</v>
      </c>
    </row>
    <row r="23" spans="1:12" x14ac:dyDescent="0.25">
      <c r="A23" s="131" t="s">
        <v>428</v>
      </c>
    </row>
    <row r="24" spans="1:12" x14ac:dyDescent="0.25">
      <c r="A24" t="s">
        <v>429</v>
      </c>
    </row>
    <row r="25" spans="1:12" x14ac:dyDescent="0.25">
      <c r="A25" t="s">
        <v>430</v>
      </c>
    </row>
    <row r="28" spans="1:12" x14ac:dyDescent="0.25">
      <c r="A28" t="s">
        <v>431</v>
      </c>
    </row>
    <row r="29" spans="1:12" x14ac:dyDescent="0.25">
      <c r="A29" t="s">
        <v>432</v>
      </c>
      <c r="B29" s="136">
        <v>140200</v>
      </c>
    </row>
    <row r="30" spans="1:12" x14ac:dyDescent="0.25">
      <c r="A30" t="s">
        <v>433</v>
      </c>
    </row>
    <row r="32" spans="1:12" x14ac:dyDescent="0.25">
      <c r="A32" s="1" t="s">
        <v>434</v>
      </c>
      <c r="B32" s="142">
        <f>ZORI!E8</f>
        <v>1.124729457434634</v>
      </c>
    </row>
    <row r="33" spans="1:7" x14ac:dyDescent="0.25">
      <c r="A33" s="1" t="s">
        <v>435</v>
      </c>
      <c r="B33" s="142">
        <f>B9/B29</f>
        <v>1.0620542082738944</v>
      </c>
    </row>
    <row r="36" spans="1:7" x14ac:dyDescent="0.25">
      <c r="A36" t="s">
        <v>436</v>
      </c>
    </row>
    <row r="37" spans="1:7" x14ac:dyDescent="0.25">
      <c r="A37" t="s">
        <v>437</v>
      </c>
      <c r="B37">
        <v>91200</v>
      </c>
    </row>
    <row r="38" spans="1:7" x14ac:dyDescent="0.25">
      <c r="A38" t="s">
        <v>438</v>
      </c>
    </row>
    <row r="39" spans="1:7" x14ac:dyDescent="0.25">
      <c r="A39" t="s">
        <v>439</v>
      </c>
    </row>
    <row r="40" spans="1:7" x14ac:dyDescent="0.25">
      <c r="A40" t="s">
        <v>440</v>
      </c>
    </row>
    <row r="41" spans="1:7" ht="30" x14ac:dyDescent="0.25">
      <c r="A41" s="3" t="s">
        <v>441</v>
      </c>
      <c r="B41" s="3" t="s">
        <v>409</v>
      </c>
      <c r="C41" s="3"/>
      <c r="D41" s="3"/>
      <c r="E41" s="137" t="s">
        <v>410</v>
      </c>
      <c r="F41" s="3" t="s">
        <v>442</v>
      </c>
      <c r="G41" s="3" t="s">
        <v>443</v>
      </c>
    </row>
    <row r="42" spans="1:7" x14ac:dyDescent="0.25">
      <c r="A42" s="3" t="s">
        <v>417</v>
      </c>
      <c r="B42" s="135">
        <v>32850</v>
      </c>
      <c r="C42" s="3">
        <v>0.3</v>
      </c>
      <c r="D42" s="134">
        <f>12^-1</f>
        <v>8.3333333333333329E-2</v>
      </c>
      <c r="E42" s="135">
        <f>PRODUCT(B42:D42)</f>
        <v>821.25</v>
      </c>
      <c r="F42" s="3">
        <v>0</v>
      </c>
      <c r="G42" s="3">
        <v>0</v>
      </c>
    </row>
    <row r="43" spans="1:7" x14ac:dyDescent="0.25">
      <c r="A43" s="3" t="s">
        <v>418</v>
      </c>
      <c r="B43" s="135">
        <v>54750</v>
      </c>
      <c r="C43" s="3">
        <v>0.3</v>
      </c>
      <c r="D43" s="134">
        <f t="shared" ref="D43:D46" si="7">12^-1</f>
        <v>8.3333333333333329E-2</v>
      </c>
      <c r="E43" s="135">
        <f t="shared" ref="E43:E46" si="8">PRODUCT(B43:D43)</f>
        <v>1368.75</v>
      </c>
      <c r="F43" s="3">
        <v>0</v>
      </c>
      <c r="G43" s="3">
        <v>1</v>
      </c>
    </row>
    <row r="44" spans="1:7" x14ac:dyDescent="0.25">
      <c r="A44" s="3" t="s">
        <v>419</v>
      </c>
      <c r="B44" s="135">
        <f>2*B42</f>
        <v>65700</v>
      </c>
      <c r="C44" s="3">
        <v>0.3</v>
      </c>
      <c r="D44" s="134">
        <f t="shared" si="7"/>
        <v>8.3333333333333329E-2</v>
      </c>
      <c r="E44" s="135">
        <f t="shared" si="8"/>
        <v>1642.5</v>
      </c>
      <c r="F44" s="3">
        <v>5</v>
      </c>
      <c r="G44" s="3">
        <v>3</v>
      </c>
    </row>
    <row r="45" spans="1:7" x14ac:dyDescent="0.25">
      <c r="A45" s="3" t="s">
        <v>420</v>
      </c>
      <c r="B45" s="135">
        <v>87600</v>
      </c>
      <c r="C45" s="3">
        <v>0.3</v>
      </c>
      <c r="D45" s="134">
        <f t="shared" si="7"/>
        <v>8.3333333333333329E-2</v>
      </c>
      <c r="E45" s="135">
        <f t="shared" si="8"/>
        <v>2190</v>
      </c>
      <c r="F45" s="3" t="s">
        <v>444</v>
      </c>
      <c r="G45" s="3">
        <v>22</v>
      </c>
    </row>
    <row r="46" spans="1:7" x14ac:dyDescent="0.25">
      <c r="A46" s="3" t="s">
        <v>421</v>
      </c>
      <c r="B46" s="135">
        <v>97000</v>
      </c>
      <c r="C46" s="3">
        <v>0.3</v>
      </c>
      <c r="D46" s="134">
        <f t="shared" si="7"/>
        <v>8.3333333333333329E-2</v>
      </c>
      <c r="E46" s="135">
        <f t="shared" si="8"/>
        <v>2425</v>
      </c>
      <c r="F46" s="3">
        <v>36</v>
      </c>
      <c r="G46" s="3">
        <v>23</v>
      </c>
    </row>
    <row r="47" spans="1:7" x14ac:dyDescent="0.25">
      <c r="A47" s="3" t="s">
        <v>422</v>
      </c>
      <c r="B47" s="135"/>
      <c r="C47" s="3"/>
      <c r="D47" s="3"/>
      <c r="E47" s="135"/>
      <c r="F47" s="3">
        <v>50</v>
      </c>
      <c r="G47" s="3">
        <v>23</v>
      </c>
    </row>
    <row r="48" spans="1:7" x14ac:dyDescent="0.25">
      <c r="A48" s="6" t="s">
        <v>445</v>
      </c>
    </row>
    <row r="50" spans="1:2" x14ac:dyDescent="0.25">
      <c r="A50" s="1" t="s">
        <v>446</v>
      </c>
      <c r="B50" s="142">
        <f>ZORI!E14</f>
        <v>1.174238667043513</v>
      </c>
    </row>
    <row r="51" spans="1:2" x14ac:dyDescent="0.25">
      <c r="A51" s="1" t="s">
        <v>435</v>
      </c>
      <c r="B51" s="139">
        <f>B46/B37</f>
        <v>1.0635964912280702</v>
      </c>
    </row>
  </sheetData>
  <hyperlinks>
    <hyperlink ref="A23" r:id="rId1" xr:uid="{D7B2A5FD-3A2B-413F-B6EC-9A2D59E6B3A8}"/>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632F8-94C0-4396-8850-29AA61084863}">
  <dimension ref="A1:F7"/>
  <sheetViews>
    <sheetView workbookViewId="0">
      <selection activeCell="I26" sqref="I26"/>
    </sheetView>
  </sheetViews>
  <sheetFormatPr defaultRowHeight="15" x14ac:dyDescent="0.25"/>
  <cols>
    <col min="2" max="2" width="22.140625" customWidth="1"/>
    <col min="3" max="3" width="21" customWidth="1"/>
  </cols>
  <sheetData>
    <row r="1" spans="1:6" x14ac:dyDescent="0.25">
      <c r="A1" t="s">
        <v>447</v>
      </c>
    </row>
    <row r="2" spans="1:6" x14ac:dyDescent="0.25">
      <c r="B2" t="s">
        <v>448</v>
      </c>
    </row>
    <row r="3" spans="1:6" x14ac:dyDescent="0.25">
      <c r="B3" t="s">
        <v>422</v>
      </c>
      <c r="C3">
        <v>27779</v>
      </c>
      <c r="E3" t="s">
        <v>449</v>
      </c>
      <c r="F3" t="s">
        <v>450</v>
      </c>
    </row>
    <row r="4" spans="1:6" x14ac:dyDescent="0.25">
      <c r="B4" t="s">
        <v>451</v>
      </c>
      <c r="C4" s="149" t="s">
        <v>452</v>
      </c>
      <c r="D4">
        <v>4</v>
      </c>
      <c r="E4" s="56">
        <v>9.9315736379618283E-2</v>
      </c>
      <c r="F4" s="56">
        <f>7/C3</f>
        <v>2.5198891248785055E-4</v>
      </c>
    </row>
    <row r="5" spans="1:6" x14ac:dyDescent="0.25">
      <c r="B5" t="s">
        <v>453</v>
      </c>
      <c r="C5" s="149" t="s">
        <v>454</v>
      </c>
      <c r="D5">
        <v>75</v>
      </c>
      <c r="E5" s="56">
        <v>9.1325411757773201E-2</v>
      </c>
      <c r="F5" s="56">
        <f>(D5-D4)/C3</f>
        <v>2.5558875409481983E-3</v>
      </c>
    </row>
    <row r="6" spans="1:6" x14ac:dyDescent="0.25">
      <c r="B6" t="s">
        <v>455</v>
      </c>
      <c r="C6" s="149" t="s">
        <v>456</v>
      </c>
      <c r="D6">
        <v>973</v>
      </c>
      <c r="E6" s="56">
        <v>0.16115060674554568</v>
      </c>
      <c r="F6" s="56">
        <f>(D6-D5)/C3</f>
        <v>3.2326577630584254E-2</v>
      </c>
    </row>
    <row r="7" spans="1:6" x14ac:dyDescent="0.25">
      <c r="B7" t="s">
        <v>457</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B4043-3ADB-4862-8ED7-E9598D794137}">
  <dimension ref="A1:N39"/>
  <sheetViews>
    <sheetView workbookViewId="0">
      <selection activeCell="F25" sqref="F25:F31"/>
    </sheetView>
  </sheetViews>
  <sheetFormatPr defaultRowHeight="15" x14ac:dyDescent="0.25"/>
  <cols>
    <col min="1" max="1" width="44.85546875" customWidth="1"/>
    <col min="2" max="3" width="11.42578125" customWidth="1"/>
    <col min="4" max="4" width="10.5703125" customWidth="1"/>
    <col min="5" max="7" width="11.42578125" customWidth="1"/>
    <col min="8" max="9" width="9.5703125" bestFit="1" customWidth="1"/>
    <col min="11" max="13" width="12.42578125" customWidth="1"/>
    <col min="14" max="14" width="11" customWidth="1"/>
  </cols>
  <sheetData>
    <row r="1" spans="1:14" x14ac:dyDescent="0.25">
      <c r="A1" s="1" t="s">
        <v>458</v>
      </c>
    </row>
    <row r="2" spans="1:14" x14ac:dyDescent="0.25">
      <c r="A2" s="166" t="s">
        <v>459</v>
      </c>
    </row>
    <row r="3" spans="1:14" ht="15.75" thickBot="1" x14ac:dyDescent="0.3">
      <c r="D3" t="s">
        <v>460</v>
      </c>
    </row>
    <row r="4" spans="1:14" ht="15.75" thickTop="1" x14ac:dyDescent="0.25">
      <c r="C4" s="231" t="s">
        <v>461</v>
      </c>
      <c r="D4" s="231"/>
      <c r="E4" s="231"/>
      <c r="F4" s="231"/>
      <c r="G4" s="231"/>
      <c r="H4" s="231"/>
      <c r="I4" s="232" t="s">
        <v>442</v>
      </c>
      <c r="J4" s="232"/>
      <c r="K4" s="232"/>
      <c r="L4" s="232"/>
      <c r="M4" s="232"/>
      <c r="N4" s="232"/>
    </row>
    <row r="5" spans="1:14" x14ac:dyDescent="0.25">
      <c r="A5" s="3"/>
      <c r="B5" s="3" t="s">
        <v>462</v>
      </c>
      <c r="C5" s="3" t="s">
        <v>463</v>
      </c>
      <c r="D5" s="3" t="s">
        <v>464</v>
      </c>
      <c r="E5" s="3" t="s">
        <v>465</v>
      </c>
      <c r="F5" s="3" t="s">
        <v>466</v>
      </c>
      <c r="G5" s="3" t="s">
        <v>467</v>
      </c>
      <c r="H5" s="3" t="s">
        <v>468</v>
      </c>
      <c r="I5" s="3" t="s">
        <v>463</v>
      </c>
      <c r="J5" s="3" t="s">
        <v>464</v>
      </c>
      <c r="K5" s="3" t="s">
        <v>465</v>
      </c>
      <c r="L5" s="3" t="s">
        <v>466</v>
      </c>
      <c r="M5" s="3" t="s">
        <v>467</v>
      </c>
      <c r="N5" s="3" t="s">
        <v>468</v>
      </c>
    </row>
    <row r="6" spans="1:14" x14ac:dyDescent="0.25">
      <c r="A6" s="149" t="s">
        <v>452</v>
      </c>
      <c r="B6" s="158">
        <v>500</v>
      </c>
      <c r="C6" s="135">
        <f>B6*$B$19</f>
        <v>848.38533114395182</v>
      </c>
      <c r="D6" s="162">
        <v>3</v>
      </c>
      <c r="E6" s="150">
        <f>D6</f>
        <v>3</v>
      </c>
      <c r="F6" s="153">
        <f t="shared" ref="F6:F13" si="0">E6/$E$13</f>
        <v>1.196553924696873E-4</v>
      </c>
      <c r="G6" s="153">
        <f>'Census Download Data'!F165</f>
        <v>9.9315736379618283E-2</v>
      </c>
      <c r="H6" s="164">
        <v>0</v>
      </c>
      <c r="I6" s="151">
        <f>B6*$C$19</f>
        <v>767.12328767123279</v>
      </c>
      <c r="J6" s="151">
        <v>3</v>
      </c>
      <c r="K6" s="157">
        <f>J6</f>
        <v>3</v>
      </c>
      <c r="L6" s="153">
        <f t="shared" ref="L6:L12" si="1">K6/$K$13</f>
        <v>9.2307692307692316E-3</v>
      </c>
      <c r="M6" s="153">
        <f>'Census Download Data'!J165</f>
        <v>0.16062712616476851</v>
      </c>
      <c r="N6" s="160">
        <v>0</v>
      </c>
    </row>
    <row r="7" spans="1:14" x14ac:dyDescent="0.25">
      <c r="A7" s="149" t="s">
        <v>454</v>
      </c>
      <c r="B7" s="135">
        <v>1000</v>
      </c>
      <c r="C7" s="135">
        <f t="shared" ref="C7:C11" si="2">B7*$B$19</f>
        <v>1696.7706622879036</v>
      </c>
      <c r="D7" s="162">
        <v>237</v>
      </c>
      <c r="E7" s="150">
        <f t="shared" ref="E7:E12" si="3">D7-D6</f>
        <v>234</v>
      </c>
      <c r="F7" s="153">
        <f t="shared" si="0"/>
        <v>9.3331206126356092E-3</v>
      </c>
      <c r="G7" s="153">
        <f>'Census Download Data'!F166</f>
        <v>9.1325411757773201E-2</v>
      </c>
      <c r="H7" s="164">
        <v>0</v>
      </c>
      <c r="I7" s="151">
        <f t="shared" ref="I7:I11" si="4">B7*$C$19</f>
        <v>1534.2465753424656</v>
      </c>
      <c r="J7" s="151">
        <v>113</v>
      </c>
      <c r="K7" s="150">
        <f>J7-J6</f>
        <v>110</v>
      </c>
      <c r="L7" s="153">
        <f t="shared" si="1"/>
        <v>0.33846153846153848</v>
      </c>
      <c r="M7" s="153">
        <f>'Census Download Data'!J166</f>
        <v>0.2616899444291842</v>
      </c>
      <c r="N7" s="160">
        <v>5</v>
      </c>
    </row>
    <row r="8" spans="1:14" x14ac:dyDescent="0.25">
      <c r="A8" s="149" t="s">
        <v>456</v>
      </c>
      <c r="B8" s="135">
        <v>1500</v>
      </c>
      <c r="C8" s="135">
        <f t="shared" si="2"/>
        <v>2545.1559934318557</v>
      </c>
      <c r="D8" s="150">
        <v>5638</v>
      </c>
      <c r="E8" s="150">
        <f t="shared" si="3"/>
        <v>5401</v>
      </c>
      <c r="F8" s="153">
        <f t="shared" si="0"/>
        <v>0.21541959157626037</v>
      </c>
      <c r="G8" s="153">
        <f>'Census Download Data'!F167</f>
        <v>0.16115060674554568</v>
      </c>
      <c r="H8" s="164">
        <v>78</v>
      </c>
      <c r="I8" s="151">
        <f t="shared" si="4"/>
        <v>2301.3698630136987</v>
      </c>
      <c r="J8" s="151">
        <v>282</v>
      </c>
      <c r="K8" s="150">
        <f t="shared" ref="K8:K12" si="5">J8-J7</f>
        <v>169</v>
      </c>
      <c r="L8" s="153">
        <f t="shared" si="1"/>
        <v>0.52</v>
      </c>
      <c r="M8" s="153">
        <f>'Census Download Data'!J167</f>
        <v>0.36705263380311448</v>
      </c>
      <c r="N8" s="151">
        <v>78</v>
      </c>
    </row>
    <row r="9" spans="1:14" x14ac:dyDescent="0.25">
      <c r="A9" s="149" t="s">
        <v>469</v>
      </c>
      <c r="B9" s="135">
        <v>2000</v>
      </c>
      <c r="C9" s="135">
        <f t="shared" si="2"/>
        <v>3393.5413245758073</v>
      </c>
      <c r="D9" s="150">
        <v>15169</v>
      </c>
      <c r="E9" s="150">
        <f t="shared" si="3"/>
        <v>9531</v>
      </c>
      <c r="F9" s="153">
        <f t="shared" si="0"/>
        <v>0.38014518187619656</v>
      </c>
      <c r="G9" s="153">
        <f>'Census Download Data'!F168</f>
        <v>0.22674282379054264</v>
      </c>
      <c r="H9" s="150">
        <v>1249</v>
      </c>
      <c r="I9" s="151">
        <f t="shared" si="4"/>
        <v>3068.4931506849312</v>
      </c>
      <c r="J9" s="151">
        <v>320</v>
      </c>
      <c r="K9" s="150">
        <f t="shared" si="5"/>
        <v>38</v>
      </c>
      <c r="L9" s="153">
        <f t="shared" si="1"/>
        <v>0.11692307692307692</v>
      </c>
      <c r="M9" s="153">
        <f>'Census Download Data'!J168</f>
        <v>0.14961861094090054</v>
      </c>
      <c r="N9" s="151">
        <v>105</v>
      </c>
    </row>
    <row r="10" spans="1:14" x14ac:dyDescent="0.25">
      <c r="A10" s="149" t="s">
        <v>470</v>
      </c>
      <c r="B10" s="135">
        <v>2500</v>
      </c>
      <c r="C10" s="135">
        <f t="shared" si="2"/>
        <v>4241.9266557197598</v>
      </c>
      <c r="D10" s="150">
        <v>20514</v>
      </c>
      <c r="E10" s="150">
        <f t="shared" si="3"/>
        <v>5345</v>
      </c>
      <c r="F10" s="153">
        <f t="shared" si="0"/>
        <v>0.21318602425015953</v>
      </c>
      <c r="G10" s="153">
        <f>'Census Download Data'!F169</f>
        <v>0.18888033033222634</v>
      </c>
      <c r="H10" s="150">
        <v>3145</v>
      </c>
      <c r="I10" s="151">
        <f t="shared" si="4"/>
        <v>3835.6164383561641</v>
      </c>
      <c r="J10" s="151">
        <v>323</v>
      </c>
      <c r="K10" s="150">
        <f t="shared" si="5"/>
        <v>3</v>
      </c>
      <c r="L10" s="153">
        <f t="shared" si="1"/>
        <v>9.2307692307692316E-3</v>
      </c>
      <c r="M10" s="153">
        <f>'Census Download Data'!J169</f>
        <v>4.0663891647473957E-2</v>
      </c>
      <c r="N10" s="151">
        <v>107</v>
      </c>
    </row>
    <row r="11" spans="1:14" x14ac:dyDescent="0.25">
      <c r="A11" s="149" t="s">
        <v>471</v>
      </c>
      <c r="B11" s="135">
        <v>3000</v>
      </c>
      <c r="C11" s="135">
        <f t="shared" si="2"/>
        <v>5090.3119868637114</v>
      </c>
      <c r="D11" s="150">
        <v>22701</v>
      </c>
      <c r="E11" s="150">
        <f t="shared" si="3"/>
        <v>2187</v>
      </c>
      <c r="F11" s="153">
        <f t="shared" si="0"/>
        <v>8.722878111040204E-2</v>
      </c>
      <c r="G11" s="153">
        <f>'Census Download Data'!F170</f>
        <v>0.10762735763682817</v>
      </c>
      <c r="H11" s="150">
        <v>4421</v>
      </c>
      <c r="I11" s="151">
        <f t="shared" si="4"/>
        <v>4602.7397260273974</v>
      </c>
      <c r="J11" s="151">
        <v>324</v>
      </c>
      <c r="K11" s="150">
        <f t="shared" si="5"/>
        <v>1</v>
      </c>
      <c r="L11" s="153">
        <f t="shared" si="1"/>
        <v>3.0769230769230769E-3</v>
      </c>
      <c r="M11" s="153">
        <f>'Census Download Data'!J170</f>
        <v>1.0015424599066073E-2</v>
      </c>
      <c r="N11" s="151">
        <v>109</v>
      </c>
    </row>
    <row r="12" spans="1:14" x14ac:dyDescent="0.25">
      <c r="A12" s="149" t="s">
        <v>472</v>
      </c>
      <c r="B12" s="135" t="s">
        <v>473</v>
      </c>
      <c r="C12" s="135"/>
      <c r="D12" s="150">
        <v>25072</v>
      </c>
      <c r="E12" s="150">
        <f t="shared" si="3"/>
        <v>2371</v>
      </c>
      <c r="F12" s="153">
        <f t="shared" si="0"/>
        <v>9.45676451818762E-2</v>
      </c>
      <c r="G12" s="153">
        <f>'Census Download Data'!F171</f>
        <v>0.12495773335746566</v>
      </c>
      <c r="H12" s="150">
        <v>6737</v>
      </c>
      <c r="I12" s="3"/>
      <c r="J12" s="151">
        <v>325</v>
      </c>
      <c r="K12" s="150">
        <f t="shared" si="5"/>
        <v>1</v>
      </c>
      <c r="L12" s="153">
        <f t="shared" si="1"/>
        <v>3.0769230769230769E-3</v>
      </c>
      <c r="M12" s="153">
        <f>'Census Download Data'!J171</f>
        <v>1.0332368415492213E-2</v>
      </c>
      <c r="N12" s="151">
        <v>109</v>
      </c>
    </row>
    <row r="13" spans="1:14" x14ac:dyDescent="0.25">
      <c r="E13" s="152">
        <f>SUM(E6:E12)</f>
        <v>25072</v>
      </c>
      <c r="F13" s="153">
        <f t="shared" si="0"/>
        <v>1</v>
      </c>
      <c r="G13" s="165"/>
      <c r="K13" s="152">
        <f>SUM(K6:K12)</f>
        <v>325</v>
      </c>
      <c r="L13" s="153">
        <f>K13/$K$13</f>
        <v>1</v>
      </c>
      <c r="M13" s="165"/>
    </row>
    <row r="14" spans="1:14" x14ac:dyDescent="0.25">
      <c r="A14" s="146" t="s">
        <v>474</v>
      </c>
      <c r="B14" t="s">
        <v>461</v>
      </c>
      <c r="C14" t="s">
        <v>442</v>
      </c>
      <c r="D14" t="s">
        <v>475</v>
      </c>
    </row>
    <row r="15" spans="1:14" x14ac:dyDescent="0.25">
      <c r="A15" s="146" t="s">
        <v>476</v>
      </c>
      <c r="B15" s="136">
        <f>'Census Download Data'!F152</f>
        <v>1827</v>
      </c>
      <c r="C15" s="41">
        <f>+'Census Download Data'!J152</f>
        <v>1095</v>
      </c>
    </row>
    <row r="16" spans="1:14" x14ac:dyDescent="0.25">
      <c r="A16" s="146" t="s">
        <v>477</v>
      </c>
      <c r="B16" s="136">
        <f>AVERAGE(ZORI!F5:Q5)</f>
        <v>2638.3596063665041</v>
      </c>
      <c r="C16" s="41">
        <f>AVERAGE(ZORI!F11:Q11)</f>
        <v>1539.98367949927</v>
      </c>
      <c r="D16" s="42">
        <f>AVERAGE(ZORI!F22:Q22)</f>
        <v>1784.5948391459679</v>
      </c>
    </row>
    <row r="17" spans="1:6" x14ac:dyDescent="0.25">
      <c r="A17" s="146" t="s">
        <v>478</v>
      </c>
      <c r="B17" s="136">
        <f>ZORI!AL5</f>
        <v>2950.5798614369901</v>
      </c>
      <c r="C17" s="41">
        <f>+ZORI!AL11</f>
        <v>1814.1041666666599</v>
      </c>
      <c r="D17" s="42">
        <f>+ZORI!AL22</f>
        <v>2102.72053099805</v>
      </c>
    </row>
    <row r="18" spans="1:6" x14ac:dyDescent="0.25">
      <c r="A18" s="146" t="s">
        <v>479</v>
      </c>
      <c r="B18" s="136">
        <v>3100</v>
      </c>
      <c r="C18" s="41">
        <v>1680</v>
      </c>
    </row>
    <row r="19" spans="1:6" ht="18" customHeight="1" x14ac:dyDescent="0.25">
      <c r="A19" s="146" t="s">
        <v>480</v>
      </c>
      <c r="B19">
        <f>B18/B15</f>
        <v>1.6967706622879037</v>
      </c>
      <c r="C19">
        <f>C18/C15</f>
        <v>1.5342465753424657</v>
      </c>
    </row>
    <row r="20" spans="1:6" x14ac:dyDescent="0.25">
      <c r="A20" s="146" t="s">
        <v>481</v>
      </c>
      <c r="B20" s="40">
        <f>B17/B16</f>
        <v>1.1183387792615842</v>
      </c>
      <c r="C20" s="40">
        <f>C17/C16</f>
        <v>1.1780022027613442</v>
      </c>
      <c r="D20" s="40">
        <f>D17/D16</f>
        <v>1.1782621382029346</v>
      </c>
    </row>
    <row r="21" spans="1:6" x14ac:dyDescent="0.25">
      <c r="A21" s="147" t="s">
        <v>482</v>
      </c>
    </row>
    <row r="22" spans="1:6" x14ac:dyDescent="0.25">
      <c r="A22" t="s">
        <v>483</v>
      </c>
    </row>
    <row r="25" spans="1:6" x14ac:dyDescent="0.25">
      <c r="A25" s="154" t="s">
        <v>484</v>
      </c>
      <c r="B25" s="3" t="s">
        <v>485</v>
      </c>
      <c r="C25" s="3" t="s">
        <v>486</v>
      </c>
      <c r="D25" s="3" t="s">
        <v>487</v>
      </c>
      <c r="E25" s="3" t="s">
        <v>488</v>
      </c>
    </row>
    <row r="26" spans="1:6" x14ac:dyDescent="0.25">
      <c r="A26" s="3" t="s">
        <v>417</v>
      </c>
      <c r="B26" s="135">
        <v>29450</v>
      </c>
      <c r="C26" s="161">
        <f>B26*0.3/12</f>
        <v>736.25</v>
      </c>
      <c r="D26" s="135">
        <v>42050</v>
      </c>
      <c r="E26" s="163">
        <f t="shared" ref="E26:E30" si="6">D26*0.3/12</f>
        <v>1051.25</v>
      </c>
    </row>
    <row r="27" spans="1:6" x14ac:dyDescent="0.25">
      <c r="A27" s="3" t="s">
        <v>418</v>
      </c>
      <c r="B27" s="135">
        <v>49100</v>
      </c>
      <c r="C27" s="155">
        <f>B27*0.3/12</f>
        <v>1227.5</v>
      </c>
      <c r="D27" s="135">
        <v>70100</v>
      </c>
      <c r="E27" s="155">
        <f t="shared" si="6"/>
        <v>1752.5</v>
      </c>
    </row>
    <row r="28" spans="1:6" x14ac:dyDescent="0.25">
      <c r="A28" s="3" t="s">
        <v>419</v>
      </c>
      <c r="B28" s="135">
        <f>2*B26</f>
        <v>58900</v>
      </c>
      <c r="C28" s="155">
        <f>B28*0.3/12</f>
        <v>1472.5</v>
      </c>
      <c r="D28" s="135">
        <f>2*D26</f>
        <v>84100</v>
      </c>
      <c r="E28" s="155">
        <f t="shared" si="6"/>
        <v>2102.5</v>
      </c>
    </row>
    <row r="29" spans="1:6" x14ac:dyDescent="0.25">
      <c r="A29" s="3" t="s">
        <v>420</v>
      </c>
      <c r="B29" s="135">
        <v>78300</v>
      </c>
      <c r="C29" s="155">
        <f>B29*0.3/12</f>
        <v>1957.5</v>
      </c>
      <c r="D29" s="135">
        <v>111850</v>
      </c>
      <c r="E29" s="155">
        <f t="shared" si="6"/>
        <v>2796.25</v>
      </c>
    </row>
    <row r="30" spans="1:6" x14ac:dyDescent="0.25">
      <c r="A30" s="3" t="s">
        <v>421</v>
      </c>
      <c r="B30" s="135"/>
      <c r="C30" s="155">
        <f>B30*0.3/12</f>
        <v>0</v>
      </c>
      <c r="D30" s="135">
        <v>140200</v>
      </c>
      <c r="E30" s="155">
        <f t="shared" si="6"/>
        <v>3505</v>
      </c>
      <c r="F30" s="188"/>
    </row>
    <row r="31" spans="1:6" x14ac:dyDescent="0.25">
      <c r="A31" t="s">
        <v>433</v>
      </c>
    </row>
    <row r="33" spans="1:6" x14ac:dyDescent="0.25">
      <c r="A33" s="154" t="s">
        <v>489</v>
      </c>
      <c r="B33" s="3" t="s">
        <v>485</v>
      </c>
      <c r="C33" s="3" t="s">
        <v>486</v>
      </c>
      <c r="D33" s="3" t="s">
        <v>487</v>
      </c>
      <c r="E33" s="3" t="s">
        <v>488</v>
      </c>
    </row>
    <row r="34" spans="1:6" x14ac:dyDescent="0.25">
      <c r="A34" s="3" t="s">
        <v>417</v>
      </c>
      <c r="B34" s="135">
        <v>19800</v>
      </c>
      <c r="C34" s="156">
        <f>B34*0.3/12</f>
        <v>495</v>
      </c>
      <c r="D34" s="135">
        <v>28250</v>
      </c>
      <c r="E34" s="159">
        <f t="shared" ref="E34:E38" si="7">D34*0.3/12</f>
        <v>706.25</v>
      </c>
    </row>
    <row r="35" spans="1:6" x14ac:dyDescent="0.25">
      <c r="A35" s="3" t="s">
        <v>418</v>
      </c>
      <c r="B35" s="135">
        <v>32950</v>
      </c>
      <c r="C35" s="155">
        <f>B35*0.3/12</f>
        <v>823.75</v>
      </c>
      <c r="D35" s="135">
        <v>47050</v>
      </c>
      <c r="E35" s="155">
        <f t="shared" si="7"/>
        <v>1176.25</v>
      </c>
      <c r="F35">
        <f>B35/B34</f>
        <v>1.6641414141414141</v>
      </c>
    </row>
    <row r="36" spans="1:6" x14ac:dyDescent="0.25">
      <c r="A36" s="3" t="s">
        <v>419</v>
      </c>
      <c r="B36" s="135">
        <f>2*B34</f>
        <v>39600</v>
      </c>
      <c r="C36" s="155">
        <f>B36*0.3/12</f>
        <v>990</v>
      </c>
      <c r="D36" s="135">
        <f>2*D34</f>
        <v>56500</v>
      </c>
      <c r="E36" s="155">
        <f t="shared" si="7"/>
        <v>1412.5</v>
      </c>
    </row>
    <row r="37" spans="1:6" x14ac:dyDescent="0.25">
      <c r="A37" s="3" t="s">
        <v>420</v>
      </c>
      <c r="B37" s="135"/>
      <c r="C37" s="155">
        <f>B37*0.3/12</f>
        <v>0</v>
      </c>
      <c r="D37" s="135">
        <v>75300</v>
      </c>
      <c r="E37" s="155">
        <f t="shared" si="7"/>
        <v>1882.5</v>
      </c>
    </row>
    <row r="38" spans="1:6" x14ac:dyDescent="0.25">
      <c r="A38" s="3" t="s">
        <v>421</v>
      </c>
      <c r="B38" s="135"/>
      <c r="C38" s="155">
        <f>B38*0.3/12</f>
        <v>0</v>
      </c>
      <c r="D38" s="135">
        <v>91200</v>
      </c>
      <c r="E38" s="155">
        <f t="shared" si="7"/>
        <v>2280</v>
      </c>
    </row>
    <row r="39" spans="1:6" x14ac:dyDescent="0.25">
      <c r="A39" t="s">
        <v>433</v>
      </c>
    </row>
  </sheetData>
  <mergeCells count="2">
    <mergeCell ref="C4:H4"/>
    <mergeCell ref="I4:N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438D1-A849-4A7B-A7B9-E759A53A4E7B}">
  <dimension ref="A1:O75"/>
  <sheetViews>
    <sheetView topLeftCell="A73" workbookViewId="0">
      <selection activeCell="A76" sqref="A76"/>
    </sheetView>
  </sheetViews>
  <sheetFormatPr defaultRowHeight="15" x14ac:dyDescent="0.25"/>
  <sheetData>
    <row r="1" spans="1:15" x14ac:dyDescent="0.25">
      <c r="A1" t="s">
        <v>490</v>
      </c>
    </row>
    <row r="2" spans="1:15" x14ac:dyDescent="0.25">
      <c r="B2" t="s">
        <v>464</v>
      </c>
      <c r="C2" t="s">
        <v>491</v>
      </c>
      <c r="D2" t="s">
        <v>492</v>
      </c>
      <c r="E2" t="s">
        <v>468</v>
      </c>
    </row>
    <row r="3" spans="1:15" x14ac:dyDescent="0.25">
      <c r="A3" t="s">
        <v>464</v>
      </c>
      <c r="B3">
        <v>25075</v>
      </c>
      <c r="C3">
        <v>7397</v>
      </c>
    </row>
    <row r="4" spans="1:15" x14ac:dyDescent="0.25">
      <c r="A4">
        <v>3000</v>
      </c>
      <c r="B4">
        <v>11892</v>
      </c>
    </row>
    <row r="5" spans="1:15" x14ac:dyDescent="0.25">
      <c r="A5" s="72">
        <v>3099</v>
      </c>
      <c r="B5">
        <v>12431</v>
      </c>
    </row>
    <row r="6" spans="1:15" x14ac:dyDescent="0.25">
      <c r="A6" s="2">
        <v>3100</v>
      </c>
      <c r="B6" s="2">
        <v>12698</v>
      </c>
    </row>
    <row r="7" spans="1:15" x14ac:dyDescent="0.25">
      <c r="A7">
        <v>2680</v>
      </c>
      <c r="C7">
        <v>3732</v>
      </c>
    </row>
    <row r="8" spans="1:15" x14ac:dyDescent="0.25">
      <c r="A8">
        <v>2672</v>
      </c>
      <c r="C8">
        <v>3689</v>
      </c>
    </row>
    <row r="13" spans="1:15" x14ac:dyDescent="0.25">
      <c r="A13" t="s">
        <v>493</v>
      </c>
    </row>
    <row r="14" spans="1:15" x14ac:dyDescent="0.25">
      <c r="A14" t="s">
        <v>494</v>
      </c>
      <c r="O14" t="s">
        <v>495</v>
      </c>
    </row>
    <row r="15" spans="1:15" x14ac:dyDescent="0.25">
      <c r="A15" t="s">
        <v>496</v>
      </c>
    </row>
    <row r="75" spans="1:1" x14ac:dyDescent="0.25">
      <c r="A75" t="s">
        <v>497</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e857edc0-520f-4533-8f0e-2471aabd30f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D407935E43F4149BD27F899D609E5A1" ma:contentTypeVersion="16" ma:contentTypeDescription="Create a new document." ma:contentTypeScope="" ma:versionID="0d98a4a85856e805976a4336218c1f78">
  <xsd:schema xmlns:xsd="http://www.w3.org/2001/XMLSchema" xmlns:xs="http://www.w3.org/2001/XMLSchema" xmlns:p="http://schemas.microsoft.com/office/2006/metadata/properties" xmlns:ns3="e857edc0-520f-4533-8f0e-2471aabd30f4" xmlns:ns4="f3cc449e-d972-460a-b378-179ab45bd9c2" targetNamespace="http://schemas.microsoft.com/office/2006/metadata/properties" ma:root="true" ma:fieldsID="8948dc48abf2f2e76ab2f8f3f3c371d4" ns3:_="" ns4:_="">
    <xsd:import namespace="e857edc0-520f-4533-8f0e-2471aabd30f4"/>
    <xsd:import namespace="f3cc449e-d972-460a-b378-179ab45bd9c2"/>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LengthInSeconds" minOccurs="0"/>
                <xsd:element ref="ns3:_activity" minOccurs="0"/>
                <xsd:element ref="ns3:MediaServiceObjectDetectorVersions" minOccurs="0"/>
                <xsd:element ref="ns3:MediaServiceSystemTags" minOccurs="0"/>
                <xsd:element ref="ns3:MediaServiceLocation"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857edc0-520f-4533-8f0e-2471aabd30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_activity" ma:index="19" nillable="true" ma:displayName="_activity" ma:hidden="true" ma:internalName="_activity">
      <xsd:simpleType>
        <xsd:restriction base="dms:Note"/>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3cc449e-d972-460a-b378-179ab45bd9c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08D04F-BB35-443C-A633-0978ADE0DF98}">
  <ds:schemaRefs>
    <ds:schemaRef ds:uri="http://schemas.microsoft.com/sharepoint/v3/contenttype/forms"/>
  </ds:schemaRefs>
</ds:datastoreItem>
</file>

<file path=customXml/itemProps2.xml><?xml version="1.0" encoding="utf-8"?>
<ds:datastoreItem xmlns:ds="http://schemas.openxmlformats.org/officeDocument/2006/customXml" ds:itemID="{6890EC67-F021-4E00-8211-ABAAA2F8DE09}">
  <ds:schemaRefs>
    <ds:schemaRef ds:uri="http://schemas.microsoft.com/office/2006/metadata/properties"/>
    <ds:schemaRef ds:uri="http://schemas.microsoft.com/office/infopath/2007/PartnerControls"/>
    <ds:schemaRef ds:uri="e857edc0-520f-4533-8f0e-2471aabd30f4"/>
  </ds:schemaRefs>
</ds:datastoreItem>
</file>

<file path=customXml/itemProps3.xml><?xml version="1.0" encoding="utf-8"?>
<ds:datastoreItem xmlns:ds="http://schemas.openxmlformats.org/officeDocument/2006/customXml" ds:itemID="{F16309CC-FBDB-4276-9FDC-B480BBD01A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857edc0-520f-4533-8f0e-2471aabd30f4"/>
    <ds:schemaRef ds:uri="f3cc449e-d972-460a-b378-179ab45bd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0b947e6b-ff26-4b13-ae1c-573c6750c888}" enabled="0" method="" siteId="{0b947e6b-ff26-4b13-ae1c-573c6750c888}"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Summary</vt:lpstr>
      <vt:lpstr>HUD Program Data</vt:lpstr>
      <vt:lpstr>HUD Tax Credit Properties DB</vt:lpstr>
      <vt:lpstr>HUD Tax Credit Tenants Data</vt:lpstr>
      <vt:lpstr>Stat from EoHLC data</vt:lpstr>
      <vt:lpstr>Zillow</vt:lpstr>
      <vt:lpstr>Zillow Massachusett</vt:lpstr>
      <vt:lpstr>Zillow Redo Levels</vt:lpstr>
      <vt:lpstr>Boston Area Median</vt:lpstr>
      <vt:lpstr>Springfield Area Median</vt:lpstr>
      <vt:lpstr>ZORI</vt:lpstr>
      <vt:lpstr>Census Download Info</vt:lpstr>
      <vt:lpstr>Census Download Data</vt:lpstr>
      <vt:lpstr>VLIL computations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Brownsberger, William (SEN)</dc:creator>
  <cp:keywords/>
  <dc:description/>
  <cp:lastModifiedBy>Brownsberger, William (SEN)</cp:lastModifiedBy>
  <cp:revision/>
  <dcterms:created xsi:type="dcterms:W3CDTF">2024-10-29T18:29:02Z</dcterms:created>
  <dcterms:modified xsi:type="dcterms:W3CDTF">2024-11-30T23:58:13Z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0x010100FD407935E43F4149BD27F899D609E5A1</vt:lpwstr>
  </property>
  <property fmtid="{D5CDD505-2E9C-101B-9397-08002B2CF9AE}" pid="3" name="WorkbookGuid">
    <vt:lpwstr>8dc11195-3b0a-4ab6-b01f-0710a92c7e68</vt:lpwstr>
  </property>
</Properties>
</file>