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A8A1948-FB11-4A69-AC00-919FC83C113E}" xr6:coauthVersionLast="47" xr6:coauthVersionMax="47" xr10:uidLastSave="{00000000-0000-0000-0000-000000000000}"/>
  <bookViews>
    <workbookView xWindow="30765" yWindow="825" windowWidth="44175" windowHeight="24795" xr2:uid="{E0C3F638-55E9-4C63-8F85-F1EFE754798B}"/>
  </bookViews>
  <sheets>
    <sheet name="Summary" sheetId="9" r:id="rId1"/>
    <sheet name="Capital Plan" sheetId="10" r:id="rId2"/>
    <sheet name="Cost Deflator" sheetId="12" r:id="rId3"/>
  </sheets>
  <externalReferences>
    <externalReference r:id="rId4"/>
  </externalReferences>
  <calcPr calcId="191029"/>
  <pivotCaches>
    <pivotCache cacheId="16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9" l="1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F17" i="9"/>
  <c r="G17" i="9"/>
  <c r="H17" i="9"/>
  <c r="I17" i="9"/>
  <c r="J17" i="9"/>
  <c r="K17" i="9"/>
  <c r="L17" i="9"/>
  <c r="M17" i="9"/>
  <c r="N17" i="9"/>
  <c r="O17" i="9"/>
  <c r="P17" i="9"/>
  <c r="U29" i="9" l="1"/>
  <c r="T29" i="9"/>
  <c r="S29" i="9"/>
  <c r="R29" i="9"/>
  <c r="Q29" i="9"/>
  <c r="BL7" i="12"/>
  <c r="BK7" i="12"/>
  <c r="BJ7" i="12"/>
  <c r="BI7" i="12"/>
  <c r="BH7" i="12"/>
  <c r="BG7" i="12"/>
  <c r="BF7" i="12"/>
  <c r="BE7" i="12"/>
  <c r="BD7" i="12"/>
  <c r="BC7" i="12"/>
  <c r="BB7" i="12"/>
  <c r="BA7" i="12"/>
  <c r="AZ7" i="12"/>
  <c r="AY7" i="12"/>
  <c r="AX7" i="12"/>
  <c r="AW7" i="12"/>
  <c r="AV7" i="12"/>
  <c r="AU7" i="12"/>
  <c r="AT7" i="12"/>
  <c r="AS7" i="12"/>
  <c r="AR7" i="12"/>
  <c r="AQ7" i="12"/>
  <c r="AP7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U3" i="9"/>
  <c r="U33" i="9" s="1"/>
  <c r="T3" i="9"/>
  <c r="T33" i="9" s="1"/>
  <c r="S3" i="9"/>
  <c r="S33" i="9" s="1"/>
  <c r="R3" i="9"/>
  <c r="R33" i="9" s="1"/>
  <c r="Q3" i="9"/>
  <c r="Q33" i="9" s="1"/>
  <c r="P3" i="9"/>
  <c r="P33" i="9" s="1"/>
  <c r="O3" i="9"/>
  <c r="O33" i="9" s="1"/>
  <c r="N3" i="9"/>
  <c r="N33" i="9" s="1"/>
  <c r="M3" i="9"/>
  <c r="M33" i="9" s="1"/>
  <c r="L3" i="9"/>
  <c r="L33" i="9" s="1"/>
  <c r="K3" i="9"/>
  <c r="K33" i="9" s="1"/>
  <c r="J3" i="9"/>
  <c r="J33" i="9" s="1"/>
  <c r="I3" i="9"/>
  <c r="I33" i="9" s="1"/>
  <c r="H3" i="9"/>
  <c r="H33" i="9" s="1"/>
  <c r="G3" i="9"/>
  <c r="G33" i="9" s="1"/>
  <c r="F3" i="9"/>
  <c r="F33" i="9" s="1"/>
  <c r="E3" i="9"/>
  <c r="D3" i="9"/>
  <c r="F10" i="10"/>
  <c r="I15" i="10" s="1"/>
  <c r="G5" i="10"/>
  <c r="G4" i="10"/>
  <c r="G2" i="10"/>
  <c r="C41" i="10"/>
  <c r="B44" i="10"/>
  <c r="C43" i="10"/>
  <c r="C42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J18" i="10"/>
  <c r="B18" i="10"/>
  <c r="B20" i="10" s="1"/>
  <c r="J16" i="10"/>
  <c r="K15" i="10"/>
  <c r="K14" i="10"/>
  <c r="G3" i="10"/>
  <c r="C23" i="10"/>
  <c r="K16" i="10" l="1"/>
  <c r="Q2" i="9"/>
  <c r="Q32" i="9" s="1"/>
  <c r="R2" i="9"/>
  <c r="R32" i="9" s="1"/>
  <c r="S2" i="9"/>
  <c r="S32" i="9" s="1"/>
  <c r="T2" i="9"/>
  <c r="T32" i="9" s="1"/>
  <c r="U2" i="9"/>
  <c r="U32" i="9" s="1"/>
  <c r="F11" i="10"/>
  <c r="T22" i="9"/>
  <c r="T5" i="9" s="1"/>
  <c r="T35" i="9" s="1"/>
  <c r="S22" i="9"/>
  <c r="S5" i="9" s="1"/>
  <c r="S35" i="9" s="1"/>
  <c r="R22" i="9"/>
  <c r="R5" i="9" s="1"/>
  <c r="R35" i="9" s="1"/>
  <c r="Q22" i="9"/>
  <c r="Q5" i="9" s="1"/>
  <c r="Q35" i="9" s="1"/>
  <c r="P22" i="9"/>
  <c r="P5" i="9" s="1"/>
  <c r="P35" i="9" s="1"/>
  <c r="O22" i="9"/>
  <c r="O5" i="9" s="1"/>
  <c r="O35" i="9" s="1"/>
  <c r="N22" i="9"/>
  <c r="N5" i="9" s="1"/>
  <c r="N35" i="9" s="1"/>
  <c r="M22" i="9"/>
  <c r="M5" i="9" s="1"/>
  <c r="M35" i="9" s="1"/>
  <c r="L22" i="9"/>
  <c r="L5" i="9" s="1"/>
  <c r="L35" i="9" s="1"/>
  <c r="K22" i="9"/>
  <c r="K5" i="9" s="1"/>
  <c r="K35" i="9" s="1"/>
  <c r="J22" i="9"/>
  <c r="J5" i="9" s="1"/>
  <c r="J35" i="9" s="1"/>
  <c r="I22" i="9"/>
  <c r="I5" i="9" s="1"/>
  <c r="I35" i="9" s="1"/>
  <c r="H22" i="9"/>
  <c r="H5" i="9" s="1"/>
  <c r="H35" i="9" s="1"/>
  <c r="G22" i="9"/>
  <c r="G5" i="9" s="1"/>
  <c r="G35" i="9" s="1"/>
  <c r="F22" i="9"/>
  <c r="F5" i="9" s="1"/>
  <c r="F35" i="9" s="1"/>
  <c r="U21" i="9"/>
  <c r="U22" i="9" s="1"/>
  <c r="U5" i="9" s="1"/>
  <c r="U35" i="9" s="1"/>
  <c r="T21" i="9"/>
  <c r="S21" i="9"/>
  <c r="R21" i="9"/>
  <c r="Q21" i="9"/>
  <c r="U16" i="9"/>
  <c r="T16" i="9"/>
  <c r="S16" i="9"/>
  <c r="S17" i="9" s="1"/>
  <c r="S4" i="9" s="1"/>
  <c r="S34" i="9" s="1"/>
  <c r="R16" i="9"/>
  <c r="R17" i="9" s="1"/>
  <c r="R4" i="9" s="1"/>
  <c r="R34" i="9" s="1"/>
  <c r="Q16" i="9"/>
  <c r="Q17" i="9" s="1"/>
  <c r="Q4" i="9" s="1"/>
  <c r="Q34" i="9" s="1"/>
  <c r="U17" i="9" l="1"/>
  <c r="U4" i="9" s="1"/>
  <c r="U34" i="9" s="1"/>
  <c r="U37" i="9" s="1"/>
  <c r="S37" i="9"/>
  <c r="T17" i="9"/>
  <c r="T4" i="9" s="1"/>
  <c r="T34" i="9" s="1"/>
  <c r="T37" i="9" s="1"/>
  <c r="R36" i="9"/>
  <c r="Q36" i="9"/>
  <c r="U36" i="9"/>
  <c r="Q37" i="9"/>
  <c r="S36" i="9"/>
  <c r="R37" i="9"/>
  <c r="L15" i="10"/>
  <c r="I18" i="10"/>
  <c r="L18" i="10" s="1"/>
  <c r="O4" i="9"/>
  <c r="O34" i="9" s="1"/>
  <c r="N4" i="9"/>
  <c r="N34" i="9" s="1"/>
  <c r="M4" i="9"/>
  <c r="M34" i="9" s="1"/>
  <c r="L4" i="9"/>
  <c r="L34" i="9" s="1"/>
  <c r="K4" i="9"/>
  <c r="K34" i="9" s="1"/>
  <c r="J4" i="9"/>
  <c r="J34" i="9" s="1"/>
  <c r="I4" i="9"/>
  <c r="I34" i="9" s="1"/>
  <c r="H4" i="9"/>
  <c r="H34" i="9" s="1"/>
  <c r="G4" i="9"/>
  <c r="G34" i="9" s="1"/>
  <c r="F4" i="9"/>
  <c r="F34" i="9" s="1"/>
  <c r="P4" i="9"/>
  <c r="P34" i="9" s="1"/>
  <c r="T36" i="9" l="1"/>
  <c r="P32" i="9"/>
  <c r="O32" i="9"/>
  <c r="N32" i="9"/>
  <c r="M32" i="9"/>
  <c r="K32" i="9"/>
  <c r="J32" i="9"/>
  <c r="I32" i="9"/>
  <c r="H32" i="9"/>
  <c r="G32" i="9"/>
  <c r="F32" i="9"/>
  <c r="F36" i="9" s="1"/>
  <c r="F37" i="9" l="1"/>
  <c r="G36" i="9"/>
  <c r="G37" i="9"/>
  <c r="H37" i="9"/>
  <c r="H36" i="9"/>
  <c r="I37" i="9"/>
  <c r="I36" i="9"/>
  <c r="J37" i="9"/>
  <c r="J36" i="9"/>
  <c r="K37" i="9"/>
  <c r="K36" i="9"/>
  <c r="L32" i="9"/>
  <c r="V32" i="9" s="1"/>
  <c r="I14" i="10"/>
  <c r="M37" i="9"/>
  <c r="M36" i="9"/>
  <c r="N37" i="9"/>
  <c r="N36" i="9"/>
  <c r="O37" i="9"/>
  <c r="O36" i="9"/>
  <c r="P37" i="9"/>
  <c r="P36" i="9"/>
  <c r="L14" i="10" l="1"/>
  <c r="I16" i="10"/>
  <c r="L37" i="9"/>
  <c r="V37" i="9" s="1"/>
  <c r="L36" i="9"/>
  <c r="V36" i="9" s="1"/>
  <c r="L19" i="10" l="1"/>
  <c r="L16" i="10"/>
</calcChain>
</file>

<file path=xl/sharedStrings.xml><?xml version="1.0" encoding="utf-8"?>
<sst xmlns="http://schemas.openxmlformats.org/spreadsheetml/2006/main" count="229" uniqueCount="119">
  <si>
    <t>Row Labels</t>
  </si>
  <si>
    <t>Grand Total</t>
  </si>
  <si>
    <t>Municipal</t>
  </si>
  <si>
    <t>Disability</t>
  </si>
  <si>
    <t>Public</t>
  </si>
  <si>
    <t>Subsidized</t>
  </si>
  <si>
    <t>Disability Subsidy</t>
  </si>
  <si>
    <t>(2) State Tax Credit Equity</t>
  </si>
  <si>
    <t>4% Credit CY Face Value</t>
  </si>
  <si>
    <t>4% credit FY Equity</t>
  </si>
  <si>
    <t>Fiscal year</t>
  </si>
  <si>
    <t>https://willbrownsberger.com/state-low-income-housing-credit/</t>
  </si>
  <si>
    <t xml:space="preserve">(2) State tax credit equity from attachment to </t>
  </si>
  <si>
    <t>9% Credit CY Face Value</t>
  </si>
  <si>
    <t>(3) Federal 4% Credit Equity</t>
  </si>
  <si>
    <t>(4) Federal 9% Credit Equity</t>
  </si>
  <si>
    <t>(4) From forms 8610, see https://willbrownsberger.com/federal-low-income-housing-tax-credit/#projection after 2023</t>
  </si>
  <si>
    <t>C-CPI-U Inflation Assumption annual, 25-29</t>
  </si>
  <si>
    <t>FY25-29</t>
  </si>
  <si>
    <t>Class</t>
  </si>
  <si>
    <t>Sum of FY25-29</t>
  </si>
  <si>
    <t>Allocated Works by 2025 Share</t>
  </si>
  <si>
    <t>H002 Affordable Housing Trust Fund</t>
  </si>
  <si>
    <t>H004 Community-Based Housing</t>
  </si>
  <si>
    <t>Subsidized (Disability)</t>
  </si>
  <si>
    <t>H006 Facilities Consolidation Fund</t>
  </si>
  <si>
    <t>H008 Housing Innovations Fund</t>
  </si>
  <si>
    <t>H010 Massachusetts Rehabilitation Commission Home Modification Loan Program</t>
  </si>
  <si>
    <t>Works</t>
  </si>
  <si>
    <t>H011 Public Housing - Affordable Housing Trust Fund</t>
  </si>
  <si>
    <t>H012 Public Housing - General</t>
  </si>
  <si>
    <t xml:space="preserve">
H021 Affordability Preservation</t>
  </si>
  <si>
    <t>H024 Mixed-Income Housing Demonstration</t>
  </si>
  <si>
    <t xml:space="preserve">All Subsidized </t>
  </si>
  <si>
    <t>H026 Public Housing -- sustainable and resiliency</t>
  </si>
  <si>
    <t>General Subsidized</t>
  </si>
  <si>
    <t>H029 Public Housing - New Accessible Units earmark within 7004-0074</t>
  </si>
  <si>
    <t>H030 Neighborhood Stabilization</t>
  </si>
  <si>
    <t>H031 Gateway Cities Housing Rehab (nbhd stab component)</t>
  </si>
  <si>
    <t>Bond Funded Subsidy</t>
  </si>
  <si>
    <t>State LIHTC</t>
  </si>
  <si>
    <t>Federal LIHTC</t>
  </si>
  <si>
    <t>Total Subsidy Resources</t>
  </si>
  <si>
    <t>H034 Housing Works</t>
  </si>
  <si>
    <t>FY20-24</t>
  </si>
  <si>
    <t>H037 MBTA Catalyst</t>
  </si>
  <si>
    <t>H038 Momentum fund</t>
  </si>
  <si>
    <t>FY25 Only (est.)</t>
  </si>
  <si>
    <t xml:space="preserve">Notes:  </t>
  </si>
  <si>
    <t>FY2025 Amount</t>
  </si>
  <si>
    <t>Plan/5 less FY2025 -- close to equal for subsidized</t>
  </si>
  <si>
    <t>H002Affordable Housing Trust Fund</t>
  </si>
  <si>
    <t>H004Community-Based Housing</t>
  </si>
  <si>
    <t>H006Facilities Consolidation Fund</t>
  </si>
  <si>
    <t>H008Housing Innovations Fund</t>
  </si>
  <si>
    <t>H010Massachusetts Rehabilitation Commission Home Modification Loan Program</t>
  </si>
  <si>
    <t>H011Public Housing - Affordable Housing Trust Fund</t>
  </si>
  <si>
    <t>H012Public Housing - General</t>
  </si>
  <si>
    <t>H021Affordability Preservation</t>
  </si>
  <si>
    <t>H024Mixed-Income Housing Demonstration</t>
  </si>
  <si>
    <t>H026Public Housing - Sustainability and Resiliency</t>
  </si>
  <si>
    <t>H029Public Housing - New Accessible Units</t>
  </si>
  <si>
    <t>H030Neighborhood Stabilization</t>
  </si>
  <si>
    <t>H031Gateway Cities Housing Rehabilitation</t>
  </si>
  <si>
    <t>H034HousingWorks</t>
  </si>
  <si>
    <t>H037MBTA Catalyst</t>
  </si>
  <si>
    <t>H038Momentum Fund</t>
  </si>
  <si>
    <t>https://budget.digital.mass.gov/capital/fy25/capital-agency/housing-and-livable-communities/</t>
  </si>
  <si>
    <t xml:space="preserve">Testing that FY2025 = 1/5 of FY25-29 -- true for most relevant line items;  FY2025 high for </t>
  </si>
  <si>
    <t>Likely FY2025 high due to MBTA zoning</t>
  </si>
  <si>
    <t>Likely FY2025 high due send to Mass Housing?</t>
  </si>
  <si>
    <t>Irrelevant to subsidized housing total</t>
  </si>
  <si>
    <t>Poss relevant to subsidized housing total, but alltogether small enough to ignore</t>
  </si>
  <si>
    <t>(1) Actual Bond funded total subsidy then Capital Plan/5</t>
  </si>
  <si>
    <t>Capital plan from spread sheet linked at https://willbrownsberger.com/capital-plans-for-housing/ (reclassified highlighted items</t>
  </si>
  <si>
    <t>Allocation of Works by %</t>
  </si>
  <si>
    <t>BLOCK FY COMPARISONS</t>
  </si>
  <si>
    <t>Table 1.1.9. Implicit Price Deflators for Gross Domestic Product</t>
  </si>
  <si>
    <t>[Index numbers, 2017=100] Seasonally adjusted</t>
  </si>
  <si>
    <t>Bureau of Economic Analysis</t>
  </si>
  <si>
    <t>Last Revised on: September 26, 2024 - Next Release Date October 30, 2024</t>
  </si>
  <si>
    <t>Line</t>
  </si>
  <si>
    <t/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</si>
  <si>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</si>
  <si>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</si>
  <si>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</si>
  <si>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</si>
  <si>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</si>
  <si>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</si>
  <si>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</si>
  <si>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</si>
  <si>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</si>
  <si>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</si>
  <si>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</si>
  <si>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</si>
  <si>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</si>
  <si>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</si>
  <si>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</si>
  <si>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</si>
  <si>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Q1</t>
  </si>
  <si>
    <t>Q2</t>
  </si>
  <si>
    <t>Q3</t>
  </si>
  <si>
    <t>Q4</t>
  </si>
  <si>
    <t>13</t>
  </si>
  <si>
    <t xml:space="preserve">        Residential</t>
  </si>
  <si>
    <t>Extracted and reorganized from https://apps.bea.gov/iTable/?reqid=19&amp;step=3&amp;isuri=1&amp;1921=survey&amp;1903=13#eyJhcHBpZCI6MTksInN0ZXBzIjpbMSwyLDMsM10sImRhdGEiOltbIk5JUEFfVGFibGVfTGlzdCIsIjEzIl0sWyJDYXRlZ29yaWVzIiwiU3VydmV5Il0sWyJGaXJzdF9ZZWFyIiwiMjAwOSJdLFsiTGFzdF9ZZWFyIiwiMjAyNCJdLFsiU2NhbGUiLCIwIl0sWyJTZXJpZXMiLCJRIl1dfQ==</t>
  </si>
  <si>
    <t>FY year Average</t>
  </si>
  <si>
    <t>Most recent inflation rate, https://www.bls.gov/news.release/pdf/cpi.pdf</t>
  </si>
  <si>
    <t>(5) From BEA -- cost deflator</t>
  </si>
  <si>
    <t>Inflation rate for inflator, base assumptioni is same as C-CPU-U</t>
  </si>
  <si>
    <t>Data for chart</t>
  </si>
  <si>
    <t>Bond funded subsidy</t>
  </si>
  <si>
    <t>State tax credit</t>
  </si>
  <si>
    <t>Total in 2024 $</t>
  </si>
  <si>
    <t>Nominal Total</t>
  </si>
  <si>
    <t>Block % ratio FY25-29 vs FY2024</t>
  </si>
  <si>
    <t>Federal 4% Credit</t>
  </si>
  <si>
    <t>Federal 9% Credit</t>
  </si>
  <si>
    <t>(1) from previous post https://willbrownsberger.com/capital-plans-for-housing/#spending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</si>
</sst>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  <numFmt numFmtId="166" formatCode="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6"/>
      <color rgb="FF00610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9"/>
      <name val="Calibri"/>
      <family val="2"/>
    </font>
    <font>
      <b/>
      <sz val="14"/>
      <name val="Calibri"/>
      <family val="2"/>
    </font>
    <font>
      <sz val="13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darkGray">
        <bgColor indexed="1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</cellStyleXfs>
  <cellXfs count="42">
    <xf numFmtId="0" fontId="0" fillId="0" borderId="0" xfId="0"/>
    <xf numFmtId="0" fontId="0" fillId="0" borderId="0" xfId="0" pivotButton="1"/>
    <xf numFmtId="0" fontId="16" fillId="33" borderId="10" xfId="0" applyFont="1" applyFill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43" fontId="0" fillId="0" borderId="0" xfId="0" applyNumberFormat="1"/>
    <xf numFmtId="0" fontId="0" fillId="0" borderId="11" xfId="0" applyBorder="1"/>
    <xf numFmtId="0" fontId="16" fillId="0" borderId="0" xfId="0" applyFont="1"/>
    <xf numFmtId="0" fontId="16" fillId="0" borderId="0" xfId="0" applyFont="1" applyAlignment="1">
      <alignment horizontal="left"/>
    </xf>
    <xf numFmtId="0" fontId="16" fillId="34" borderId="0" xfId="0" applyFont="1" applyFill="1"/>
    <xf numFmtId="164" fontId="0" fillId="35" borderId="0" xfId="1" applyNumberFormat="1" applyFont="1" applyFill="1"/>
    <xf numFmtId="10" fontId="0" fillId="0" borderId="0" xfId="0" applyNumberFormat="1"/>
    <xf numFmtId="164" fontId="0" fillId="0" borderId="0" xfId="1" applyNumberFormat="1" applyFont="1" applyFill="1"/>
    <xf numFmtId="0" fontId="0" fillId="0" borderId="12" xfId="0" applyBorder="1"/>
    <xf numFmtId="164" fontId="0" fillId="0" borderId="12" xfId="0" applyNumberFormat="1" applyBorder="1"/>
    <xf numFmtId="0" fontId="0" fillId="0" borderId="12" xfId="0" applyBorder="1" applyAlignment="1">
      <alignment wrapText="1"/>
    </xf>
    <xf numFmtId="9" fontId="0" fillId="0" borderId="0" xfId="43" applyFont="1"/>
    <xf numFmtId="165" fontId="0" fillId="0" borderId="0" xfId="0" applyNumberFormat="1"/>
    <xf numFmtId="10" fontId="0" fillId="0" borderId="0" xfId="43" applyNumberFormat="1" applyFont="1"/>
    <xf numFmtId="0" fontId="6" fillId="2" borderId="0" xfId="7"/>
    <xf numFmtId="0" fontId="18" fillId="0" borderId="0" xfId="44"/>
    <xf numFmtId="0" fontId="18" fillId="0" borderId="0" xfId="44" applyFill="1"/>
    <xf numFmtId="164" fontId="8" fillId="4" borderId="0" xfId="9" applyNumberFormat="1"/>
    <xf numFmtId="164" fontId="7" fillId="3" borderId="0" xfId="8" applyNumberFormat="1"/>
    <xf numFmtId="3" fontId="8" fillId="4" borderId="0" xfId="9" applyNumberFormat="1"/>
    <xf numFmtId="3" fontId="7" fillId="3" borderId="0" xfId="8" applyNumberFormat="1"/>
    <xf numFmtId="0" fontId="7" fillId="3" borderId="0" xfId="8"/>
    <xf numFmtId="0" fontId="19" fillId="2" borderId="0" xfId="7" applyFont="1"/>
    <xf numFmtId="164" fontId="19" fillId="2" borderId="0" xfId="7" applyNumberFormat="1" applyFont="1"/>
    <xf numFmtId="0" fontId="20" fillId="0" borderId="0" xfId="45"/>
    <xf numFmtId="0" fontId="21" fillId="36" borderId="13" xfId="45" applyFont="1" applyFill="1" applyBorder="1" applyAlignment="1">
      <alignment horizontal="center" vertical="center"/>
    </xf>
    <xf numFmtId="43" fontId="0" fillId="0" borderId="0" xfId="1" applyFont="1" applyFill="1"/>
    <xf numFmtId="166" fontId="21" fillId="36" borderId="13" xfId="45" applyNumberFormat="1" applyFont="1" applyFill="1" applyBorder="1" applyAlignment="1">
      <alignment horizontal="center" vertical="center"/>
    </xf>
    <xf numFmtId="166" fontId="0" fillId="0" borderId="11" xfId="0" applyNumberFormat="1" applyBorder="1"/>
    <xf numFmtId="1" fontId="16" fillId="34" borderId="0" xfId="0" applyNumberFormat="1" applyFont="1" applyFill="1"/>
    <xf numFmtId="1" fontId="21" fillId="36" borderId="13" xfId="45" applyNumberFormat="1" applyFont="1" applyFill="1" applyBorder="1" applyAlignment="1">
      <alignment horizontal="center" vertical="center"/>
    </xf>
    <xf numFmtId="0" fontId="22" fillId="0" borderId="0" xfId="45" applyFont="1"/>
    <xf numFmtId="0" fontId="20" fillId="0" borderId="0" xfId="45"/>
    <xf numFmtId="0" fontId="23" fillId="0" borderId="0" xfId="45" applyFont="1"/>
    <xf numFmtId="0" fontId="21" fillId="36" borderId="13" xfId="45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641ACABE-06FE-43B5-BE2C-7E8D5F76F3FA}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subsidy</a:t>
            </a:r>
            <a:r>
              <a:rPr lang="en-US" baseline="0"/>
              <a:t> dollars available for affordable housing -- Actual FY14 -23; Projected FY24-29</a:t>
            </a:r>
            <a:br>
              <a:rPr lang="en-US" baseline="0"/>
            </a:br>
            <a:r>
              <a:rPr lang="en-US" baseline="0"/>
              <a:t>Stacked bars are nominal dollars, line graph is inflation-adjusted to FY2024 $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Summary!$E$32</c:f>
              <c:strCache>
                <c:ptCount val="1"/>
                <c:pt idx="0">
                  <c:v>Bond funded subsidy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Summary!$F$31:$U$31</c:f>
              <c:strCache>
                <c:ptCount val="1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</c:strCache>
            </c:strRef>
          </c:cat>
          <c:val>
            <c:numRef>
              <c:f>Summary!$F$32:$U$32</c:f>
              <c:numCache>
                <c:formatCode>0.0</c:formatCode>
                <c:ptCount val="16"/>
                <c:pt idx="0">
                  <c:v>91.284595070000009</c:v>
                </c:pt>
                <c:pt idx="1">
                  <c:v>96.973945619999995</c:v>
                </c:pt>
                <c:pt idx="2">
                  <c:v>91.847928190000005</c:v>
                </c:pt>
                <c:pt idx="3">
                  <c:v>108.30313238999999</c:v>
                </c:pt>
                <c:pt idx="4">
                  <c:v>140.07968822999999</c:v>
                </c:pt>
                <c:pt idx="5">
                  <c:v>136.42114137000002</c:v>
                </c:pt>
                <c:pt idx="6">
                  <c:v>121.33913842000001</c:v>
                </c:pt>
                <c:pt idx="7">
                  <c:v>149.64608030999997</c:v>
                </c:pt>
                <c:pt idx="8">
                  <c:v>138.96697603000004</c:v>
                </c:pt>
                <c:pt idx="9">
                  <c:v>139.82974578</c:v>
                </c:pt>
                <c:pt idx="10">
                  <c:v>169.13214139999999</c:v>
                </c:pt>
                <c:pt idx="11">
                  <c:v>182.35081116400647</c:v>
                </c:pt>
                <c:pt idx="12">
                  <c:v>182.35081116400647</c:v>
                </c:pt>
                <c:pt idx="13">
                  <c:v>182.35081116400647</c:v>
                </c:pt>
                <c:pt idx="14">
                  <c:v>182.35081116400647</c:v>
                </c:pt>
                <c:pt idx="15">
                  <c:v>182.35081116400647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1-4B4B-9939-00F91199C7D3}"/>
            </c:ext>
          </c:extLst>
        </c:ser>
        <c:ser>
          <c:idx val="1"/>
          <c:order val="1"/>
          <c:tx>
            <c:strRef>
              <c:f>Summary!$E$33</c:f>
              <c:strCache>
                <c:ptCount val="1"/>
                <c:pt idx="0">
                  <c:v>State tax credit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Summary!$F$31:$U$31</c:f>
              <c:strCache>
                <c:ptCount val="1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</c:strCache>
            </c:strRef>
          </c:cat>
          <c:val>
            <c:numRef>
              <c:f>Summary!$F$33:$U$33</c:f>
              <c:numCache>
                <c:formatCode>0.0</c:formatCode>
                <c:ptCount val="1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120</c:v>
                </c:pt>
                <c:pt idx="8">
                  <c:v>160</c:v>
                </c:pt>
                <c:pt idx="9">
                  <c:v>200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1-4B4B-9939-00F91199C7D3}"/>
            </c:ext>
          </c:extLst>
        </c:ser>
        <c:ser>
          <c:idx val="2"/>
          <c:order val="2"/>
          <c:tx>
            <c:strRef>
              <c:f>Summary!$E$34</c:f>
              <c:strCache>
                <c:ptCount val="1"/>
                <c:pt idx="0">
                  <c:v>Federal 4% Credit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Summary!$F$31:$U$31</c:f>
              <c:strCache>
                <c:ptCount val="1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</c:strCache>
            </c:strRef>
          </c:cat>
          <c:val>
            <c:numRef>
              <c:f>Summary!$F$34:$U$34</c:f>
              <c:numCache>
                <c:formatCode>0.0</c:formatCode>
                <c:ptCount val="16"/>
                <c:pt idx="0">
                  <c:v>148.35829000000001</c:v>
                </c:pt>
                <c:pt idx="1">
                  <c:v>90.876769999999993</c:v>
                </c:pt>
                <c:pt idx="2">
                  <c:v>127.06949</c:v>
                </c:pt>
                <c:pt idx="3">
                  <c:v>191.80032</c:v>
                </c:pt>
                <c:pt idx="4">
                  <c:v>185.711895</c:v>
                </c:pt>
                <c:pt idx="5">
                  <c:v>236.08184</c:v>
                </c:pt>
                <c:pt idx="6">
                  <c:v>298.88661500000001</c:v>
                </c:pt>
                <c:pt idx="7">
                  <c:v>291.56133</c:v>
                </c:pt>
                <c:pt idx="8">
                  <c:v>229.61525499999999</c:v>
                </c:pt>
                <c:pt idx="9">
                  <c:v>266.74013500000001</c:v>
                </c:pt>
                <c:pt idx="10">
                  <c:v>343.17711500000001</c:v>
                </c:pt>
                <c:pt idx="11">
                  <c:v>344.08</c:v>
                </c:pt>
                <c:pt idx="12">
                  <c:v>352.33792</c:v>
                </c:pt>
                <c:pt idx="13">
                  <c:v>360.79403008000003</c:v>
                </c:pt>
                <c:pt idx="14">
                  <c:v>369.45308680191999</c:v>
                </c:pt>
                <c:pt idx="15">
                  <c:v>378.31996088516604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1-4B4B-9939-00F91199C7D3}"/>
            </c:ext>
          </c:extLst>
        </c:ser>
        <c:ser>
          <c:idx val="3"/>
          <c:order val="3"/>
          <c:tx>
            <c:strRef>
              <c:f>Summary!$E$35</c:f>
              <c:strCache>
                <c:ptCount val="1"/>
                <c:pt idx="0">
                  <c:v>Federal 9% Credit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Summary!$F$31:$U$31</c:f>
              <c:strCache>
                <c:ptCount val="1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</c:strCache>
            </c:strRef>
          </c:cat>
          <c:val>
            <c:numRef>
              <c:f>Summary!$F$35:$U$35</c:f>
              <c:numCache>
                <c:formatCode>0.0</c:formatCode>
                <c:ptCount val="16"/>
                <c:pt idx="0">
                  <c:v>152.77556000000001</c:v>
                </c:pt>
                <c:pt idx="1">
                  <c:v>155.27429000000001</c:v>
                </c:pt>
                <c:pt idx="2">
                  <c:v>158.52269000000001</c:v>
                </c:pt>
                <c:pt idx="3">
                  <c:v>164.01243500000001</c:v>
                </c:pt>
                <c:pt idx="4">
                  <c:v>177.54789</c:v>
                </c:pt>
                <c:pt idx="5">
                  <c:v>204.31659500000001</c:v>
                </c:pt>
                <c:pt idx="6">
                  <c:v>209.55245500000001</c:v>
                </c:pt>
                <c:pt idx="7">
                  <c:v>197.95375000000001</c:v>
                </c:pt>
                <c:pt idx="8">
                  <c:v>190.24533500000001</c:v>
                </c:pt>
                <c:pt idx="9">
                  <c:v>193.22456500000001</c:v>
                </c:pt>
                <c:pt idx="10">
                  <c:v>205.87130999999999</c:v>
                </c:pt>
                <c:pt idx="11">
                  <c:v>211.14906384</c:v>
                </c:pt>
                <c:pt idx="12">
                  <c:v>216.21664137216001</c:v>
                </c:pt>
                <c:pt idx="13">
                  <c:v>221.40584076509182</c:v>
                </c:pt>
                <c:pt idx="14">
                  <c:v>226.71958094345405</c:v>
                </c:pt>
                <c:pt idx="15">
                  <c:v>232.16085088609697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51-4B4B-9939-00F91199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834448"/>
        <c:axId val="880834928"/>
      </c:barChart>
      <c:lineChart>
        <c:grouping val="standard"/>
        <c:varyColors val="0"/>
        <c:ser>
          <c:idx val="4"/>
          <c:order val="4"/>
          <c:tx>
            <c:strRef>
              <c:f>Summary!$E$37</c:f>
              <c:strCache>
                <c:ptCount val="1"/>
                <c:pt idx="0">
                  <c:v>Total in 2024 $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Summary!$F$37:$U$37</c:f>
              <c:numCache>
                <c:formatCode>0.0</c:formatCode>
                <c:ptCount val="16"/>
                <c:pt idx="0">
                  <c:v>794.33191070874909</c:v>
                </c:pt>
                <c:pt idx="1">
                  <c:v>683.29520802037939</c:v>
                </c:pt>
                <c:pt idx="2">
                  <c:v>719.46197977092515</c:v>
                </c:pt>
                <c:pt idx="3">
                  <c:v>818.97945401430604</c:v>
                </c:pt>
                <c:pt idx="4">
                  <c:v>836.7793504570808</c:v>
                </c:pt>
                <c:pt idx="5">
                  <c:v>902.4058918396986</c:v>
                </c:pt>
                <c:pt idx="6">
                  <c:v>952.97133060045599</c:v>
                </c:pt>
                <c:pt idx="7">
                  <c:v>955.70567289293126</c:v>
                </c:pt>
                <c:pt idx="8">
                  <c:v>792.1183611442566</c:v>
                </c:pt>
                <c:pt idx="9">
                  <c:v>813.95102786474524</c:v>
                </c:pt>
                <c:pt idx="10">
                  <c:v>958.18056640000009</c:v>
                </c:pt>
                <c:pt idx="11">
                  <c:v>954.66784668360003</c:v>
                </c:pt>
                <c:pt idx="12">
                  <c:v>945.00100377670913</c:v>
                </c:pt>
                <c:pt idx="13">
                  <c:v>935.56072750044837</c:v>
                </c:pt>
                <c:pt idx="14">
                  <c:v>926.34170769941227</c:v>
                </c:pt>
                <c:pt idx="15">
                  <c:v>917.33875867496317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51-4B4B-9939-00F91199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834448"/>
        <c:axId val="880834928"/>
      </c:lineChart>
      <c:catAx>
        <c:axId val="88083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834928"/>
        <c:crosses val="autoZero"/>
        <c:auto val="1"/>
        <c:lblAlgn val="ctr"/>
        <c:lblOffset val="100"/>
        <c:noMultiLvlLbl val="0"/>
      </c:catAx>
      <c:valAx>
        <c:axId val="88083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83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Increase </a:t>
            </a:r>
            <a:r>
              <a:rPr lang="en-US" baseline="0"/>
              <a:t>of available housing subsidy funding sources: FY25-29 vs. FY20-24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'[1]Extracts for subsidy chart'!$F$14</c:f>
              <c:strCache>
                <c:ptCount val="1"/>
                <c:pt idx="0">
                  <c:v>Bond Funded Subsidy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'[1]Extracts for subsidy chart'!$E$15:$E$16</c:f>
              <c:strCache>
                <c:ptCount val="2"/>
                <c:pt idx="0">
                  <c:v>FY20-24</c:v>
                </c:pt>
                <c:pt idx="1">
                  <c:v>FY25-29</c:v>
                </c:pt>
              </c:strCache>
            </c:strRef>
          </c:cat>
          <c:val>
            <c:numRef>
              <c:f>'[1]Extracts for subsidy chart'!$F$15:$F$16</c:f>
              <c:numCache>
                <c:formatCode>General</c:formatCode>
                <c:ptCount val="2"/>
                <c:pt idx="0">
                  <c:v>724755518.23000002</c:v>
                </c:pt>
                <c:pt idx="1">
                  <c:v>924254055.82003236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9B1-AF12-E6511B2657C5}"/>
            </c:ext>
          </c:extLst>
        </c:ser>
        <c:ser>
          <c:idx val="1"/>
          <c:order val="1"/>
          <c:tx>
            <c:strRef>
              <c:f>'[1]Extracts for subsidy chart'!$G$14</c:f>
              <c:strCache>
                <c:ptCount val="1"/>
                <c:pt idx="0">
                  <c:v>State LIHTC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'[1]Extracts for subsidy chart'!$E$15:$E$16</c:f>
              <c:strCache>
                <c:ptCount val="2"/>
                <c:pt idx="0">
                  <c:v>FY20-24</c:v>
                </c:pt>
                <c:pt idx="1">
                  <c:v>FY25-29</c:v>
                </c:pt>
              </c:strCache>
            </c:strRef>
          </c:cat>
          <c:val>
            <c:numRef>
              <c:f>'[1]Extracts for subsidy chart'!$G$15:$G$16</c:f>
              <c:numCache>
                <c:formatCode>General</c:formatCode>
                <c:ptCount val="2"/>
                <c:pt idx="0">
                  <c:v>800000000</c:v>
                </c:pt>
                <c:pt idx="1">
                  <c:v>1200000000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9B1-AF12-E6511B2657C5}"/>
            </c:ext>
          </c:extLst>
        </c:ser>
        <c:ser>
          <c:idx val="2"/>
          <c:order val="2"/>
          <c:tx>
            <c:strRef>
              <c:f>'[1]Extracts for subsidy chart'!$H$14</c:f>
              <c:strCache>
                <c:ptCount val="1"/>
                <c:pt idx="0">
                  <c:v>Federal LIHTC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'[1]Extracts for subsidy chart'!$E$15:$E$16</c:f>
              <c:strCache>
                <c:ptCount val="2"/>
                <c:pt idx="0">
                  <c:v>FY20-24</c:v>
                </c:pt>
                <c:pt idx="1">
                  <c:v>FY25-29</c:v>
                </c:pt>
              </c:strCache>
            </c:strRef>
          </c:cat>
          <c:val>
            <c:numRef>
              <c:f>'[1]Extracts for subsidy chart'!$H$15:$H$16</c:f>
              <c:numCache>
                <c:formatCode>General</c:formatCode>
                <c:ptCount val="2"/>
                <c:pt idx="0">
                  <c:v>2425000000</c:v>
                </c:pt>
                <c:pt idx="1">
                  <c:v>2915000000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9B1-AF12-E6511B26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9190752"/>
        <c:axId val="899188832"/>
      </c:barChart>
      <c:catAx>
        <c:axId val="89919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188832"/>
        <c:crosses val="autoZero"/>
        <c:auto val="1"/>
        <c:lblAlgn val="ctr"/>
        <c:lblOffset val="100"/>
        <c:noMultiLvlLbl val="0"/>
      </c:catAx>
      <c:valAx>
        <c:axId val="89918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190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Increase FY25-29 over FY20-24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Increase FY25-29 over FY20-24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0B-446C-A45B-8A4750D9B7A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0B-446C-A45B-8A4750D9B7A6}"/>
              </c:ext>
            </c:extLst>
          </c:dPt>
          <c:cat>
            <c:strRef>
              <c:f>'[1]Extracts for subsidy chart'!$F$14:$I$14</c:f>
              <c:strCache>
                <c:ptCount val="4"/>
                <c:pt idx="0">
                  <c:v>Bond Funded Subsidy</c:v>
                </c:pt>
                <c:pt idx="1">
                  <c:v>State LIHTC</c:v>
                </c:pt>
                <c:pt idx="2">
                  <c:v>Federal LIHTC</c:v>
                </c:pt>
                <c:pt idx="3">
                  <c:v>Total Subsidy Resources</c:v>
                </c:pt>
              </c:strCache>
            </c:strRef>
          </c:cat>
          <c:val>
            <c:numRef>
              <c:f>'[1]Extracts for subsidy chart'!$F$17:$I$17</c:f>
              <c:numCache>
                <c:formatCode>General</c:formatCode>
                <c:ptCount val="4"/>
                <c:pt idx="0">
                  <c:v>0.27526321990241387</c:v>
                </c:pt>
                <c:pt idx="1">
                  <c:v>0.5</c:v>
                </c:pt>
                <c:pt idx="2">
                  <c:v>0.20206185567010304</c:v>
                </c:pt>
                <c:pt idx="3">
                  <c:v>0.27583948742181086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B-446C-A45B-8A4750D9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6333104"/>
        <c:axId val="1056326384"/>
      </c:barChart>
      <c:catAx>
        <c:axId val="1056333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26384"/>
        <c:crosses val="autoZero"/>
        <c:auto val="1"/>
        <c:lblAlgn val="ctr"/>
        <c:lblOffset val="100"/>
        <c:noMultiLvlLbl val="0"/>
      </c:catAx>
      <c:valAx>
        <c:axId val="105632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333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6</xdr:row>
      <xdr:rowOff>9525</xdr:rowOff>
    </xdr:from>
    <xdr:to>
      <xdr:col>12</xdr:col>
      <xdr:colOff>933450</xdr:colOff>
      <xdr:row>34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758DB5-A76A-3E8B-522C-599AA6DA3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1609725</xdr:colOff>
      <xdr:row>23</xdr:row>
      <xdr:rowOff>171450</xdr:rowOff>
    </xdr:from>
    <xdr:to>
      <xdr:col>16</xdr:col>
      <xdr:colOff>276226</xdr:colOff>
      <xdr:row>51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7CBE3-E340-4DC7-9330-A273E31C6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1628775</xdr:colOff>
      <xdr:row>52</xdr:row>
      <xdr:rowOff>157161</xdr:rowOff>
    </xdr:from>
    <xdr:to>
      <xdr:col>15</xdr:col>
      <xdr:colOff>552450</xdr:colOff>
      <xdr:row>79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1313F1-D92C-420A-A42A-7C997A66F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llBrownsberger\Downloads\Total-Subsidy-Chart%20(2).xlsx" TargetMode="External"/><Relationship Id="rId1" Type="http://schemas.openxmlformats.org/officeDocument/2006/relationships/externalLinkPath" Target="file:///C:\Users\WillBrownsberger\Downloads\Total-Subsidy-Char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cts for subsidy chart"/>
    </sheetNames>
    <sheetDataSet>
      <sheetData sheetId="0">
        <row r="14">
          <cell r="F14" t="str">
            <v>Bond Funded Subsidy</v>
          </cell>
          <cell r="G14" t="str">
            <v>State LIHTC</v>
          </cell>
          <cell r="H14" t="str">
            <v>Federal LIHTC</v>
          </cell>
          <cell r="I14" t="str">
            <v>Total Subsidy Resources</v>
          </cell>
        </row>
        <row r="15">
          <cell r="E15" t="str">
            <v>FY20-24</v>
          </cell>
          <cell r="F15">
            <v>724755518.23000002</v>
          </cell>
          <cell r="G15">
            <v>800000000</v>
          </cell>
          <cell r="H15">
            <v>2425000000</v>
          </cell>
        </row>
        <row r="16">
          <cell r="E16" t="str">
            <v>FY25-29</v>
          </cell>
          <cell r="F16">
            <v>924254055.82003236</v>
          </cell>
          <cell r="G16">
            <v>1200000000</v>
          </cell>
          <cell r="H16">
            <v>2915000000</v>
          </cell>
        </row>
        <row r="17">
          <cell r="F17">
            <v>0.27526321990241387</v>
          </cell>
          <cell r="G17">
            <v>0.5</v>
          </cell>
          <cell r="H17">
            <v>0.20206185567010304</v>
          </cell>
          <cell r="I17">
            <v>0.27583948742181086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ll Brownsberger" refreshedDate="45585.400544444441" createdVersion="8" refreshedVersion="8" minRefreshableVersion="3" recordCount="16" xr:uid="{919B78F8-02A0-46A4-80FC-A1365BB043AC}">
  <cacheSource type="worksheet">
    <worksheetSource ref="B1:C17" sheet="Capital Plan"/>
  </cacheSource>
  <cacheFields count="2">
    <cacheField name="FY25-29" numFmtId="164">
      <sharedItems containsSemiMixedTypes="0" containsString="0" containsNumber="1" containsInteger="1" minValue="10000000" maxValue="553775000"/>
    </cacheField>
    <cacheField name="Class" numFmtId="0">
      <sharedItems count="6">
        <s v="Subsidized"/>
        <s v="Subsidized (Disability)"/>
        <s v="Disability"/>
        <s v="Public"/>
        <s v="Municipal"/>
        <s v="Work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280850000"/>
    <x v="0"/>
  </r>
  <r>
    <n v="25000000"/>
    <x v="1"/>
  </r>
  <r>
    <n v="58000000"/>
    <x v="1"/>
  </r>
  <r>
    <n v="148480970"/>
    <x v="0"/>
  </r>
  <r>
    <n v="19005795"/>
    <x v="2"/>
  </r>
  <r>
    <n v="25000000"/>
    <x v="3"/>
  </r>
  <r>
    <n v="552875000"/>
    <x v="3"/>
  </r>
  <r>
    <n v="10000000"/>
    <x v="0"/>
  </r>
  <r>
    <n v="118875000"/>
    <x v="3"/>
  </r>
  <r>
    <n v="115000000"/>
    <x v="3"/>
  </r>
  <r>
    <n v="15000000"/>
    <x v="3"/>
  </r>
  <r>
    <n v="39194205"/>
    <x v="4"/>
  </r>
  <r>
    <n v="12500000"/>
    <x v="4"/>
  </r>
  <r>
    <n v="553775000"/>
    <x v="5"/>
  </r>
  <r>
    <n v="15000000"/>
    <x v="4"/>
  </r>
  <r>
    <n v="1000000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2B99D1-1D0C-4664-A273-567A67FD0F10}" name="PivotTable6" cacheId="16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:F8" firstHeaderRow="1" firstDataRow="1" firstDataCol="1"/>
  <pivotFields count="2">
    <pivotField dataField="1" numFmtId="164" showAll="0"/>
    <pivotField axis="axisRow" showAll="0">
      <items count="7">
        <item x="2"/>
        <item x="4"/>
        <item x="3"/>
        <item x="0"/>
        <item x="1"/>
        <item x="5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FY25-29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udget.digital.mass.gov/capital/fy25/beneficiary-agency/housing-and-livable-communities/housing-and-livable-communities/h012/" TargetMode="External"/><Relationship Id="rId13" Type="http://schemas.openxmlformats.org/officeDocument/2006/relationships/hyperlink" Target="https://budget.digital.mass.gov/capital/fy25/beneficiary-agency/housing-and-livable-communities/housing-and-livable-communities/h030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budget.digital.mass.gov/capital/fy25/beneficiary-agency/housing-and-livable-communities/housing-and-livable-communities/h004/" TargetMode="External"/><Relationship Id="rId7" Type="http://schemas.openxmlformats.org/officeDocument/2006/relationships/hyperlink" Target="https://budget.digital.mass.gov/capital/fy25/beneficiary-agency/housing-and-livable-communities/housing-and-livable-communities/h011/" TargetMode="External"/><Relationship Id="rId12" Type="http://schemas.openxmlformats.org/officeDocument/2006/relationships/hyperlink" Target="https://budget.digital.mass.gov/capital/fy25/beneficiary-agency/housing-and-livable-communities/housing-and-livable-communities/h029/" TargetMode="External"/><Relationship Id="rId17" Type="http://schemas.openxmlformats.org/officeDocument/2006/relationships/hyperlink" Target="https://budget.digital.mass.gov/capital/fy25/beneficiary-agency/housing-and-livable-communities/housing-and-livable-communities/h038/" TargetMode="External"/><Relationship Id="rId2" Type="http://schemas.openxmlformats.org/officeDocument/2006/relationships/hyperlink" Target="https://budget.digital.mass.gov/capital/fy25/beneficiary-agency/housing-and-livable-communities/housing-and-livable-communities/h002/" TargetMode="External"/><Relationship Id="rId16" Type="http://schemas.openxmlformats.org/officeDocument/2006/relationships/hyperlink" Target="https://budget.digital.mass.gov/capital/fy25/beneficiary-agency/housing-and-livable-communities/housing-and-livable-communities/h037/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budget.digital.mass.gov/capital/fy25/beneficiary-agency/housing-and-livable-communities/housing-and-livable-communities/h010/" TargetMode="External"/><Relationship Id="rId11" Type="http://schemas.openxmlformats.org/officeDocument/2006/relationships/hyperlink" Target="https://budget.digital.mass.gov/capital/fy25/beneficiary-agency/housing-and-livable-communities/housing-and-livable-communities/h026/" TargetMode="External"/><Relationship Id="rId5" Type="http://schemas.openxmlformats.org/officeDocument/2006/relationships/hyperlink" Target="https://budget.digital.mass.gov/capital/fy25/beneficiary-agency/housing-and-livable-communities/housing-and-livable-communities/h008/" TargetMode="External"/><Relationship Id="rId15" Type="http://schemas.openxmlformats.org/officeDocument/2006/relationships/hyperlink" Target="https://budget.digital.mass.gov/capital/fy25/beneficiary-agency/housing-and-livable-communities/housing-and-livable-communities/h034/" TargetMode="External"/><Relationship Id="rId10" Type="http://schemas.openxmlformats.org/officeDocument/2006/relationships/hyperlink" Target="https://budget.digital.mass.gov/capital/fy25/beneficiary-agency/housing-and-livable-communities/housing-and-livable-communities/h024/" TargetMode="External"/><Relationship Id="rId4" Type="http://schemas.openxmlformats.org/officeDocument/2006/relationships/hyperlink" Target="https://budget.digital.mass.gov/capital/fy25/beneficiary-agency/housing-and-livable-communities/housing-and-livable-communities/h006/" TargetMode="External"/><Relationship Id="rId9" Type="http://schemas.openxmlformats.org/officeDocument/2006/relationships/hyperlink" Target="https://budget.digital.mass.gov/capital/fy25/beneficiary-agency/housing-and-livable-communities/housing-and-livable-communities/h021/" TargetMode="External"/><Relationship Id="rId14" Type="http://schemas.openxmlformats.org/officeDocument/2006/relationships/hyperlink" Target="https://budget.digital.mass.gov/capital/fy25/beneficiary-agency/housing-and-livable-communities/housing-and-livable-communities/h03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B1B2-A571-434F-B7BC-5E67D2314F5C}">
  <dimension ref="A1:V37"/>
  <sheetViews>
    <sheetView tabSelected="1" workbookViewId="0">
      <selection activeCell="A45" sqref="A45"/>
    </sheetView>
  </sheetViews>
  <sheetFormatPr defaultRowHeight="15" x14ac:dyDescent="0.25"/>
  <cols>
    <col min="1" max="1" width="49.5703125" customWidth="1"/>
    <col min="2" max="3" width="12.5703125" bestFit="1" customWidth="1"/>
    <col min="4" max="4" width="14.28515625" bestFit="1" customWidth="1"/>
    <col min="5" max="5" width="20.85546875" customWidth="1"/>
    <col min="6" max="6" width="15.5703125" bestFit="1" customWidth="1"/>
    <col min="7" max="7" width="14.5703125" bestFit="1" customWidth="1"/>
    <col min="8" max="16" width="15.5703125" bestFit="1" customWidth="1"/>
    <col min="17" max="17" width="15.28515625" bestFit="1" customWidth="1"/>
    <col min="18" max="18" width="17.7109375" customWidth="1"/>
    <col min="19" max="19" width="15.28515625" bestFit="1" customWidth="1"/>
    <col min="20" max="20" width="12.42578125" customWidth="1"/>
    <col min="21" max="21" width="13.140625" customWidth="1"/>
    <col min="22" max="22" width="15" customWidth="1"/>
  </cols>
  <sheetData>
    <row r="1" spans="1:22" x14ac:dyDescent="0.25">
      <c r="A1" t="s">
        <v>10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  <c r="M1" s="2">
        <v>2021</v>
      </c>
      <c r="N1" s="2">
        <v>2022</v>
      </c>
      <c r="O1" s="2">
        <v>2023</v>
      </c>
      <c r="P1" s="2">
        <v>2024</v>
      </c>
      <c r="Q1" s="11">
        <v>2025</v>
      </c>
      <c r="R1" s="11">
        <v>2026</v>
      </c>
      <c r="S1" s="11">
        <v>2027</v>
      </c>
      <c r="T1" s="11">
        <v>2028</v>
      </c>
      <c r="U1" s="11">
        <v>2029</v>
      </c>
    </row>
    <row r="2" spans="1:22" x14ac:dyDescent="0.25">
      <c r="A2" t="s">
        <v>73</v>
      </c>
      <c r="B2" s="4">
        <f>+B8+B9</f>
        <v>81470471.969999999</v>
      </c>
      <c r="C2" s="4">
        <f t="shared" ref="C2:P2" si="0">+C8+C9</f>
        <v>80246801.920000017</v>
      </c>
      <c r="D2" s="4">
        <f t="shared" si="0"/>
        <v>91350405.060000017</v>
      </c>
      <c r="E2" s="4">
        <f t="shared" si="0"/>
        <v>91889858.149999991</v>
      </c>
      <c r="F2" s="4">
        <f t="shared" si="0"/>
        <v>91284595.070000008</v>
      </c>
      <c r="G2" s="4">
        <f t="shared" si="0"/>
        <v>96973945.61999999</v>
      </c>
      <c r="H2" s="4">
        <f t="shared" si="0"/>
        <v>91847928.189999998</v>
      </c>
      <c r="I2" s="4">
        <f t="shared" si="0"/>
        <v>108303132.38999999</v>
      </c>
      <c r="J2" s="4">
        <f t="shared" si="0"/>
        <v>140079688.22999999</v>
      </c>
      <c r="K2" s="4">
        <f t="shared" si="0"/>
        <v>136421141.37</v>
      </c>
      <c r="L2" s="4">
        <f t="shared" si="0"/>
        <v>121339138.42000002</v>
      </c>
      <c r="M2" s="4">
        <f t="shared" si="0"/>
        <v>149646080.30999997</v>
      </c>
      <c r="N2" s="4">
        <f t="shared" si="0"/>
        <v>138966976.03000003</v>
      </c>
      <c r="O2" s="4">
        <f t="shared" si="0"/>
        <v>139829745.78</v>
      </c>
      <c r="P2" s="4">
        <f t="shared" si="0"/>
        <v>169132141.40000001</v>
      </c>
      <c r="Q2" s="4">
        <f>'Capital Plan'!$F$10/5</f>
        <v>182350811.16400647</v>
      </c>
      <c r="R2" s="4">
        <f>'Capital Plan'!$F$10/5</f>
        <v>182350811.16400647</v>
      </c>
      <c r="S2" s="4">
        <f>'Capital Plan'!$F$10/5</f>
        <v>182350811.16400647</v>
      </c>
      <c r="T2" s="4">
        <f>'Capital Plan'!$F$10/5</f>
        <v>182350811.16400647</v>
      </c>
      <c r="U2" s="4">
        <f>'Capital Plan'!$F$10/5</f>
        <v>182350811.16400647</v>
      </c>
      <c r="V2" s="4"/>
    </row>
    <row r="3" spans="1:22" x14ac:dyDescent="0.25">
      <c r="A3" s="3" t="s">
        <v>7</v>
      </c>
      <c r="D3" s="5">
        <f>40*(1000000)</f>
        <v>40000000</v>
      </c>
      <c r="E3" s="5">
        <f>60*(1000000)</f>
        <v>60000000</v>
      </c>
      <c r="F3" s="5">
        <f t="shared" ref="F3:L3" si="1">80*(1000000)</f>
        <v>80000000</v>
      </c>
      <c r="G3" s="5">
        <f t="shared" si="1"/>
        <v>80000000</v>
      </c>
      <c r="H3" s="5">
        <f t="shared" si="1"/>
        <v>80000000</v>
      </c>
      <c r="I3" s="5">
        <f t="shared" si="1"/>
        <v>80000000</v>
      </c>
      <c r="J3" s="5">
        <f t="shared" si="1"/>
        <v>80000000</v>
      </c>
      <c r="K3" s="5">
        <f t="shared" si="1"/>
        <v>80000000</v>
      </c>
      <c r="L3" s="5">
        <f t="shared" si="1"/>
        <v>80000000</v>
      </c>
      <c r="M3" s="5">
        <f>120*(1000000)</f>
        <v>120000000</v>
      </c>
      <c r="N3" s="5">
        <f>160*(1000000)</f>
        <v>160000000</v>
      </c>
      <c r="O3" s="5">
        <f>200*(1000000)</f>
        <v>200000000</v>
      </c>
      <c r="P3" s="5">
        <f t="shared" ref="P3:U3" si="2">240*(1000000)</f>
        <v>240000000</v>
      </c>
      <c r="Q3" s="5">
        <f t="shared" si="2"/>
        <v>240000000</v>
      </c>
      <c r="R3" s="5">
        <f t="shared" si="2"/>
        <v>240000000</v>
      </c>
      <c r="S3" s="5">
        <f t="shared" si="2"/>
        <v>240000000</v>
      </c>
      <c r="T3" s="5">
        <f t="shared" si="2"/>
        <v>240000000</v>
      </c>
      <c r="U3" s="5">
        <f t="shared" si="2"/>
        <v>240000000</v>
      </c>
      <c r="V3" s="4"/>
    </row>
    <row r="4" spans="1:22" x14ac:dyDescent="0.25">
      <c r="A4" t="s">
        <v>14</v>
      </c>
      <c r="F4" s="5">
        <f>F17</f>
        <v>148358290</v>
      </c>
      <c r="G4" s="5">
        <f t="shared" ref="G4:U4" si="3">G17</f>
        <v>90876770</v>
      </c>
      <c r="H4" s="5">
        <f t="shared" si="3"/>
        <v>127069490</v>
      </c>
      <c r="I4" s="5">
        <f t="shared" si="3"/>
        <v>191800320</v>
      </c>
      <c r="J4" s="5">
        <f t="shared" si="3"/>
        <v>185711895</v>
      </c>
      <c r="K4" s="5">
        <f t="shared" si="3"/>
        <v>236081840</v>
      </c>
      <c r="L4" s="5">
        <f t="shared" si="3"/>
        <v>298886615</v>
      </c>
      <c r="M4" s="5">
        <f t="shared" si="3"/>
        <v>291561330</v>
      </c>
      <c r="N4" s="5">
        <f t="shared" si="3"/>
        <v>229615255</v>
      </c>
      <c r="O4" s="5">
        <f t="shared" si="3"/>
        <v>266740135</v>
      </c>
      <c r="P4" s="5">
        <f t="shared" si="3"/>
        <v>343177115</v>
      </c>
      <c r="Q4" s="5">
        <f t="shared" si="3"/>
        <v>344080000</v>
      </c>
      <c r="R4" s="5">
        <f t="shared" si="3"/>
        <v>352337920</v>
      </c>
      <c r="S4" s="5">
        <f t="shared" si="3"/>
        <v>360794030.08000004</v>
      </c>
      <c r="T4" s="5">
        <f t="shared" si="3"/>
        <v>369453086.80192</v>
      </c>
      <c r="U4" s="5">
        <f t="shared" si="3"/>
        <v>378319960.88516605</v>
      </c>
      <c r="V4" s="4"/>
    </row>
    <row r="5" spans="1:22" x14ac:dyDescent="0.25">
      <c r="A5" t="s">
        <v>15</v>
      </c>
      <c r="F5" s="4">
        <f>F22</f>
        <v>152775560</v>
      </c>
      <c r="G5" s="4">
        <f t="shared" ref="G5:U5" si="4">G22</f>
        <v>155274290</v>
      </c>
      <c r="H5" s="4">
        <f t="shared" si="4"/>
        <v>158522690</v>
      </c>
      <c r="I5" s="4">
        <f t="shared" si="4"/>
        <v>164012435</v>
      </c>
      <c r="J5" s="4">
        <f t="shared" si="4"/>
        <v>177547890</v>
      </c>
      <c r="K5" s="4">
        <f t="shared" si="4"/>
        <v>204316595</v>
      </c>
      <c r="L5" s="4">
        <f t="shared" si="4"/>
        <v>209552455</v>
      </c>
      <c r="M5" s="4">
        <f t="shared" si="4"/>
        <v>197953750</v>
      </c>
      <c r="N5" s="4">
        <f t="shared" si="4"/>
        <v>190245335</v>
      </c>
      <c r="O5" s="4">
        <f t="shared" si="4"/>
        <v>193224565</v>
      </c>
      <c r="P5" s="4">
        <f t="shared" si="4"/>
        <v>205871310</v>
      </c>
      <c r="Q5" s="4">
        <f t="shared" si="4"/>
        <v>211149063.84</v>
      </c>
      <c r="R5" s="4">
        <f t="shared" si="4"/>
        <v>216216641.37216002</v>
      </c>
      <c r="S5" s="4">
        <f t="shared" si="4"/>
        <v>221405840.76509184</v>
      </c>
      <c r="T5" s="4">
        <f t="shared" si="4"/>
        <v>226719580.94345406</v>
      </c>
      <c r="U5" s="4">
        <f t="shared" si="4"/>
        <v>232160850.88609695</v>
      </c>
    </row>
    <row r="6" spans="1:22" x14ac:dyDescent="0.25">
      <c r="R6" s="4"/>
    </row>
    <row r="7" spans="1:22" x14ac:dyDescent="0.25">
      <c r="A7" s="9" t="s">
        <v>118</v>
      </c>
    </row>
    <row r="8" spans="1:22" x14ac:dyDescent="0.25">
      <c r="A8" s="3" t="s">
        <v>6</v>
      </c>
      <c r="B8" s="4">
        <v>12779292.370000001</v>
      </c>
      <c r="C8" s="4">
        <v>12542761.899999999</v>
      </c>
      <c r="D8" s="4">
        <v>12567380.919999998</v>
      </c>
      <c r="E8" s="4">
        <v>13813799.719999999</v>
      </c>
      <c r="F8" s="4">
        <v>12382642.629999999</v>
      </c>
      <c r="G8" s="4">
        <v>16599999.49</v>
      </c>
      <c r="H8" s="4">
        <v>16579350.6</v>
      </c>
      <c r="I8" s="4">
        <v>16941173.550000001</v>
      </c>
      <c r="J8" s="4">
        <v>16920695.68</v>
      </c>
      <c r="K8" s="4">
        <v>16567754.699999999</v>
      </c>
      <c r="L8" s="4">
        <v>16570085.729999999</v>
      </c>
      <c r="M8" s="4">
        <v>22544028.709999997</v>
      </c>
      <c r="N8" s="4">
        <v>20533945.700000003</v>
      </c>
      <c r="O8" s="4">
        <v>16567327.800000001</v>
      </c>
      <c r="P8" s="4">
        <v>16359241.02</v>
      </c>
    </row>
    <row r="9" spans="1:22" x14ac:dyDescent="0.25">
      <c r="A9" s="3" t="s">
        <v>5</v>
      </c>
      <c r="B9" s="4">
        <v>68691179.599999994</v>
      </c>
      <c r="C9" s="4">
        <v>67704040.020000011</v>
      </c>
      <c r="D9" s="4">
        <v>78783024.140000015</v>
      </c>
      <c r="E9" s="4">
        <v>78076058.429999992</v>
      </c>
      <c r="F9" s="4">
        <v>78901952.440000013</v>
      </c>
      <c r="G9" s="4">
        <v>80373946.129999995</v>
      </c>
      <c r="H9" s="4">
        <v>75268577.590000004</v>
      </c>
      <c r="I9" s="4">
        <v>91361958.839999989</v>
      </c>
      <c r="J9" s="4">
        <v>123158992.55</v>
      </c>
      <c r="K9" s="4">
        <v>119853386.67</v>
      </c>
      <c r="L9" s="4">
        <v>104769052.69000001</v>
      </c>
      <c r="M9" s="4">
        <v>127102051.59999998</v>
      </c>
      <c r="N9" s="4">
        <v>118433030.33000001</v>
      </c>
      <c r="O9" s="4">
        <v>123262417.98</v>
      </c>
      <c r="P9" s="4">
        <v>152772900.38</v>
      </c>
    </row>
    <row r="11" spans="1:22" x14ac:dyDescent="0.25">
      <c r="A11" s="10" t="s">
        <v>12</v>
      </c>
    </row>
    <row r="12" spans="1:22" x14ac:dyDescent="0.25">
      <c r="A12" t="s">
        <v>11</v>
      </c>
    </row>
    <row r="14" spans="1:22" x14ac:dyDescent="0.25">
      <c r="A14" s="10" t="s">
        <v>16</v>
      </c>
    </row>
    <row r="15" spans="1:22" x14ac:dyDescent="0.25">
      <c r="E15">
        <v>2013</v>
      </c>
      <c r="F15">
        <v>2014</v>
      </c>
      <c r="G15">
        <v>2015</v>
      </c>
      <c r="H15">
        <v>2016</v>
      </c>
      <c r="I15">
        <v>2017</v>
      </c>
      <c r="J15">
        <v>2018</v>
      </c>
      <c r="K15">
        <v>2019</v>
      </c>
      <c r="L15">
        <v>2020</v>
      </c>
      <c r="M15">
        <v>2021</v>
      </c>
      <c r="N15">
        <v>2022</v>
      </c>
      <c r="O15">
        <v>2023</v>
      </c>
      <c r="P15">
        <v>2024</v>
      </c>
      <c r="Q15" s="11">
        <v>2025</v>
      </c>
      <c r="R15" s="11">
        <v>2026</v>
      </c>
      <c r="S15" s="11">
        <v>2027</v>
      </c>
      <c r="T15" s="11">
        <v>2028</v>
      </c>
      <c r="U15" s="11">
        <v>2029</v>
      </c>
    </row>
    <row r="16" spans="1:22" x14ac:dyDescent="0.25">
      <c r="A16" t="s">
        <v>8</v>
      </c>
      <c r="E16" s="5">
        <v>17151653</v>
      </c>
      <c r="F16" s="5">
        <v>12520005</v>
      </c>
      <c r="G16" s="5">
        <v>5655349</v>
      </c>
      <c r="H16" s="5">
        <v>19758549</v>
      </c>
      <c r="I16" s="5">
        <v>18601515</v>
      </c>
      <c r="J16" s="5">
        <v>18540864</v>
      </c>
      <c r="K16" s="5">
        <v>28675504</v>
      </c>
      <c r="L16" s="5">
        <v>31101819</v>
      </c>
      <c r="M16" s="5">
        <v>27210447</v>
      </c>
      <c r="N16" s="5">
        <v>18712604</v>
      </c>
      <c r="O16" s="5">
        <v>34635423</v>
      </c>
      <c r="P16" s="12">
        <v>34000000</v>
      </c>
      <c r="Q16" s="14">
        <f>$P16*(1+$B$23)^(Q15-$P15)</f>
        <v>34816000</v>
      </c>
      <c r="R16" s="14">
        <f>$P16*(1+$B$23)^(R15-$P15)</f>
        <v>35651584</v>
      </c>
      <c r="S16" s="14">
        <f>$P16*(1+$B$23)^(S15-$P15)</f>
        <v>36507222.016000003</v>
      </c>
      <c r="T16" s="14">
        <f>$P16*(1+$B$23)^(T15-$P15)</f>
        <v>37383395.344384</v>
      </c>
      <c r="U16" s="14">
        <f>$P16*(1+$B$23)^(U15-$P15)</f>
        <v>38280596.832649216</v>
      </c>
    </row>
    <row r="17" spans="1:22" x14ac:dyDescent="0.25">
      <c r="A17" t="s">
        <v>9</v>
      </c>
      <c r="E17" s="5"/>
      <c r="F17" s="5">
        <f>AVERAGE(F16,E16)*10</f>
        <v>148358290</v>
      </c>
      <c r="G17" s="5">
        <f t="shared" ref="G17:P17" si="5">AVERAGE(G16,F16)*10</f>
        <v>90876770</v>
      </c>
      <c r="H17" s="5">
        <f t="shared" si="5"/>
        <v>127069490</v>
      </c>
      <c r="I17" s="5">
        <f t="shared" si="5"/>
        <v>191800320</v>
      </c>
      <c r="J17" s="5">
        <f t="shared" si="5"/>
        <v>185711895</v>
      </c>
      <c r="K17" s="5">
        <f t="shared" si="5"/>
        <v>236081840</v>
      </c>
      <c r="L17" s="5">
        <f t="shared" si="5"/>
        <v>298886615</v>
      </c>
      <c r="M17" s="5">
        <f t="shared" si="5"/>
        <v>291561330</v>
      </c>
      <c r="N17" s="5">
        <f t="shared" si="5"/>
        <v>229615255</v>
      </c>
      <c r="O17" s="5">
        <f t="shared" si="5"/>
        <v>266740135</v>
      </c>
      <c r="P17" s="12">
        <f t="shared" si="5"/>
        <v>343177115</v>
      </c>
      <c r="Q17" s="14">
        <f t="shared" ref="Q17" si="6">AVERAGE(Q16,P16)*10</f>
        <v>344080000</v>
      </c>
      <c r="R17" s="14">
        <f t="shared" ref="R17" si="7">AVERAGE(R16,Q16)*10</f>
        <v>352337920</v>
      </c>
      <c r="S17" s="14">
        <f t="shared" ref="S17" si="8">AVERAGE(S16,R16)*10</f>
        <v>360794030.08000004</v>
      </c>
      <c r="T17" s="14">
        <f t="shared" ref="T17" si="9">AVERAGE(T16,S16)*10</f>
        <v>369453086.80192</v>
      </c>
      <c r="U17" s="14">
        <f t="shared" ref="U17" si="10">AVERAGE(U16,T16)*10</f>
        <v>378319960.88516605</v>
      </c>
      <c r="V17" s="4"/>
    </row>
    <row r="19" spans="1:22" x14ac:dyDescent="0.25">
      <c r="A19" s="10" t="s">
        <v>16</v>
      </c>
    </row>
    <row r="20" spans="1:22" x14ac:dyDescent="0.25">
      <c r="E20">
        <v>2013</v>
      </c>
      <c r="F20">
        <v>2014</v>
      </c>
      <c r="G20">
        <v>2015</v>
      </c>
      <c r="H20">
        <v>2016</v>
      </c>
      <c r="I20">
        <v>2017</v>
      </c>
      <c r="J20">
        <v>2018</v>
      </c>
      <c r="K20">
        <v>2019</v>
      </c>
      <c r="L20">
        <v>2020</v>
      </c>
      <c r="M20">
        <v>2021</v>
      </c>
      <c r="N20">
        <v>2022</v>
      </c>
      <c r="O20">
        <v>2023</v>
      </c>
      <c r="P20">
        <v>2024</v>
      </c>
      <c r="Q20" s="9">
        <v>2025</v>
      </c>
      <c r="R20" s="9">
        <v>2026</v>
      </c>
      <c r="S20" s="9">
        <v>2027</v>
      </c>
      <c r="T20" s="9">
        <v>2028</v>
      </c>
      <c r="U20" s="9">
        <v>2029</v>
      </c>
    </row>
    <row r="21" spans="1:22" s="5" customFormat="1" x14ac:dyDescent="0.25">
      <c r="A21" s="5" t="s">
        <v>13</v>
      </c>
      <c r="E21" s="5">
        <v>15082189</v>
      </c>
      <c r="F21" s="5">
        <v>15472923</v>
      </c>
      <c r="G21" s="5">
        <v>15581935</v>
      </c>
      <c r="H21" s="5">
        <v>16122603</v>
      </c>
      <c r="I21" s="5">
        <v>16679884</v>
      </c>
      <c r="J21" s="5">
        <v>18829694</v>
      </c>
      <c r="K21" s="5">
        <v>22033625</v>
      </c>
      <c r="L21" s="5">
        <v>19876866</v>
      </c>
      <c r="M21" s="5">
        <v>19713884</v>
      </c>
      <c r="N21" s="5">
        <v>18335183</v>
      </c>
      <c r="O21" s="5">
        <v>20309730</v>
      </c>
      <c r="P21" s="12">
        <v>20864532</v>
      </c>
      <c r="Q21" s="14">
        <f>$P21*(1+$B$23)^(Q20-$P20)</f>
        <v>21365280.767999999</v>
      </c>
      <c r="R21" s="14">
        <f>$P21*(1+$B$23)^(R20-$P20)</f>
        <v>21878047.506432001</v>
      </c>
      <c r="S21" s="14">
        <f>$P21*(1+$B$23)^(S20-$P20)</f>
        <v>22403120.64658637</v>
      </c>
      <c r="T21" s="14">
        <f>$P21*(1+$B$23)^(T20-$P20)</f>
        <v>22940795.542104442</v>
      </c>
      <c r="U21" s="14">
        <f>$P21*(1+$B$23)^(U20-$P20)</f>
        <v>23491374.635114949</v>
      </c>
    </row>
    <row r="22" spans="1:22" s="5" customFormat="1" x14ac:dyDescent="0.25">
      <c r="F22" s="5">
        <f>AVERAGE(F21,E21)*10</f>
        <v>152775560</v>
      </c>
      <c r="G22" s="5">
        <f t="shared" ref="G22" si="11">AVERAGE(G21,F21)*10</f>
        <v>155274290</v>
      </c>
      <c r="H22" s="5">
        <f t="shared" ref="H22" si="12">AVERAGE(H21,G21)*10</f>
        <v>158522690</v>
      </c>
      <c r="I22" s="5">
        <f t="shared" ref="I22" si="13">AVERAGE(I21,H21)*10</f>
        <v>164012435</v>
      </c>
      <c r="J22" s="5">
        <f t="shared" ref="J22" si="14">AVERAGE(J21,I21)*10</f>
        <v>177547890</v>
      </c>
      <c r="K22" s="5">
        <f t="shared" ref="K22" si="15">AVERAGE(K21,J21)*10</f>
        <v>204316595</v>
      </c>
      <c r="L22" s="5">
        <f t="shared" ref="L22" si="16">AVERAGE(L21,K21)*10</f>
        <v>209552455</v>
      </c>
      <c r="M22" s="5">
        <f t="shared" ref="M22" si="17">AVERAGE(M21,L21)*10</f>
        <v>197953750</v>
      </c>
      <c r="N22" s="5">
        <f t="shared" ref="N22" si="18">AVERAGE(N21,M21)*10</f>
        <v>190245335</v>
      </c>
      <c r="O22" s="5">
        <f t="shared" ref="O22" si="19">AVERAGE(O21,N21)*10</f>
        <v>193224565</v>
      </c>
      <c r="P22" s="12">
        <f t="shared" ref="P22" si="20">AVERAGE(P21,O21)*10</f>
        <v>205871310</v>
      </c>
      <c r="Q22" s="14">
        <f t="shared" ref="Q22" si="21">AVERAGE(Q21,P21)*10</f>
        <v>211149063.84</v>
      </c>
      <c r="R22" s="14">
        <f t="shared" ref="R22" si="22">AVERAGE(R21,Q21)*10</f>
        <v>216216641.37216002</v>
      </c>
      <c r="S22" s="14">
        <f t="shared" ref="S22" si="23">AVERAGE(S21,R21)*10</f>
        <v>221405840.76509184</v>
      </c>
      <c r="T22" s="14">
        <f t="shared" ref="T22" si="24">AVERAGE(T21,S21)*10</f>
        <v>226719580.94345406</v>
      </c>
      <c r="U22" s="14">
        <f t="shared" ref="U22" si="25">AVERAGE(U21,T21)*10</f>
        <v>232160850.88609695</v>
      </c>
      <c r="V22" s="4"/>
    </row>
    <row r="23" spans="1:22" x14ac:dyDescent="0.25">
      <c r="A23" t="s">
        <v>17</v>
      </c>
      <c r="B23" s="13">
        <v>2.4E-2</v>
      </c>
      <c r="V23" s="4"/>
    </row>
    <row r="24" spans="1:22" x14ac:dyDescent="0.25">
      <c r="A24" t="s">
        <v>107</v>
      </c>
    </row>
    <row r="27" spans="1:22" x14ac:dyDescent="0.25">
      <c r="A27" t="s">
        <v>108</v>
      </c>
    </row>
    <row r="28" spans="1:22" x14ac:dyDescent="0.25">
      <c r="F28" s="32">
        <v>2014</v>
      </c>
      <c r="G28" s="32" t="s">
        <v>89</v>
      </c>
      <c r="H28" s="32" t="s">
        <v>90</v>
      </c>
      <c r="I28" s="32" t="s">
        <v>91</v>
      </c>
      <c r="J28" s="32" t="s">
        <v>92</v>
      </c>
      <c r="K28" s="32" t="s">
        <v>93</v>
      </c>
      <c r="L28" s="32" t="s">
        <v>94</v>
      </c>
      <c r="M28" s="32" t="s">
        <v>95</v>
      </c>
      <c r="N28" s="32" t="s">
        <v>96</v>
      </c>
      <c r="O28" s="32" t="s">
        <v>97</v>
      </c>
      <c r="P28" s="32" t="s">
        <v>98</v>
      </c>
      <c r="Q28" s="11">
        <v>2025</v>
      </c>
      <c r="R28" s="11">
        <v>2026</v>
      </c>
      <c r="S28" s="11">
        <v>2027</v>
      </c>
      <c r="T28" s="11">
        <v>2028</v>
      </c>
      <c r="U28" s="11">
        <v>2029</v>
      </c>
    </row>
    <row r="29" spans="1:22" x14ac:dyDescent="0.25">
      <c r="A29" t="s">
        <v>109</v>
      </c>
      <c r="C29" s="13">
        <v>2.4E-2</v>
      </c>
      <c r="F29">
        <v>87.6935</v>
      </c>
      <c r="G29">
        <v>91.306749999999994</v>
      </c>
      <c r="H29">
        <v>93.749499999999998</v>
      </c>
      <c r="I29">
        <v>97.96275</v>
      </c>
      <c r="J29">
        <v>102.79050000000001</v>
      </c>
      <c r="K29">
        <v>107.3215</v>
      </c>
      <c r="L29">
        <v>109.821</v>
      </c>
      <c r="M29">
        <v>117.12575000000001</v>
      </c>
      <c r="N29">
        <v>133.8065</v>
      </c>
      <c r="O29">
        <v>144.88475</v>
      </c>
      <c r="P29">
        <v>147.44924999999998</v>
      </c>
      <c r="Q29" s="33">
        <f>$P29*(1+$C$29)^(Q28-$P28)</f>
        <v>150.98803199999998</v>
      </c>
      <c r="R29" s="33">
        <f t="shared" ref="R29:U29" si="26">$P29*(1+$C$29)^(R28-$P28)</f>
        <v>154.61174476799997</v>
      </c>
      <c r="S29" s="33">
        <f t="shared" si="26"/>
        <v>158.32242664243199</v>
      </c>
      <c r="T29" s="33">
        <f t="shared" si="26"/>
        <v>162.12216488185035</v>
      </c>
      <c r="U29" s="33">
        <f t="shared" si="26"/>
        <v>166.01309683901476</v>
      </c>
    </row>
    <row r="31" spans="1:22" x14ac:dyDescent="0.25">
      <c r="F31" s="37">
        <v>2014</v>
      </c>
      <c r="G31" s="34" t="s">
        <v>89</v>
      </c>
      <c r="H31" s="34" t="s">
        <v>90</v>
      </c>
      <c r="I31" s="34" t="s">
        <v>91</v>
      </c>
      <c r="J31" s="34" t="s">
        <v>92</v>
      </c>
      <c r="K31" s="34" t="s">
        <v>93</v>
      </c>
      <c r="L31" s="34" t="s">
        <v>94</v>
      </c>
      <c r="M31" s="34" t="s">
        <v>95</v>
      </c>
      <c r="N31" s="34" t="s">
        <v>96</v>
      </c>
      <c r="O31" s="34" t="s">
        <v>97</v>
      </c>
      <c r="P31" s="34" t="s">
        <v>98</v>
      </c>
      <c r="Q31" s="36">
        <v>2025</v>
      </c>
      <c r="R31" s="36">
        <v>2026</v>
      </c>
      <c r="S31" s="36">
        <v>2027</v>
      </c>
      <c r="T31" s="36">
        <v>2028</v>
      </c>
      <c r="U31" s="36">
        <v>2029</v>
      </c>
      <c r="V31" t="s">
        <v>115</v>
      </c>
    </row>
    <row r="32" spans="1:22" x14ac:dyDescent="0.25">
      <c r="C32" t="s">
        <v>110</v>
      </c>
      <c r="E32" s="8" t="s">
        <v>111</v>
      </c>
      <c r="F32" s="35">
        <f>F2/1000000</f>
        <v>91.284595070000009</v>
      </c>
      <c r="G32" s="35">
        <f>G2/1000000</f>
        <v>96.973945619999995</v>
      </c>
      <c r="H32" s="35">
        <f>H2/1000000</f>
        <v>91.847928190000005</v>
      </c>
      <c r="I32" s="35">
        <f>I2/1000000</f>
        <v>108.30313238999999</v>
      </c>
      <c r="J32" s="35">
        <f>J2/1000000</f>
        <v>140.07968822999999</v>
      </c>
      <c r="K32" s="35">
        <f>K2/1000000</f>
        <v>136.42114137000002</v>
      </c>
      <c r="L32" s="35">
        <f>L2/1000000</f>
        <v>121.33913842000001</v>
      </c>
      <c r="M32" s="35">
        <f>M2/1000000</f>
        <v>149.64608030999997</v>
      </c>
      <c r="N32" s="35">
        <f>N2/1000000</f>
        <v>138.96697603000004</v>
      </c>
      <c r="O32" s="35">
        <f>O2/1000000</f>
        <v>139.82974578</v>
      </c>
      <c r="P32" s="35">
        <f>P2/1000000</f>
        <v>169.13214139999999</v>
      </c>
      <c r="Q32" s="35">
        <f>Q2/1000000</f>
        <v>182.35081116400647</v>
      </c>
      <c r="R32" s="35">
        <f>R2/1000000</f>
        <v>182.35081116400647</v>
      </c>
      <c r="S32" s="35">
        <f>S2/1000000</f>
        <v>182.35081116400647</v>
      </c>
      <c r="T32" s="35">
        <f>T2/1000000</f>
        <v>182.35081116400647</v>
      </c>
      <c r="U32" s="35">
        <f>U2/1000000</f>
        <v>182.35081116400647</v>
      </c>
      <c r="V32" s="7">
        <f>SUM(Q32:U33)/SUM(L32:P33)</f>
        <v>1.3903051403163242</v>
      </c>
    </row>
    <row r="33" spans="5:22" x14ac:dyDescent="0.25">
      <c r="E33" s="8" t="s">
        <v>112</v>
      </c>
      <c r="F33" s="35">
        <f>F3/1000000</f>
        <v>80</v>
      </c>
      <c r="G33" s="35">
        <f>G3/1000000</f>
        <v>80</v>
      </c>
      <c r="H33" s="35">
        <f>H3/1000000</f>
        <v>80</v>
      </c>
      <c r="I33" s="35">
        <f>I3/1000000</f>
        <v>80</v>
      </c>
      <c r="J33" s="35">
        <f>J3/1000000</f>
        <v>80</v>
      </c>
      <c r="K33" s="35">
        <f>K3/1000000</f>
        <v>80</v>
      </c>
      <c r="L33" s="35">
        <f>L3/1000000</f>
        <v>80</v>
      </c>
      <c r="M33" s="35">
        <f>M3/1000000</f>
        <v>120</v>
      </c>
      <c r="N33" s="35">
        <f>N3/1000000</f>
        <v>160</v>
      </c>
      <c r="O33" s="35">
        <f>O3/1000000</f>
        <v>200</v>
      </c>
      <c r="P33" s="35">
        <f>P3/1000000</f>
        <v>240</v>
      </c>
      <c r="Q33" s="35">
        <f>Q3/1000000</f>
        <v>240</v>
      </c>
      <c r="R33" s="35">
        <f>R3/1000000</f>
        <v>240</v>
      </c>
      <c r="S33" s="35">
        <f>S3/1000000</f>
        <v>240</v>
      </c>
      <c r="T33" s="35">
        <f>T3/1000000</f>
        <v>240</v>
      </c>
      <c r="U33" s="35">
        <f>U3/1000000</f>
        <v>240</v>
      </c>
    </row>
    <row r="34" spans="5:22" x14ac:dyDescent="0.25">
      <c r="E34" s="8" t="s">
        <v>116</v>
      </c>
      <c r="F34" s="35">
        <f>F4/1000000</f>
        <v>148.35829000000001</v>
      </c>
      <c r="G34" s="35">
        <f>G4/1000000</f>
        <v>90.876769999999993</v>
      </c>
      <c r="H34" s="35">
        <f>H4/1000000</f>
        <v>127.06949</v>
      </c>
      <c r="I34" s="35">
        <f>I4/1000000</f>
        <v>191.80032</v>
      </c>
      <c r="J34" s="35">
        <f>J4/1000000</f>
        <v>185.711895</v>
      </c>
      <c r="K34" s="35">
        <f>K4/1000000</f>
        <v>236.08184</v>
      </c>
      <c r="L34" s="35">
        <f>L4/1000000</f>
        <v>298.88661500000001</v>
      </c>
      <c r="M34" s="35">
        <f>M4/1000000</f>
        <v>291.56133</v>
      </c>
      <c r="N34" s="35">
        <f>N4/1000000</f>
        <v>229.61525499999999</v>
      </c>
      <c r="O34" s="35">
        <f>O4/1000000</f>
        <v>266.74013500000001</v>
      </c>
      <c r="P34" s="35">
        <f>P4/1000000</f>
        <v>343.17711500000001</v>
      </c>
      <c r="Q34" s="35">
        <f>Q4/1000000</f>
        <v>344.08</v>
      </c>
      <c r="R34" s="35">
        <f>R4/1000000</f>
        <v>352.33792</v>
      </c>
      <c r="S34" s="35">
        <f>S4/1000000</f>
        <v>360.79403008000003</v>
      </c>
      <c r="T34" s="35">
        <f>T4/1000000</f>
        <v>369.45308680191999</v>
      </c>
      <c r="U34" s="35">
        <f>U4/1000000</f>
        <v>378.31996088516604</v>
      </c>
    </row>
    <row r="35" spans="5:22" x14ac:dyDescent="0.25">
      <c r="E35" s="8" t="s">
        <v>117</v>
      </c>
      <c r="F35" s="35">
        <f>F5/1000000</f>
        <v>152.77556000000001</v>
      </c>
      <c r="G35" s="35">
        <f>G5/1000000</f>
        <v>155.27429000000001</v>
      </c>
      <c r="H35" s="35">
        <f>H5/1000000</f>
        <v>158.52269000000001</v>
      </c>
      <c r="I35" s="35">
        <f>I5/1000000</f>
        <v>164.01243500000001</v>
      </c>
      <c r="J35" s="35">
        <f>J5/1000000</f>
        <v>177.54789</v>
      </c>
      <c r="K35" s="35">
        <f>K5/1000000</f>
        <v>204.31659500000001</v>
      </c>
      <c r="L35" s="35">
        <f>L5/1000000</f>
        <v>209.55245500000001</v>
      </c>
      <c r="M35" s="35">
        <f>M5/1000000</f>
        <v>197.95375000000001</v>
      </c>
      <c r="N35" s="35">
        <f>N5/1000000</f>
        <v>190.24533500000001</v>
      </c>
      <c r="O35" s="35">
        <f>O5/1000000</f>
        <v>193.22456500000001</v>
      </c>
      <c r="P35" s="35">
        <f>P5/1000000</f>
        <v>205.87130999999999</v>
      </c>
      <c r="Q35" s="35">
        <f>Q5/1000000</f>
        <v>211.14906384</v>
      </c>
      <c r="R35" s="35">
        <f>R5/1000000</f>
        <v>216.21664137216001</v>
      </c>
      <c r="S35" s="35">
        <f>S5/1000000</f>
        <v>221.40584076509182</v>
      </c>
      <c r="T35" s="35">
        <f>T5/1000000</f>
        <v>226.71958094345405</v>
      </c>
      <c r="U35" s="35">
        <f>U5/1000000</f>
        <v>232.16085088609697</v>
      </c>
    </row>
    <row r="36" spans="5:22" x14ac:dyDescent="0.25">
      <c r="E36" s="8" t="s">
        <v>114</v>
      </c>
      <c r="F36" s="35">
        <f>SUM(F32:F35)</f>
        <v>472.41844507000008</v>
      </c>
      <c r="G36" s="35">
        <f t="shared" ref="G36:U36" si="27">SUM(G32:G35)</f>
        <v>423.12500561999997</v>
      </c>
      <c r="H36" s="35">
        <f t="shared" si="27"/>
        <v>457.44010819000005</v>
      </c>
      <c r="I36" s="35">
        <f t="shared" si="27"/>
        <v>544.11588739000001</v>
      </c>
      <c r="J36" s="35">
        <f t="shared" si="27"/>
        <v>583.33947323000007</v>
      </c>
      <c r="K36" s="35">
        <f t="shared" si="27"/>
        <v>656.81957637000005</v>
      </c>
      <c r="L36" s="35">
        <f t="shared" si="27"/>
        <v>709.77820842000006</v>
      </c>
      <c r="M36" s="35">
        <f t="shared" si="27"/>
        <v>759.16116031000001</v>
      </c>
      <c r="N36" s="35">
        <f t="shared" si="27"/>
        <v>718.82756603000007</v>
      </c>
      <c r="O36" s="35">
        <f t="shared" si="27"/>
        <v>799.79444577999993</v>
      </c>
      <c r="P36" s="35">
        <f t="shared" si="27"/>
        <v>958.18056640000009</v>
      </c>
      <c r="Q36" s="35">
        <f t="shared" si="27"/>
        <v>977.57987500400645</v>
      </c>
      <c r="R36" s="35">
        <f t="shared" si="27"/>
        <v>990.9053725361664</v>
      </c>
      <c r="S36" s="35">
        <f t="shared" si="27"/>
        <v>1004.5506820090984</v>
      </c>
      <c r="T36" s="35">
        <f t="shared" si="27"/>
        <v>1018.5234789093805</v>
      </c>
      <c r="U36" s="35">
        <f t="shared" si="27"/>
        <v>1032.8316229352695</v>
      </c>
      <c r="V36" s="7">
        <f>SUM(Q36:U36)/SUM(L36:P36)</f>
        <v>1.2733704076340915</v>
      </c>
    </row>
    <row r="37" spans="5:22" x14ac:dyDescent="0.25">
      <c r="E37" s="8" t="s">
        <v>113</v>
      </c>
      <c r="F37" s="35">
        <f>SUM(F32:F35)*$P$29/F29</f>
        <v>794.33191070874909</v>
      </c>
      <c r="G37" s="35">
        <f t="shared" ref="G37:U37" si="28">SUM(G32:G35)*$P$29/G29</f>
        <v>683.29520802037939</v>
      </c>
      <c r="H37" s="35">
        <f t="shared" si="28"/>
        <v>719.46197977092515</v>
      </c>
      <c r="I37" s="35">
        <f t="shared" si="28"/>
        <v>818.97945401430604</v>
      </c>
      <c r="J37" s="35">
        <f t="shared" si="28"/>
        <v>836.7793504570808</v>
      </c>
      <c r="K37" s="35">
        <f t="shared" si="28"/>
        <v>902.4058918396986</v>
      </c>
      <c r="L37" s="35">
        <f t="shared" si="28"/>
        <v>952.97133060045599</v>
      </c>
      <c r="M37" s="35">
        <f t="shared" si="28"/>
        <v>955.70567289293126</v>
      </c>
      <c r="N37" s="35">
        <f t="shared" si="28"/>
        <v>792.1183611442566</v>
      </c>
      <c r="O37" s="35">
        <f t="shared" si="28"/>
        <v>813.95102786474524</v>
      </c>
      <c r="P37" s="35">
        <f t="shared" si="28"/>
        <v>958.18056640000009</v>
      </c>
      <c r="Q37" s="35">
        <f t="shared" si="28"/>
        <v>954.66784668360003</v>
      </c>
      <c r="R37" s="35">
        <f t="shared" si="28"/>
        <v>945.00100377670913</v>
      </c>
      <c r="S37" s="35">
        <f t="shared" si="28"/>
        <v>935.56072750044837</v>
      </c>
      <c r="T37" s="35">
        <f t="shared" si="28"/>
        <v>926.34170769941227</v>
      </c>
      <c r="U37" s="35">
        <f t="shared" si="28"/>
        <v>917.33875867496317</v>
      </c>
      <c r="V37" s="7">
        <f>SUM(Q37:U37)/SUM(L37:P37)</f>
        <v>1.04605107289373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A210-1D9C-4779-9C5D-3718BD3FC8FE}">
  <dimension ref="A1:L139"/>
  <sheetViews>
    <sheetView topLeftCell="A18" workbookViewId="0">
      <selection activeCell="G5" sqref="G5"/>
    </sheetView>
  </sheetViews>
  <sheetFormatPr defaultRowHeight="15" x14ac:dyDescent="0.25"/>
  <cols>
    <col min="1" max="1" width="75" bestFit="1" customWidth="1"/>
    <col min="2" max="2" width="40.7109375" style="4" customWidth="1"/>
    <col min="3" max="3" width="18.140625" customWidth="1"/>
    <col min="5" max="5" width="21" bestFit="1" customWidth="1"/>
    <col min="6" max="6" width="18.85546875" bestFit="1" customWidth="1"/>
    <col min="7" max="7" width="35.5703125" customWidth="1"/>
    <col min="8" max="8" width="18" bestFit="1" customWidth="1"/>
    <col min="9" max="9" width="14.28515625" bestFit="1" customWidth="1"/>
    <col min="10" max="10" width="21" bestFit="1" customWidth="1"/>
    <col min="11" max="11" width="14.7109375" bestFit="1" customWidth="1"/>
    <col min="12" max="12" width="15.140625" customWidth="1"/>
  </cols>
  <sheetData>
    <row r="1" spans="1:12" x14ac:dyDescent="0.25">
      <c r="A1" s="15"/>
      <c r="B1" s="16" t="s">
        <v>18</v>
      </c>
      <c r="C1" t="s">
        <v>19</v>
      </c>
      <c r="E1" s="1" t="s">
        <v>0</v>
      </c>
      <c r="F1" t="s">
        <v>20</v>
      </c>
      <c r="G1" t="s">
        <v>21</v>
      </c>
    </row>
    <row r="2" spans="1:12" x14ac:dyDescent="0.25">
      <c r="A2" s="15" t="s">
        <v>22</v>
      </c>
      <c r="B2" s="16">
        <v>280850000</v>
      </c>
      <c r="C2" t="s">
        <v>5</v>
      </c>
      <c r="E2" s="3" t="s">
        <v>3</v>
      </c>
      <c r="F2">
        <v>19005795</v>
      </c>
      <c r="G2" s="4">
        <f>F2</f>
        <v>19005795</v>
      </c>
    </row>
    <row r="3" spans="1:12" x14ac:dyDescent="0.25">
      <c r="A3" s="15" t="s">
        <v>23</v>
      </c>
      <c r="B3" s="16">
        <v>25000000</v>
      </c>
      <c r="C3" s="28" t="s">
        <v>24</v>
      </c>
      <c r="E3" s="3" t="s">
        <v>2</v>
      </c>
      <c r="F3">
        <v>76694205</v>
      </c>
      <c r="G3" s="4">
        <f>B24*GETPIVOTDATA("FY25-29",$E$1,"Class","Works")</f>
        <v>163967615.0821189</v>
      </c>
    </row>
    <row r="4" spans="1:12" x14ac:dyDescent="0.25">
      <c r="A4" s="15" t="s">
        <v>25</v>
      </c>
      <c r="B4" s="16">
        <v>58000000</v>
      </c>
      <c r="C4" s="28" t="s">
        <v>24</v>
      </c>
      <c r="E4" s="3" t="s">
        <v>4</v>
      </c>
      <c r="F4">
        <v>826750000</v>
      </c>
      <c r="G4" s="4">
        <f>F4</f>
        <v>826750000</v>
      </c>
    </row>
    <row r="5" spans="1:12" x14ac:dyDescent="0.25">
      <c r="A5" s="15" t="s">
        <v>26</v>
      </c>
      <c r="B5" s="16">
        <v>148480970</v>
      </c>
      <c r="C5" t="s">
        <v>5</v>
      </c>
      <c r="E5" s="3" t="s">
        <v>5</v>
      </c>
      <c r="F5">
        <v>439330970</v>
      </c>
      <c r="G5" s="4">
        <f>F5+$B23*F7</f>
        <v>828754055.82003236</v>
      </c>
    </row>
    <row r="6" spans="1:12" x14ac:dyDescent="0.25">
      <c r="A6" s="15" t="s">
        <v>27</v>
      </c>
      <c r="B6" s="16">
        <v>19005795</v>
      </c>
      <c r="C6" t="s">
        <v>3</v>
      </c>
      <c r="E6" s="3" t="s">
        <v>24</v>
      </c>
      <c r="F6">
        <v>83000000</v>
      </c>
    </row>
    <row r="7" spans="1:12" x14ac:dyDescent="0.25">
      <c r="A7" s="15" t="s">
        <v>29</v>
      </c>
      <c r="B7" s="16">
        <v>25000000</v>
      </c>
      <c r="C7" t="s">
        <v>4</v>
      </c>
      <c r="E7" s="3" t="s">
        <v>28</v>
      </c>
      <c r="F7">
        <v>553775000</v>
      </c>
    </row>
    <row r="8" spans="1:12" x14ac:dyDescent="0.25">
      <c r="A8" s="15" t="s">
        <v>30</v>
      </c>
      <c r="B8" s="16">
        <v>552875000</v>
      </c>
      <c r="C8" t="s">
        <v>4</v>
      </c>
      <c r="E8" s="3" t="s">
        <v>1</v>
      </c>
      <c r="F8">
        <v>1998555970</v>
      </c>
    </row>
    <row r="9" spans="1:12" ht="15.75" customHeight="1" x14ac:dyDescent="0.25">
      <c r="A9" s="17" t="s">
        <v>31</v>
      </c>
      <c r="B9" s="16">
        <v>10000000</v>
      </c>
      <c r="C9" t="s">
        <v>5</v>
      </c>
    </row>
    <row r="10" spans="1:12" ht="21" x14ac:dyDescent="0.35">
      <c r="A10" s="15" t="s">
        <v>32</v>
      </c>
      <c r="B10" s="16">
        <v>118875000</v>
      </c>
      <c r="C10" s="28" t="s">
        <v>4</v>
      </c>
      <c r="E10" s="29" t="s">
        <v>33</v>
      </c>
      <c r="F10" s="30">
        <f>G5+F6</f>
        <v>911754055.82003236</v>
      </c>
    </row>
    <row r="11" spans="1:12" x14ac:dyDescent="0.25">
      <c r="A11" s="15" t="s">
        <v>34</v>
      </c>
      <c r="B11" s="16">
        <v>115000000</v>
      </c>
      <c r="C11" t="s">
        <v>4</v>
      </c>
      <c r="E11" t="s">
        <v>35</v>
      </c>
      <c r="F11" s="4">
        <f>G5</f>
        <v>828754055.82003236</v>
      </c>
    </row>
    <row r="12" spans="1:12" x14ac:dyDescent="0.25">
      <c r="A12" s="15" t="s">
        <v>36</v>
      </c>
      <c r="B12" s="16">
        <v>15000000</v>
      </c>
      <c r="C12" t="s">
        <v>4</v>
      </c>
      <c r="H12" t="s">
        <v>76</v>
      </c>
    </row>
    <row r="13" spans="1:12" x14ac:dyDescent="0.25">
      <c r="A13" s="15" t="s">
        <v>37</v>
      </c>
      <c r="B13" s="16">
        <v>39194205</v>
      </c>
      <c r="C13" s="28" t="s">
        <v>2</v>
      </c>
      <c r="I13" t="s">
        <v>39</v>
      </c>
      <c r="J13" t="s">
        <v>40</v>
      </c>
      <c r="K13" t="s">
        <v>41</v>
      </c>
      <c r="L13" t="s">
        <v>42</v>
      </c>
    </row>
    <row r="14" spans="1:12" x14ac:dyDescent="0.25">
      <c r="A14" s="15" t="s">
        <v>38</v>
      </c>
      <c r="B14" s="16">
        <v>12500000</v>
      </c>
      <c r="C14" s="28" t="s">
        <v>2</v>
      </c>
      <c r="H14" t="s">
        <v>44</v>
      </c>
      <c r="I14" s="5">
        <f>SUM(Summary!L2:P2)</f>
        <v>718914081.94000006</v>
      </c>
      <c r="J14" s="5">
        <v>800000000</v>
      </c>
      <c r="K14" s="5">
        <f>5*485000000</f>
        <v>2425000000</v>
      </c>
      <c r="L14" s="4">
        <f>SUM(I14:K14)</f>
        <v>3943914081.9400001</v>
      </c>
    </row>
    <row r="15" spans="1:12" x14ac:dyDescent="0.25">
      <c r="A15" s="15" t="s">
        <v>43</v>
      </c>
      <c r="B15" s="16">
        <v>553775000</v>
      </c>
      <c r="C15" t="s">
        <v>28</v>
      </c>
      <c r="H15" t="s">
        <v>18</v>
      </c>
      <c r="I15" s="5">
        <f>+F10</f>
        <v>911754055.82003236</v>
      </c>
      <c r="J15" s="5">
        <v>1200000000</v>
      </c>
      <c r="K15" s="5">
        <f>5*583000000</f>
        <v>2915000000</v>
      </c>
      <c r="L15" s="4">
        <f>SUM(I15:K15)</f>
        <v>5026754055.8200321</v>
      </c>
    </row>
    <row r="16" spans="1:12" x14ac:dyDescent="0.25">
      <c r="A16" s="15" t="s">
        <v>45</v>
      </c>
      <c r="B16" s="16">
        <v>15000000</v>
      </c>
      <c r="C16" t="s">
        <v>2</v>
      </c>
      <c r="I16" s="18">
        <f>I15/I14-1</f>
        <v>0.26823785863207861</v>
      </c>
      <c r="J16" s="18">
        <f>J15/J14-1</f>
        <v>0.5</v>
      </c>
      <c r="K16" s="18">
        <f>K15/K14-1</f>
        <v>0.20206185567010304</v>
      </c>
      <c r="L16" s="18">
        <f>L15/L14-1</f>
        <v>0.27455972705860421</v>
      </c>
    </row>
    <row r="17" spans="1:12" x14ac:dyDescent="0.25">
      <c r="A17" s="15" t="s">
        <v>46</v>
      </c>
      <c r="B17" s="16">
        <v>10000000</v>
      </c>
      <c r="C17" t="s">
        <v>2</v>
      </c>
    </row>
    <row r="18" spans="1:12" x14ac:dyDescent="0.25">
      <c r="A18" s="15"/>
      <c r="B18" s="16">
        <f>SUM(B2:B17)</f>
        <v>1998555970</v>
      </c>
      <c r="H18" t="s">
        <v>47</v>
      </c>
      <c r="I18" s="4">
        <f>I15/5</f>
        <v>182350811.16400647</v>
      </c>
      <c r="J18" s="4">
        <f>J15/5</f>
        <v>240000000</v>
      </c>
      <c r="K18" s="19">
        <v>549557060</v>
      </c>
      <c r="L18" s="4">
        <f>SUM(I18:K18)</f>
        <v>971907871.16400647</v>
      </c>
    </row>
    <row r="19" spans="1:12" x14ac:dyDescent="0.25">
      <c r="B19" s="4">
        <v>398743194</v>
      </c>
      <c r="L19">
        <f>L18/L14 * 5</f>
        <v>1.2321615671276589</v>
      </c>
    </row>
    <row r="20" spans="1:12" x14ac:dyDescent="0.25">
      <c r="A20" t="s">
        <v>48</v>
      </c>
      <c r="B20" s="7">
        <f>B19*5/B18</f>
        <v>0.9975782514612288</v>
      </c>
    </row>
    <row r="21" spans="1:12" x14ac:dyDescent="0.25">
      <c r="A21" s="28" t="s">
        <v>74</v>
      </c>
    </row>
    <row r="22" spans="1:12" x14ac:dyDescent="0.25">
      <c r="A22" t="s">
        <v>75</v>
      </c>
    </row>
    <row r="23" spans="1:12" x14ac:dyDescent="0.25">
      <c r="A23" t="s">
        <v>5</v>
      </c>
      <c r="B23" s="20">
        <v>0.70321535970390936</v>
      </c>
      <c r="C23">
        <f>B23*GETPIVOTDATA("FY25-29",$E$1,"Class","Works")/5</f>
        <v>77884617.164006487</v>
      </c>
    </row>
    <row r="24" spans="1:12" x14ac:dyDescent="0.25">
      <c r="A24" t="s">
        <v>2</v>
      </c>
      <c r="B24" s="20">
        <v>0.29609067777006709</v>
      </c>
    </row>
    <row r="26" spans="1:12" x14ac:dyDescent="0.25">
      <c r="A26" s="9" t="s">
        <v>68</v>
      </c>
      <c r="B26"/>
    </row>
    <row r="27" spans="1:12" x14ac:dyDescent="0.25">
      <c r="B27" t="s">
        <v>49</v>
      </c>
      <c r="C27" s="21" t="s">
        <v>50</v>
      </c>
    </row>
    <row r="28" spans="1:12" x14ac:dyDescent="0.25">
      <c r="A28" s="22" t="s">
        <v>51</v>
      </c>
      <c r="B28" s="6">
        <v>57150000</v>
      </c>
      <c r="C28" s="25">
        <f t="shared" ref="C28:C43" si="0">B2/5-B28</f>
        <v>-980000</v>
      </c>
    </row>
    <row r="29" spans="1:12" x14ac:dyDescent="0.25">
      <c r="A29" s="22" t="s">
        <v>52</v>
      </c>
      <c r="B29" s="6">
        <v>5000000</v>
      </c>
      <c r="C29" s="4">
        <f t="shared" si="0"/>
        <v>0</v>
      </c>
    </row>
    <row r="30" spans="1:12" x14ac:dyDescent="0.25">
      <c r="A30" s="22" t="s">
        <v>53</v>
      </c>
      <c r="B30" s="6">
        <v>11600000</v>
      </c>
      <c r="C30" s="4">
        <f t="shared" si="0"/>
        <v>0</v>
      </c>
      <c r="L30" s="4"/>
    </row>
    <row r="31" spans="1:12" x14ac:dyDescent="0.25">
      <c r="A31" s="22" t="s">
        <v>54</v>
      </c>
      <c r="B31" s="6">
        <v>28728194</v>
      </c>
      <c r="C31" s="25">
        <f t="shared" si="0"/>
        <v>968000</v>
      </c>
    </row>
    <row r="32" spans="1:12" x14ac:dyDescent="0.25">
      <c r="A32" s="22" t="s">
        <v>55</v>
      </c>
      <c r="B32" s="6">
        <v>3801159</v>
      </c>
      <c r="C32" s="4">
        <f t="shared" si="0"/>
        <v>0</v>
      </c>
    </row>
    <row r="33" spans="1:5" x14ac:dyDescent="0.25">
      <c r="A33" s="22" t="s">
        <v>56</v>
      </c>
      <c r="B33" s="6">
        <v>5000000</v>
      </c>
      <c r="C33" s="4">
        <f t="shared" si="0"/>
        <v>0</v>
      </c>
    </row>
    <row r="34" spans="1:5" x14ac:dyDescent="0.25">
      <c r="A34" s="22" t="s">
        <v>57</v>
      </c>
      <c r="B34" s="6">
        <v>110575000</v>
      </c>
      <c r="C34" s="4">
        <f t="shared" si="0"/>
        <v>0</v>
      </c>
    </row>
    <row r="35" spans="1:5" x14ac:dyDescent="0.25">
      <c r="A35" s="22" t="s">
        <v>58</v>
      </c>
      <c r="B35" s="6">
        <v>2000000</v>
      </c>
      <c r="C35" s="4">
        <f t="shared" si="0"/>
        <v>0</v>
      </c>
    </row>
    <row r="36" spans="1:5" x14ac:dyDescent="0.25">
      <c r="A36" s="23" t="s">
        <v>59</v>
      </c>
      <c r="B36" s="6">
        <v>15475000</v>
      </c>
      <c r="C36" s="24">
        <f t="shared" si="0"/>
        <v>8300000</v>
      </c>
    </row>
    <row r="37" spans="1:5" x14ac:dyDescent="0.25">
      <c r="A37" s="23" t="s">
        <v>60</v>
      </c>
      <c r="B37" s="6">
        <v>23000000</v>
      </c>
      <c r="C37" s="4">
        <f t="shared" si="0"/>
        <v>0</v>
      </c>
    </row>
    <row r="38" spans="1:5" x14ac:dyDescent="0.25">
      <c r="A38" s="23" t="s">
        <v>61</v>
      </c>
      <c r="B38" s="6">
        <v>3000000</v>
      </c>
      <c r="C38" s="4">
        <f t="shared" si="0"/>
        <v>0</v>
      </c>
    </row>
    <row r="39" spans="1:5" x14ac:dyDescent="0.25">
      <c r="A39" s="23" t="s">
        <v>62</v>
      </c>
      <c r="B39" s="6">
        <v>7838841</v>
      </c>
      <c r="C39" s="4">
        <f t="shared" si="0"/>
        <v>0</v>
      </c>
    </row>
    <row r="40" spans="1:5" x14ac:dyDescent="0.25">
      <c r="A40" s="23" t="s">
        <v>63</v>
      </c>
      <c r="B40" s="6">
        <v>2500000</v>
      </c>
      <c r="C40" s="4">
        <f t="shared" si="0"/>
        <v>0</v>
      </c>
    </row>
    <row r="41" spans="1:5" x14ac:dyDescent="0.25">
      <c r="A41" s="23" t="s">
        <v>64</v>
      </c>
      <c r="B41" s="6">
        <v>108075000</v>
      </c>
      <c r="C41" s="25">
        <f t="shared" si="0"/>
        <v>2680000</v>
      </c>
    </row>
    <row r="42" spans="1:5" x14ac:dyDescent="0.25">
      <c r="A42" s="23" t="s">
        <v>65</v>
      </c>
      <c r="B42" s="6">
        <v>5000000</v>
      </c>
      <c r="C42" s="24">
        <f t="shared" si="0"/>
        <v>-2000000</v>
      </c>
      <c r="D42" t="s">
        <v>69</v>
      </c>
    </row>
    <row r="43" spans="1:5" x14ac:dyDescent="0.25">
      <c r="A43" s="23" t="s">
        <v>66</v>
      </c>
      <c r="B43" s="6">
        <v>10000000</v>
      </c>
      <c r="C43" s="24">
        <f t="shared" si="0"/>
        <v>-8000000</v>
      </c>
      <c r="D43" t="s">
        <v>70</v>
      </c>
    </row>
    <row r="44" spans="1:5" x14ac:dyDescent="0.25">
      <c r="A44" s="6" t="s">
        <v>67</v>
      </c>
      <c r="B44" s="6">
        <f>SUM(B28:B43)</f>
        <v>398743194</v>
      </c>
    </row>
    <row r="45" spans="1:5" x14ac:dyDescent="0.25">
      <c r="A45" s="6"/>
      <c r="B45" s="22"/>
    </row>
    <row r="46" spans="1:5" x14ac:dyDescent="0.25">
      <c r="A46" s="26" t="s">
        <v>71</v>
      </c>
      <c r="B46"/>
    </row>
    <row r="47" spans="1:5" x14ac:dyDescent="0.25">
      <c r="A47" s="27" t="s">
        <v>72</v>
      </c>
      <c r="B47" s="22"/>
    </row>
    <row r="48" spans="1:5" x14ac:dyDescent="0.25">
      <c r="E48" s="6"/>
    </row>
    <row r="49" spans="5:6" x14ac:dyDescent="0.25">
      <c r="E49" s="6"/>
      <c r="F49" s="22"/>
    </row>
    <row r="50" spans="5:6" x14ac:dyDescent="0.25">
      <c r="E50" s="6"/>
    </row>
    <row r="51" spans="5:6" x14ac:dyDescent="0.25">
      <c r="E51" s="6"/>
      <c r="F51" s="22"/>
    </row>
    <row r="52" spans="5:6" x14ac:dyDescent="0.25">
      <c r="E52" s="6"/>
    </row>
    <row r="53" spans="5:6" x14ac:dyDescent="0.25">
      <c r="E53" s="6"/>
      <c r="F53" s="22"/>
    </row>
    <row r="54" spans="5:6" x14ac:dyDescent="0.25">
      <c r="E54" s="6"/>
    </row>
    <row r="55" spans="5:6" x14ac:dyDescent="0.25">
      <c r="E55" s="6"/>
      <c r="F55" s="22"/>
    </row>
    <row r="56" spans="5:6" x14ac:dyDescent="0.25">
      <c r="E56" s="6"/>
    </row>
    <row r="57" spans="5:6" x14ac:dyDescent="0.25">
      <c r="E57" s="6"/>
      <c r="F57" s="22"/>
    </row>
    <row r="58" spans="5:6" x14ac:dyDescent="0.25">
      <c r="E58" s="6"/>
    </row>
    <row r="59" spans="5:6" x14ac:dyDescent="0.25">
      <c r="E59" s="6"/>
      <c r="F59" s="6"/>
    </row>
    <row r="60" spans="5:6" x14ac:dyDescent="0.25">
      <c r="E60" s="6"/>
    </row>
    <row r="61" spans="5:6" x14ac:dyDescent="0.25">
      <c r="E61" s="6"/>
      <c r="F61" s="22"/>
    </row>
    <row r="62" spans="5:6" x14ac:dyDescent="0.25">
      <c r="E62" s="6"/>
    </row>
    <row r="63" spans="5:6" x14ac:dyDescent="0.25">
      <c r="E63" s="6"/>
      <c r="F63" s="22"/>
    </row>
    <row r="64" spans="5:6" x14ac:dyDescent="0.25">
      <c r="E64" s="6"/>
    </row>
    <row r="65" spans="5:6" x14ac:dyDescent="0.25">
      <c r="E65" s="6"/>
      <c r="F65" s="22"/>
    </row>
    <row r="66" spans="5:6" x14ac:dyDescent="0.25">
      <c r="E66" s="6"/>
    </row>
    <row r="67" spans="5:6" x14ac:dyDescent="0.25">
      <c r="E67" s="6"/>
      <c r="F67" s="22"/>
    </row>
    <row r="68" spans="5:6" x14ac:dyDescent="0.25">
      <c r="E68" s="6"/>
    </row>
    <row r="69" spans="5:6" x14ac:dyDescent="0.25">
      <c r="E69" s="6"/>
      <c r="F69" s="22"/>
    </row>
    <row r="70" spans="5:6" x14ac:dyDescent="0.25">
      <c r="E70" s="6"/>
    </row>
    <row r="71" spans="5:6" x14ac:dyDescent="0.25">
      <c r="E71" s="6"/>
      <c r="F71" s="22"/>
    </row>
    <row r="72" spans="5:6" x14ac:dyDescent="0.25">
      <c r="E72" s="6"/>
    </row>
    <row r="73" spans="5:6" x14ac:dyDescent="0.25">
      <c r="E73" s="6"/>
      <c r="F73" s="22"/>
    </row>
    <row r="74" spans="5:6" x14ac:dyDescent="0.25">
      <c r="E74" s="6"/>
    </row>
    <row r="75" spans="5:6" x14ac:dyDescent="0.25">
      <c r="E75" s="6"/>
      <c r="F75" s="22"/>
    </row>
    <row r="79" spans="5:6" x14ac:dyDescent="0.25">
      <c r="F79" s="6"/>
    </row>
    <row r="83" spans="6:6" x14ac:dyDescent="0.25">
      <c r="F83" s="6"/>
    </row>
    <row r="87" spans="6:6" x14ac:dyDescent="0.25">
      <c r="F87" s="6"/>
    </row>
    <row r="91" spans="6:6" x14ac:dyDescent="0.25">
      <c r="F91" s="6"/>
    </row>
    <row r="95" spans="6:6" x14ac:dyDescent="0.25">
      <c r="F95" s="6"/>
    </row>
    <row r="99" spans="6:6" x14ac:dyDescent="0.25">
      <c r="F99" s="6"/>
    </row>
    <row r="103" spans="6:6" x14ac:dyDescent="0.25">
      <c r="F103" s="6"/>
    </row>
    <row r="107" spans="6:6" x14ac:dyDescent="0.25">
      <c r="F107" s="6"/>
    </row>
    <row r="111" spans="6:6" x14ac:dyDescent="0.25">
      <c r="F111" s="6"/>
    </row>
    <row r="115" spans="6:6" x14ac:dyDescent="0.25">
      <c r="F115" s="6"/>
    </row>
    <row r="119" spans="6:6" x14ac:dyDescent="0.25">
      <c r="F119" s="6"/>
    </row>
    <row r="123" spans="6:6" x14ac:dyDescent="0.25">
      <c r="F123" s="6"/>
    </row>
    <row r="127" spans="6:6" x14ac:dyDescent="0.25">
      <c r="F127" s="6"/>
    </row>
    <row r="131" spans="6:6" x14ac:dyDescent="0.25">
      <c r="F131" s="6"/>
    </row>
    <row r="135" spans="6:6" x14ac:dyDescent="0.25">
      <c r="F135" s="6"/>
    </row>
    <row r="139" spans="6:6" x14ac:dyDescent="0.25">
      <c r="F139" s="6"/>
    </row>
  </sheetData>
  <hyperlinks>
    <hyperlink ref="A28" r:id="rId2" display="https://budget.digital.mass.gov/capital/fy25/beneficiary-agency/housing-and-livable-communities/housing-and-livable-communities/h002/" xr:uid="{02DD484F-F86F-486A-9C98-D9C204A45265}"/>
    <hyperlink ref="A29" r:id="rId3" display="https://budget.digital.mass.gov/capital/fy25/beneficiary-agency/housing-and-livable-communities/housing-and-livable-communities/h004/" xr:uid="{44CBB428-0C8C-4FC9-A60C-9257FBC8AB33}"/>
    <hyperlink ref="A30" r:id="rId4" display="https://budget.digital.mass.gov/capital/fy25/beneficiary-agency/housing-and-livable-communities/housing-and-livable-communities/h006/" xr:uid="{57D036A0-F4BC-4C32-867B-1E5EFF0623B5}"/>
    <hyperlink ref="A31" r:id="rId5" display="https://budget.digital.mass.gov/capital/fy25/beneficiary-agency/housing-and-livable-communities/housing-and-livable-communities/h008/" xr:uid="{5EB5FDDE-4EF0-4592-92AD-840F4F23071B}"/>
    <hyperlink ref="A32" r:id="rId6" display="https://budget.digital.mass.gov/capital/fy25/beneficiary-agency/housing-and-livable-communities/housing-and-livable-communities/h010/" xr:uid="{E712A942-E18A-40F6-9220-81055A21A3AA}"/>
    <hyperlink ref="A33" r:id="rId7" display="https://budget.digital.mass.gov/capital/fy25/beneficiary-agency/housing-and-livable-communities/housing-and-livable-communities/h011/" xr:uid="{4D82F239-0EB3-49B5-BB9C-5ADD51D1BA78}"/>
    <hyperlink ref="A34" r:id="rId8" display="https://budget.digital.mass.gov/capital/fy25/beneficiary-agency/housing-and-livable-communities/housing-and-livable-communities/h012/" xr:uid="{8DF9982D-37B3-4724-98BF-25D72F7A31D1}"/>
    <hyperlink ref="A35" r:id="rId9" display="https://budget.digital.mass.gov/capital/fy25/beneficiary-agency/housing-and-livable-communities/housing-and-livable-communities/h021/" xr:uid="{3C94BBC3-CC9A-4A18-B5F0-B0CF1416743C}"/>
    <hyperlink ref="A36" r:id="rId10" display="https://budget.digital.mass.gov/capital/fy25/beneficiary-agency/housing-and-livable-communities/housing-and-livable-communities/h024/" xr:uid="{E9B7577A-8525-4573-AB8E-8904ABE778D0}"/>
    <hyperlink ref="A37" r:id="rId11" display="https://budget.digital.mass.gov/capital/fy25/beneficiary-agency/housing-and-livable-communities/housing-and-livable-communities/h026/" xr:uid="{01E7E793-F7E2-46A4-A0F0-CB863B39ECE1}"/>
    <hyperlink ref="A38" r:id="rId12" display="https://budget.digital.mass.gov/capital/fy25/beneficiary-agency/housing-and-livable-communities/housing-and-livable-communities/h029/" xr:uid="{67E7DEAA-122E-400E-A5F3-524DDEDB1276}"/>
    <hyperlink ref="A39" r:id="rId13" display="https://budget.digital.mass.gov/capital/fy25/beneficiary-agency/housing-and-livable-communities/housing-and-livable-communities/h030/" xr:uid="{5C890FA7-17B3-4CEA-8360-EE4596441B30}"/>
    <hyperlink ref="A40" r:id="rId14" display="https://budget.digital.mass.gov/capital/fy25/beneficiary-agency/housing-and-livable-communities/housing-and-livable-communities/h031/" xr:uid="{AB237EF8-374B-4973-AC79-7C73AF1762C9}"/>
    <hyperlink ref="A41" r:id="rId15" display="https://budget.digital.mass.gov/capital/fy25/beneficiary-agency/housing-and-livable-communities/housing-and-livable-communities/h034/" xr:uid="{63182927-20FC-4FDF-A9F1-AB02EE4A54D5}"/>
    <hyperlink ref="A42" r:id="rId16" display="https://budget.digital.mass.gov/capital/fy25/beneficiary-agency/housing-and-livable-communities/housing-and-livable-communities/h037/" xr:uid="{0CBD03B9-3258-46A9-B637-B5575E730B39}"/>
    <hyperlink ref="A43" r:id="rId17" display="https://budget.digital.mass.gov/capital/fy25/beneficiary-agency/housing-and-livable-communities/housing-and-livable-communities/h038/" xr:uid="{A980D1F7-AD51-4A22-B877-7DC4147B3691}"/>
  </hyperlinks>
  <pageMargins left="0.7" right="0.7" top="0.75" bottom="0.75" header="0.3" footer="0.3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C384-55B7-49E9-96AE-A56CA065E198}">
  <dimension ref="A1:BN21"/>
  <sheetViews>
    <sheetView topLeftCell="A5" workbookViewId="0">
      <selection activeCell="C11" sqref="C11:D21"/>
    </sheetView>
  </sheetViews>
  <sheetFormatPr defaultRowHeight="15" x14ac:dyDescent="0.25"/>
  <cols>
    <col min="2" max="2" width="41.7109375" customWidth="1"/>
    <col min="3" max="3" width="11.42578125" customWidth="1"/>
  </cols>
  <sheetData>
    <row r="1" spans="1:66" ht="18.75" x14ac:dyDescent="0.3">
      <c r="A1" s="38" t="s">
        <v>77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66" ht="17.25" x14ac:dyDescent="0.3">
      <c r="A2" s="40" t="s">
        <v>78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66" x14ac:dyDescent="0.25">
      <c r="A3" s="39" t="s">
        <v>79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66" x14ac:dyDescent="0.25">
      <c r="A4" s="39" t="s">
        <v>80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spans="1:66" x14ac:dyDescent="0.25">
      <c r="A5" t="s">
        <v>105</v>
      </c>
    </row>
    <row r="6" spans="1:66" x14ac:dyDescent="0.25">
      <c r="A6" s="41" t="s">
        <v>81</v>
      </c>
      <c r="B6" s="41" t="s">
        <v>82</v>
      </c>
      <c r="C6" s="32" t="s">
        <v>83</v>
      </c>
      <c r="D6" s="32"/>
      <c r="E6" s="32"/>
      <c r="F6" s="32"/>
      <c r="G6" s="32" t="s">
        <v>84</v>
      </c>
      <c r="H6" s="32"/>
      <c r="I6" s="32"/>
      <c r="J6" s="32"/>
      <c r="K6" s="32" t="s">
        <v>85</v>
      </c>
      <c r="L6" s="32"/>
      <c r="M6" s="32"/>
      <c r="N6" s="32"/>
      <c r="O6" s="32" t="s">
        <v>86</v>
      </c>
      <c r="P6" s="32"/>
      <c r="Q6" s="32"/>
      <c r="R6" s="32"/>
      <c r="S6" s="32" t="s">
        <v>87</v>
      </c>
      <c r="T6" s="32"/>
      <c r="U6" s="32"/>
      <c r="V6" s="32"/>
      <c r="W6" s="32" t="s">
        <v>88</v>
      </c>
      <c r="X6" s="32"/>
      <c r="Y6" s="32"/>
      <c r="Z6" s="32"/>
      <c r="AA6" s="32" t="s">
        <v>89</v>
      </c>
      <c r="AB6" s="32"/>
      <c r="AC6" s="32"/>
      <c r="AD6" s="32"/>
      <c r="AE6" s="32" t="s">
        <v>90</v>
      </c>
      <c r="AF6" s="32"/>
      <c r="AG6" s="32"/>
      <c r="AH6" s="32"/>
      <c r="AI6" s="32" t="s">
        <v>91</v>
      </c>
      <c r="AJ6" s="32"/>
      <c r="AK6" s="32"/>
      <c r="AL6" s="32"/>
      <c r="AM6" s="32" t="s">
        <v>92</v>
      </c>
      <c r="AN6" s="32"/>
      <c r="AO6" s="32"/>
      <c r="AP6" s="32"/>
      <c r="AQ6" s="32" t="s">
        <v>93</v>
      </c>
      <c r="AR6" s="32"/>
      <c r="AS6" s="32"/>
      <c r="AT6" s="32"/>
      <c r="AU6" s="32" t="s">
        <v>94</v>
      </c>
      <c r="AV6" s="32"/>
      <c r="AW6" s="32"/>
      <c r="AX6" s="32"/>
      <c r="AY6" s="32" t="s">
        <v>95</v>
      </c>
      <c r="AZ6" s="32"/>
      <c r="BA6" s="32"/>
      <c r="BB6" s="32"/>
      <c r="BC6" s="32" t="s">
        <v>96</v>
      </c>
      <c r="BD6" s="32"/>
      <c r="BE6" s="32"/>
      <c r="BF6" s="32"/>
      <c r="BG6" s="32" t="s">
        <v>97</v>
      </c>
      <c r="BH6" s="32"/>
      <c r="BI6" s="32"/>
      <c r="BJ6" s="32"/>
      <c r="BK6" s="32" t="s">
        <v>98</v>
      </c>
      <c r="BL6" s="32"/>
    </row>
    <row r="7" spans="1:66" x14ac:dyDescent="0.25">
      <c r="A7" s="41"/>
      <c r="B7" s="41"/>
      <c r="C7" s="32" t="str">
        <f>CONCATENATE(C6,":",C8)</f>
        <v>2009:Q1</v>
      </c>
      <c r="D7" s="32" t="str">
        <f>CONCATENATE(C6,":",D8)</f>
        <v>2009:Q2</v>
      </c>
      <c r="E7" s="32" t="str">
        <f>CONCATENATE(C6,":",E8)</f>
        <v>2009:Q3</v>
      </c>
      <c r="F7" s="32" t="str">
        <f>CONCATENATE(C6,":",F8)</f>
        <v>2009:Q4</v>
      </c>
      <c r="G7" s="32" t="str">
        <f>CONCATENATE(G6,":",G8)</f>
        <v>2010:Q1</v>
      </c>
      <c r="H7" s="32" t="str">
        <f>CONCATENATE(G6,":",H8)</f>
        <v>2010:Q2</v>
      </c>
      <c r="I7" s="32" t="str">
        <f>CONCATENATE(G6,":",I8)</f>
        <v>2010:Q3</v>
      </c>
      <c r="J7" s="32" t="str">
        <f>CONCATENATE(G6,":",J8)</f>
        <v>2010:Q4</v>
      </c>
      <c r="K7" s="32" t="str">
        <f>CONCATENATE(K6,":",K8)</f>
        <v>2011:Q1</v>
      </c>
      <c r="L7" s="32" t="str">
        <f>CONCATENATE(K6,":",L8)</f>
        <v>2011:Q2</v>
      </c>
      <c r="M7" s="32" t="str">
        <f>CONCATENATE(K6,":",M8)</f>
        <v>2011:Q3</v>
      </c>
      <c r="N7" s="32" t="str">
        <f>CONCATENATE(K6,":",N8)</f>
        <v>2011:Q4</v>
      </c>
      <c r="O7" s="32" t="str">
        <f>CONCATENATE(O6,":",O8)</f>
        <v>2012:Q1</v>
      </c>
      <c r="P7" s="32" t="str">
        <f>CONCATENATE(O6,":",P8)</f>
        <v>2012:Q2</v>
      </c>
      <c r="Q7" s="32" t="str">
        <f>CONCATENATE(O6,":",Q8)</f>
        <v>2012:Q3</v>
      </c>
      <c r="R7" s="32" t="str">
        <f>CONCATENATE(O6,":",R8)</f>
        <v>2012:Q4</v>
      </c>
      <c r="S7" s="32" t="str">
        <f>CONCATENATE(S6,":",S8)</f>
        <v>2013:Q1</v>
      </c>
      <c r="T7" s="32" t="str">
        <f>CONCATENATE(S6,":",T8)</f>
        <v>2013:Q2</v>
      </c>
      <c r="U7" s="32" t="str">
        <f>CONCATENATE(S6,":",U8)</f>
        <v>2013:Q3</v>
      </c>
      <c r="V7" s="32" t="str">
        <f>CONCATENATE(S6,":",V8)</f>
        <v>2013:Q4</v>
      </c>
      <c r="W7" s="32" t="str">
        <f>CONCATENATE(W6,":",W8)</f>
        <v>2014:Q1</v>
      </c>
      <c r="X7" s="32" t="str">
        <f>CONCATENATE(W6,":",X8)</f>
        <v>2014:Q2</v>
      </c>
      <c r="Y7" s="32" t="str">
        <f>CONCATENATE(W6,":",Y8)</f>
        <v>2014:Q3</v>
      </c>
      <c r="Z7" s="32" t="str">
        <f>CONCATENATE(W6,":",Z8)</f>
        <v>2014:Q4</v>
      </c>
      <c r="AA7" s="32" t="str">
        <f>CONCATENATE(AA6,":",AA8)</f>
        <v>2015:Q1</v>
      </c>
      <c r="AB7" s="32" t="str">
        <f>CONCATENATE(AA6,":",AB8)</f>
        <v>2015:Q2</v>
      </c>
      <c r="AC7" s="32" t="str">
        <f>CONCATENATE(AA6,":",AC8)</f>
        <v>2015:Q3</v>
      </c>
      <c r="AD7" s="32" t="str">
        <f>CONCATENATE(AA6,":",AD8)</f>
        <v>2015:Q4</v>
      </c>
      <c r="AE7" s="32" t="str">
        <f>CONCATENATE(AE6,":",AE8)</f>
        <v>2016:Q1</v>
      </c>
      <c r="AF7" s="32" t="str">
        <f>CONCATENATE(AE6,":",AF8)</f>
        <v>2016:Q2</v>
      </c>
      <c r="AG7" s="32" t="str">
        <f>CONCATENATE(AE6,":",AG8)</f>
        <v>2016:Q3</v>
      </c>
      <c r="AH7" s="32" t="str">
        <f>CONCATENATE(AE6,":",AH8)</f>
        <v>2016:Q4</v>
      </c>
      <c r="AI7" s="32" t="str">
        <f>CONCATENATE(AI6,":",AI8)</f>
        <v>2017:Q1</v>
      </c>
      <c r="AJ7" s="32" t="str">
        <f>CONCATENATE(AI6,":",AJ8)</f>
        <v>2017:Q2</v>
      </c>
      <c r="AK7" s="32" t="str">
        <f>CONCATENATE(AI6,":",AK8)</f>
        <v>2017:Q3</v>
      </c>
      <c r="AL7" s="32" t="str">
        <f>CONCATENATE(AI6,":",AL8)</f>
        <v>2017:Q4</v>
      </c>
      <c r="AM7" s="32" t="str">
        <f>CONCATENATE(AM6,":",AM8)</f>
        <v>2018:Q1</v>
      </c>
      <c r="AN7" s="32" t="str">
        <f>CONCATENATE(AM6,":",AN8)</f>
        <v>2018:Q2</v>
      </c>
      <c r="AO7" s="32" t="str">
        <f>CONCATENATE(AM6,":",AO8)</f>
        <v>2018:Q3</v>
      </c>
      <c r="AP7" s="32" t="str">
        <f>CONCATENATE(AM6,":",AP8)</f>
        <v>2018:Q4</v>
      </c>
      <c r="AQ7" s="32" t="str">
        <f>CONCATENATE(AQ6,":",AQ8)</f>
        <v>2019:Q1</v>
      </c>
      <c r="AR7" s="32" t="str">
        <f>CONCATENATE(AQ6,":",AR8)</f>
        <v>2019:Q2</v>
      </c>
      <c r="AS7" s="32" t="str">
        <f>CONCATENATE(AQ6,":",AS8)</f>
        <v>2019:Q3</v>
      </c>
      <c r="AT7" s="32" t="str">
        <f>CONCATENATE(AQ6,":",AT8)</f>
        <v>2019:Q4</v>
      </c>
      <c r="AU7" s="32" t="str">
        <f>CONCATENATE(AU6,":",AU8)</f>
        <v>2020:Q1</v>
      </c>
      <c r="AV7" s="32" t="str">
        <f>CONCATENATE(AU6,":",AV8)</f>
        <v>2020:Q2</v>
      </c>
      <c r="AW7" s="32" t="str">
        <f>CONCATENATE(AU6,":",AW8)</f>
        <v>2020:Q3</v>
      </c>
      <c r="AX7" s="32" t="str">
        <f>CONCATENATE(AU6,":",AX8)</f>
        <v>2020:Q4</v>
      </c>
      <c r="AY7" s="32" t="str">
        <f>CONCATENATE(AY6,":",AY8)</f>
        <v>2021:Q1</v>
      </c>
      <c r="AZ7" s="32" t="str">
        <f>CONCATENATE(AY6,":",AZ8)</f>
        <v>2021:Q2</v>
      </c>
      <c r="BA7" s="32" t="str">
        <f>CONCATENATE(AY6,":",BA8)</f>
        <v>2021:Q3</v>
      </c>
      <c r="BB7" s="32" t="str">
        <f>CONCATENATE(AY6,":",BB8)</f>
        <v>2021:Q4</v>
      </c>
      <c r="BC7" s="32" t="str">
        <f>CONCATENATE(BC6,":",BC8)</f>
        <v>2022:Q1</v>
      </c>
      <c r="BD7" s="32" t="str">
        <f>CONCATENATE(BC6,":",BD8)</f>
        <v>2022:Q2</v>
      </c>
      <c r="BE7" s="32" t="str">
        <f>CONCATENATE(BC6,":",BE8)</f>
        <v>2022:Q3</v>
      </c>
      <c r="BF7" s="32" t="str">
        <f>CONCATENATE(BC6,":",BF8)</f>
        <v>2022:Q4</v>
      </c>
      <c r="BG7" s="32" t="str">
        <f>CONCATENATE(BG6,":",BG8)</f>
        <v>2023:Q1</v>
      </c>
      <c r="BH7" s="32" t="str">
        <f>CONCATENATE(BG6,":",BH8)</f>
        <v>2023:Q2</v>
      </c>
      <c r="BI7" s="32" t="str">
        <f>CONCATENATE(BG6,":",BI8)</f>
        <v>2023:Q3</v>
      </c>
      <c r="BJ7" s="32" t="str">
        <f>CONCATENATE(BG6,":",BJ8)</f>
        <v>2023:Q4</v>
      </c>
      <c r="BK7" s="32" t="str">
        <f>CONCATENATE(BK6,":",BK8)</f>
        <v>2024:Q1</v>
      </c>
      <c r="BL7" s="32" t="str">
        <f>CONCATENATE(BK6,":",BL8)</f>
        <v>2024:Q2</v>
      </c>
      <c r="BM7" s="32"/>
      <c r="BN7" s="32"/>
    </row>
    <row r="8" spans="1:66" x14ac:dyDescent="0.25">
      <c r="A8" s="41"/>
      <c r="B8" s="41"/>
      <c r="C8" s="32" t="s">
        <v>99</v>
      </c>
      <c r="D8" s="32" t="s">
        <v>100</v>
      </c>
      <c r="E8" s="32" t="s">
        <v>101</v>
      </c>
      <c r="F8" s="32" t="s">
        <v>102</v>
      </c>
      <c r="G8" s="32" t="s">
        <v>99</v>
      </c>
      <c r="H8" s="32" t="s">
        <v>100</v>
      </c>
      <c r="I8" s="32" t="s">
        <v>101</v>
      </c>
      <c r="J8" s="32" t="s">
        <v>102</v>
      </c>
      <c r="K8" s="32" t="s">
        <v>99</v>
      </c>
      <c r="L8" s="32" t="s">
        <v>100</v>
      </c>
      <c r="M8" s="32" t="s">
        <v>101</v>
      </c>
      <c r="N8" s="32" t="s">
        <v>102</v>
      </c>
      <c r="O8" s="32" t="s">
        <v>99</v>
      </c>
      <c r="P8" s="32" t="s">
        <v>100</v>
      </c>
      <c r="Q8" s="32" t="s">
        <v>101</v>
      </c>
      <c r="R8" s="32" t="s">
        <v>102</v>
      </c>
      <c r="S8" s="32" t="s">
        <v>99</v>
      </c>
      <c r="T8" s="32" t="s">
        <v>100</v>
      </c>
      <c r="U8" s="32" t="s">
        <v>101</v>
      </c>
      <c r="V8" s="32" t="s">
        <v>102</v>
      </c>
      <c r="W8" s="32" t="s">
        <v>99</v>
      </c>
      <c r="X8" s="32" t="s">
        <v>100</v>
      </c>
      <c r="Y8" s="32" t="s">
        <v>101</v>
      </c>
      <c r="Z8" s="32" t="s">
        <v>102</v>
      </c>
      <c r="AA8" s="32" t="s">
        <v>99</v>
      </c>
      <c r="AB8" s="32" t="s">
        <v>100</v>
      </c>
      <c r="AC8" s="32" t="s">
        <v>101</v>
      </c>
      <c r="AD8" s="32" t="s">
        <v>102</v>
      </c>
      <c r="AE8" s="32" t="s">
        <v>99</v>
      </c>
      <c r="AF8" s="32" t="s">
        <v>100</v>
      </c>
      <c r="AG8" s="32" t="s">
        <v>101</v>
      </c>
      <c r="AH8" s="32" t="s">
        <v>102</v>
      </c>
      <c r="AI8" s="32" t="s">
        <v>99</v>
      </c>
      <c r="AJ8" s="32" t="s">
        <v>100</v>
      </c>
      <c r="AK8" s="32" t="s">
        <v>101</v>
      </c>
      <c r="AL8" s="32" t="s">
        <v>102</v>
      </c>
      <c r="AM8" s="32" t="s">
        <v>99</v>
      </c>
      <c r="AN8" s="32" t="s">
        <v>100</v>
      </c>
      <c r="AO8" s="32" t="s">
        <v>101</v>
      </c>
      <c r="AP8" s="32" t="s">
        <v>102</v>
      </c>
      <c r="AQ8" s="32" t="s">
        <v>99</v>
      </c>
      <c r="AR8" s="32" t="s">
        <v>100</v>
      </c>
      <c r="AS8" s="32" t="s">
        <v>101</v>
      </c>
      <c r="AT8" s="32" t="s">
        <v>102</v>
      </c>
      <c r="AU8" s="32" t="s">
        <v>99</v>
      </c>
      <c r="AV8" s="32" t="s">
        <v>100</v>
      </c>
      <c r="AW8" s="32" t="s">
        <v>101</v>
      </c>
      <c r="AX8" s="32" t="s">
        <v>102</v>
      </c>
      <c r="AY8" s="32" t="s">
        <v>99</v>
      </c>
      <c r="AZ8" s="32" t="s">
        <v>100</v>
      </c>
      <c r="BA8" s="32" t="s">
        <v>101</v>
      </c>
      <c r="BB8" s="32" t="s">
        <v>102</v>
      </c>
      <c r="BC8" s="32" t="s">
        <v>99</v>
      </c>
      <c r="BD8" s="32" t="s">
        <v>100</v>
      </c>
      <c r="BE8" s="32" t="s">
        <v>101</v>
      </c>
      <c r="BF8" s="32" t="s">
        <v>102</v>
      </c>
      <c r="BG8" s="32" t="s">
        <v>99</v>
      </c>
      <c r="BH8" s="32" t="s">
        <v>100</v>
      </c>
      <c r="BI8" s="32" t="s">
        <v>101</v>
      </c>
      <c r="BJ8" s="32" t="s">
        <v>102</v>
      </c>
      <c r="BK8" s="32" t="s">
        <v>99</v>
      </c>
      <c r="BL8" s="32" t="s">
        <v>100</v>
      </c>
    </row>
    <row r="9" spans="1:66" x14ac:dyDescent="0.25">
      <c r="A9" s="31" t="s">
        <v>103</v>
      </c>
      <c r="B9" s="31" t="s">
        <v>104</v>
      </c>
      <c r="C9" s="31">
        <v>80.837999999999994</v>
      </c>
      <c r="D9" s="31">
        <v>79.790000000000006</v>
      </c>
      <c r="E9" s="31">
        <v>79.239000000000004</v>
      </c>
      <c r="F9" s="31">
        <v>79.828999999999994</v>
      </c>
      <c r="G9" s="31">
        <v>79.953000000000003</v>
      </c>
      <c r="H9" s="31">
        <v>79.39</v>
      </c>
      <c r="I9" s="31">
        <v>79.393000000000001</v>
      </c>
      <c r="J9" s="31">
        <v>79.843000000000004</v>
      </c>
      <c r="K9" s="31">
        <v>80.001000000000005</v>
      </c>
      <c r="L9" s="31">
        <v>80.290000000000006</v>
      </c>
      <c r="M9" s="31">
        <v>80.305999999999997</v>
      </c>
      <c r="N9" s="31">
        <v>80.338999999999999</v>
      </c>
      <c r="O9" s="31">
        <v>80.2</v>
      </c>
      <c r="P9" s="31">
        <v>80.513000000000005</v>
      </c>
      <c r="Q9" s="31">
        <v>81.201999999999998</v>
      </c>
      <c r="R9" s="31">
        <v>82.019000000000005</v>
      </c>
      <c r="S9" s="31">
        <v>83.292000000000002</v>
      </c>
      <c r="T9" s="31">
        <v>84.393000000000001</v>
      </c>
      <c r="U9" s="31">
        <v>85.501000000000005</v>
      </c>
      <c r="V9" s="31">
        <v>87.122</v>
      </c>
      <c r="W9" s="31">
        <v>88.971000000000004</v>
      </c>
      <c r="X9" s="31">
        <v>89.18</v>
      </c>
      <c r="Y9" s="31">
        <v>90.763999999999996</v>
      </c>
      <c r="Z9" s="31">
        <v>90.936999999999998</v>
      </c>
      <c r="AA9" s="31">
        <v>91.531999999999996</v>
      </c>
      <c r="AB9" s="31">
        <v>91.994</v>
      </c>
      <c r="AC9" s="31">
        <v>92.813000000000002</v>
      </c>
      <c r="AD9" s="31">
        <v>93.396000000000001</v>
      </c>
      <c r="AE9" s="31">
        <v>93.792000000000002</v>
      </c>
      <c r="AF9" s="31">
        <v>94.997</v>
      </c>
      <c r="AG9" s="31">
        <v>96.378</v>
      </c>
      <c r="AH9" s="31">
        <v>97.603999999999999</v>
      </c>
      <c r="AI9" s="31">
        <v>98.328000000000003</v>
      </c>
      <c r="AJ9" s="31">
        <v>99.540999999999997</v>
      </c>
      <c r="AK9" s="31">
        <v>100.66200000000001</v>
      </c>
      <c r="AL9" s="31">
        <v>101.429</v>
      </c>
      <c r="AM9" s="31">
        <v>103.643</v>
      </c>
      <c r="AN9" s="31">
        <v>105.428</v>
      </c>
      <c r="AO9" s="31">
        <v>106.44199999999999</v>
      </c>
      <c r="AP9" s="31">
        <v>107.08199999999999</v>
      </c>
      <c r="AQ9" s="31">
        <v>107.687</v>
      </c>
      <c r="AR9" s="31">
        <v>108.075</v>
      </c>
      <c r="AS9" s="31">
        <v>108.917</v>
      </c>
      <c r="AT9" s="31">
        <v>109.682</v>
      </c>
      <c r="AU9" s="31">
        <v>110.26900000000001</v>
      </c>
      <c r="AV9" s="31">
        <v>110.416</v>
      </c>
      <c r="AW9" s="31">
        <v>112.943</v>
      </c>
      <c r="AX9" s="31">
        <v>114.90300000000001</v>
      </c>
      <c r="AY9" s="31">
        <v>118.21599999999999</v>
      </c>
      <c r="AZ9" s="31">
        <v>122.441</v>
      </c>
      <c r="BA9" s="31">
        <v>126.875</v>
      </c>
      <c r="BB9" s="31">
        <v>130.73099999999999</v>
      </c>
      <c r="BC9" s="31">
        <v>136.369</v>
      </c>
      <c r="BD9" s="31">
        <v>141.251</v>
      </c>
      <c r="BE9" s="31">
        <v>144.209</v>
      </c>
      <c r="BF9" s="31">
        <v>146.08199999999999</v>
      </c>
      <c r="BG9" s="31">
        <v>144.88999999999999</v>
      </c>
      <c r="BH9" s="31">
        <v>144.358</v>
      </c>
      <c r="BI9" s="31">
        <v>146.03100000000001</v>
      </c>
      <c r="BJ9" s="31">
        <v>147.60499999999999</v>
      </c>
      <c r="BK9" s="31">
        <v>147.44300000000001</v>
      </c>
      <c r="BL9" s="31">
        <v>148.71799999999999</v>
      </c>
    </row>
    <row r="10" spans="1:66" x14ac:dyDescent="0.25">
      <c r="C10" s="9" t="s">
        <v>106</v>
      </c>
    </row>
    <row r="11" spans="1:66" x14ac:dyDescent="0.25">
      <c r="C11" s="32" t="s">
        <v>88</v>
      </c>
      <c r="D11">
        <v>87.6935</v>
      </c>
    </row>
    <row r="12" spans="1:66" x14ac:dyDescent="0.25">
      <c r="C12" s="32" t="s">
        <v>89</v>
      </c>
      <c r="D12">
        <v>91.306749999999994</v>
      </c>
    </row>
    <row r="13" spans="1:66" x14ac:dyDescent="0.25">
      <c r="C13" s="32" t="s">
        <v>90</v>
      </c>
      <c r="D13">
        <v>93.749499999999998</v>
      </c>
    </row>
    <row r="14" spans="1:66" x14ac:dyDescent="0.25">
      <c r="C14" s="32" t="s">
        <v>91</v>
      </c>
      <c r="D14">
        <v>97.96275</v>
      </c>
    </row>
    <row r="15" spans="1:66" x14ac:dyDescent="0.25">
      <c r="C15" s="32" t="s">
        <v>92</v>
      </c>
      <c r="D15">
        <v>102.79050000000001</v>
      </c>
    </row>
    <row r="16" spans="1:66" x14ac:dyDescent="0.25">
      <c r="C16" s="32" t="s">
        <v>93</v>
      </c>
      <c r="D16">
        <v>107.3215</v>
      </c>
    </row>
    <row r="17" spans="3:4" x14ac:dyDescent="0.25">
      <c r="C17" s="32" t="s">
        <v>94</v>
      </c>
      <c r="D17">
        <v>109.821</v>
      </c>
    </row>
    <row r="18" spans="3:4" x14ac:dyDescent="0.25">
      <c r="C18" s="32" t="s">
        <v>95</v>
      </c>
      <c r="D18">
        <v>117.12575000000001</v>
      </c>
    </row>
    <row r="19" spans="3:4" x14ac:dyDescent="0.25">
      <c r="C19" s="32" t="s">
        <v>96</v>
      </c>
      <c r="D19">
        <v>133.8065</v>
      </c>
    </row>
    <row r="20" spans="3:4" x14ac:dyDescent="0.25">
      <c r="C20" s="32" t="s">
        <v>97</v>
      </c>
      <c r="D20">
        <v>144.88475</v>
      </c>
    </row>
    <row r="21" spans="3:4" x14ac:dyDescent="0.25">
      <c r="C21" s="32" t="s">
        <v>98</v>
      </c>
      <c r="D21">
        <v>147.44924999999998</v>
      </c>
    </row>
  </sheetData>
  <sortState xmlns:xlrd2="http://schemas.microsoft.com/office/spreadsheetml/2017/richdata2" ref="F10:H64">
    <sortCondition ref="F10:F64"/>
  </sortState>
  <mergeCells count="6">
    <mergeCell ref="A1:BL1"/>
    <mergeCell ref="A2:BL2"/>
    <mergeCell ref="A3:BL3"/>
    <mergeCell ref="A4:BL4"/>
    <mergeCell ref="A6:A8"/>
    <mergeCell ref="B6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07935E43F4149BD27F899D609E5A1" ma:contentTypeVersion="16" ma:contentTypeDescription="Create a new document." ma:contentTypeScope="" ma:versionID="0d98a4a85856e805976a4336218c1f78">
  <xsd:schema xmlns:xsd="http://www.w3.org/2001/XMLSchema" xmlns:xs="http://www.w3.org/2001/XMLSchema" xmlns:p="http://schemas.microsoft.com/office/2006/metadata/properties" xmlns:ns3="e857edc0-520f-4533-8f0e-2471aabd30f4" xmlns:ns4="f3cc449e-d972-460a-b378-179ab45bd9c2" targetNamespace="http://schemas.microsoft.com/office/2006/metadata/properties" ma:root="true" ma:fieldsID="8948dc48abf2f2e76ab2f8f3f3c371d4" ns3:_="" ns4:_="">
    <xsd:import namespace="e857edc0-520f-4533-8f0e-2471aabd30f4"/>
    <xsd:import namespace="f3cc449e-d972-460a-b378-179ab45b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7edc0-520f-4533-8f0e-2471aabd3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c449e-d972-460a-b378-179ab45b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57edc0-520f-4533-8f0e-2471aabd30f4" xsi:nil="true"/>
  </documentManagement>
</p:properties>
</file>

<file path=customXml/itemProps1.xml><?xml version="1.0" encoding="utf-8"?>
<ds:datastoreItem xmlns:ds="http://schemas.openxmlformats.org/officeDocument/2006/customXml" ds:itemID="{98026DF7-56AE-4C83-89C1-282D739884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26FBBA-8BA7-4E14-AAEA-F3F2AB781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7edc0-520f-4533-8f0e-2471aabd30f4"/>
    <ds:schemaRef ds:uri="f3cc449e-d972-460a-b378-179ab45b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9D227-B267-4BA3-9B77-67437C9AD9C3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e857edc0-520f-4533-8f0e-2471aabd30f4"/>
    <ds:schemaRef ds:uri="f3cc449e-d972-460a-b378-179ab45bd9c2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Capital Plan</vt:lpstr>
      <vt:lpstr>Cost Deflator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Brownsberger</dc:creator>
  <cp:lastModifiedBy>Brownsberger, William (SEN)</cp:lastModifiedBy>
  <dcterms:created xsi:type="dcterms:W3CDTF">2024-08-23T20:44:02Z</dcterms:created>
  <dcterms:modified xsi:type="dcterms:W3CDTF">2024-10-21T23:21:43Z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df8b6cb5-5b8c-4f91-8e35-79ac298e1aa3</vt:lpwstr>
  </property>
  <property fmtid="{D5CDD505-2E9C-101B-9397-08002B2CF9AE}" pid="3" name="ContentTypeId">
    <vt:lpwstr>0x010100FD407935E43F4149BD27F899D609E5A1</vt:lpwstr>
  </property>
</Properties>
</file>