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alegislature-my.sharepoint.com/personal/william_brownsberger_masenate_gov/Documents/Heat Pumps/"/>
    </mc:Choice>
  </mc:AlternateContent>
  <xr:revisionPtr revIDLastSave="0" documentId="8_{B7C8659E-0C2A-42F3-A74F-502ECF4BDEF5}" xr6:coauthVersionLast="47" xr6:coauthVersionMax="47" xr10:uidLastSave="{00000000-0000-0000-0000-000000000000}"/>
  <bookViews>
    <workbookView xWindow="43380" yWindow="180" windowWidth="34020" windowHeight="20235" activeTab="1" xr2:uid="{1902DEAE-CA68-4058-BAE5-CBABC360129C}"/>
  </bookViews>
  <sheets>
    <sheet name="Consolidating Estimates" sheetId="10" r:id="rId1"/>
    <sheet name="Flow vs Watts" sheetId="1" r:id="rId2"/>
    <sheet name="Balometer wrinkles" sheetId="2" r:id="rId3"/>
    <sheet name="Traverse West" sheetId="3" r:id="rId4"/>
    <sheet name="Traverse East" sheetId="6" r:id="rId5"/>
    <sheet name="Log Data" sheetId="9" r:id="rId6"/>
    <sheet name="ERV On off" sheetId="8" r:id="rId7"/>
    <sheet name="Supply Duct Pressure" sheetId="4" r:id="rId8"/>
    <sheet name="Compare pointwise" sheetId="11" r:id="rId9"/>
    <sheet name="Daikin Manual" sheetId="5" r:id="rId10"/>
    <sheet name="Fan and motor efficiency" sheetId="12"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F16" i="1"/>
  <c r="F15" i="1"/>
  <c r="E15" i="1"/>
  <c r="E16" i="1"/>
  <c r="E17" i="1"/>
  <c r="J3" i="12"/>
  <c r="I3" i="12"/>
  <c r="H3" i="12"/>
  <c r="F27" i="12"/>
  <c r="F25" i="12"/>
  <c r="E24" i="12"/>
  <c r="F24" i="12" s="1"/>
  <c r="F23" i="12"/>
  <c r="B7" i="12"/>
  <c r="B8" i="12"/>
  <c r="B9" i="12"/>
  <c r="N10" i="12"/>
  <c r="B11" i="12"/>
  <c r="H22" i="11"/>
  <c r="R22" i="11"/>
  <c r="Q22" i="11"/>
  <c r="P14" i="11"/>
  <c r="O14" i="11"/>
  <c r="N14" i="11"/>
  <c r="M14" i="11"/>
  <c r="L14" i="11"/>
  <c r="P13" i="11"/>
  <c r="O13" i="11"/>
  <c r="N13" i="11"/>
  <c r="M13" i="11"/>
  <c r="L13" i="11"/>
  <c r="P12" i="11"/>
  <c r="O12" i="11"/>
  <c r="N12" i="11"/>
  <c r="M12" i="11"/>
  <c r="L12" i="11"/>
  <c r="P11" i="11"/>
  <c r="O11" i="11"/>
  <c r="N11" i="11"/>
  <c r="M11" i="11"/>
  <c r="L11" i="11"/>
  <c r="P10" i="11"/>
  <c r="O10" i="11"/>
  <c r="N10" i="11"/>
  <c r="M10" i="11"/>
  <c r="L10" i="11"/>
  <c r="G22" i="11"/>
  <c r="F14" i="11"/>
  <c r="E14" i="11"/>
  <c r="D14" i="11"/>
  <c r="C14" i="11"/>
  <c r="B14" i="11"/>
  <c r="F13" i="11"/>
  <c r="E13" i="11"/>
  <c r="D13" i="11"/>
  <c r="C13" i="11"/>
  <c r="B13" i="11"/>
  <c r="F12" i="11"/>
  <c r="E12" i="11"/>
  <c r="D12" i="11"/>
  <c r="C12" i="11"/>
  <c r="B12" i="11"/>
  <c r="F11" i="11"/>
  <c r="E11" i="11"/>
  <c r="D11" i="11"/>
  <c r="C11" i="11"/>
  <c r="B11" i="11"/>
  <c r="F10" i="11"/>
  <c r="E10" i="11"/>
  <c r="D10" i="11"/>
  <c r="C10" i="11"/>
  <c r="B10" i="11"/>
  <c r="B31" i="11" s="1"/>
  <c r="F48" i="10"/>
  <c r="E48" i="10"/>
  <c r="D48" i="10"/>
  <c r="C48" i="10"/>
  <c r="E47" i="10"/>
  <c r="D47" i="10"/>
  <c r="C47" i="10"/>
  <c r="E46" i="10"/>
  <c r="D46" i="10"/>
  <c r="C46" i="10"/>
  <c r="E45" i="10"/>
  <c r="D45" i="10"/>
  <c r="C45" i="10"/>
  <c r="E44" i="10"/>
  <c r="D44" i="10"/>
  <c r="C44" i="10"/>
  <c r="E43" i="10"/>
  <c r="D43" i="10"/>
  <c r="C43" i="10"/>
  <c r="E42" i="10"/>
  <c r="D42" i="10"/>
  <c r="C42" i="10"/>
  <c r="E41" i="10"/>
  <c r="D41" i="10"/>
  <c r="C41" i="10"/>
  <c r="E40" i="10"/>
  <c r="D40" i="10"/>
  <c r="C40" i="10"/>
  <c r="E39" i="10"/>
  <c r="D39" i="10"/>
  <c r="C39" i="10"/>
  <c r="H12" i="10"/>
  <c r="H10" i="10"/>
  <c r="H8" i="10"/>
  <c r="E16" i="10"/>
  <c r="D16" i="10"/>
  <c r="C16" i="10"/>
  <c r="B16" i="10"/>
  <c r="H16" i="10"/>
  <c r="H15" i="10"/>
  <c r="F1" i="6"/>
  <c r="H7" i="10"/>
  <c r="Q1" i="3"/>
  <c r="E15" i="10"/>
  <c r="E50" i="10" s="1"/>
  <c r="D15" i="10"/>
  <c r="D50" i="10" s="1"/>
  <c r="C15" i="10"/>
  <c r="C50" i="10" s="1"/>
  <c r="B15" i="10"/>
  <c r="E14" i="10"/>
  <c r="E49" i="10" s="1"/>
  <c r="D14" i="10"/>
  <c r="D49" i="10" s="1"/>
  <c r="C14" i="10"/>
  <c r="B14" i="10"/>
  <c r="B13" i="10"/>
  <c r="AH1" i="6"/>
  <c r="AC2" i="6"/>
  <c r="AC1" i="6"/>
  <c r="X1" i="6"/>
  <c r="O1" i="3"/>
  <c r="O68" i="3"/>
  <c r="I19" i="4"/>
  <c r="J19" i="4" s="1"/>
  <c r="I18" i="4"/>
  <c r="J18" i="4" s="1"/>
  <c r="B22" i="8"/>
  <c r="B21" i="8"/>
  <c r="B8" i="6"/>
  <c r="AJ2" i="6"/>
  <c r="X2" i="6"/>
  <c r="S1" i="6"/>
  <c r="H1" i="6" s="1"/>
  <c r="AH8" i="6"/>
  <c r="AH30" i="6"/>
  <c r="AH49" i="6"/>
  <c r="O49" i="3"/>
  <c r="O28" i="3"/>
  <c r="O7" i="3"/>
  <c r="AH48" i="6"/>
  <c r="AH29" i="6"/>
  <c r="AH7" i="6"/>
  <c r="AB30" i="6"/>
  <c r="AB8" i="6"/>
  <c r="AB29" i="6"/>
  <c r="AB7" i="6"/>
  <c r="W30" i="6"/>
  <c r="W29" i="6"/>
  <c r="W8" i="6"/>
  <c r="W7" i="6"/>
  <c r="R44" i="6"/>
  <c r="Q44" i="6"/>
  <c r="P44" i="6"/>
  <c r="O44" i="6"/>
  <c r="N44" i="6"/>
  <c r="N30" i="6"/>
  <c r="S44" i="6"/>
  <c r="S43" i="6"/>
  <c r="S42" i="6"/>
  <c r="S41" i="6"/>
  <c r="S40" i="6"/>
  <c r="S39" i="6"/>
  <c r="P35" i="6"/>
  <c r="N29" i="6"/>
  <c r="P13" i="6"/>
  <c r="N8" i="6"/>
  <c r="S22" i="6"/>
  <c r="Q1" i="6" s="1"/>
  <c r="R22" i="6"/>
  <c r="Q22" i="6"/>
  <c r="P22" i="6"/>
  <c r="O22" i="6"/>
  <c r="N22" i="6"/>
  <c r="S21" i="6"/>
  <c r="S20" i="6"/>
  <c r="S19" i="6"/>
  <c r="S18" i="6"/>
  <c r="S17" i="6"/>
  <c r="N7" i="6"/>
  <c r="F52" i="6"/>
  <c r="E52" i="6"/>
  <c r="D52" i="6"/>
  <c r="C52" i="6"/>
  <c r="B52" i="6"/>
  <c r="G39" i="6"/>
  <c r="G52" i="6"/>
  <c r="G51" i="6"/>
  <c r="G50" i="6"/>
  <c r="G49" i="6"/>
  <c r="G48" i="6"/>
  <c r="G47" i="6"/>
  <c r="B44" i="6" s="1"/>
  <c r="B43" i="6"/>
  <c r="B28" i="6"/>
  <c r="B7" i="6"/>
  <c r="F37" i="6"/>
  <c r="F10" i="6"/>
  <c r="G37" i="6"/>
  <c r="E37" i="6"/>
  <c r="D37" i="6"/>
  <c r="C37" i="6"/>
  <c r="B37" i="6"/>
  <c r="G36" i="6"/>
  <c r="G35" i="6"/>
  <c r="G34" i="6"/>
  <c r="G33" i="6"/>
  <c r="G32" i="6"/>
  <c r="B29" i="6" s="1"/>
  <c r="G22" i="6"/>
  <c r="D1" i="6" s="1"/>
  <c r="F22" i="6"/>
  <c r="E22" i="6"/>
  <c r="D22" i="6"/>
  <c r="C22" i="6"/>
  <c r="B22" i="6"/>
  <c r="G21" i="6"/>
  <c r="G20" i="6"/>
  <c r="G19" i="6"/>
  <c r="G18" i="6"/>
  <c r="G17" i="6"/>
  <c r="G50" i="3"/>
  <c r="C1" i="3" s="1"/>
  <c r="E1" i="3" s="1"/>
  <c r="H14" i="10" s="1"/>
  <c r="F50" i="3"/>
  <c r="E50" i="3"/>
  <c r="D50" i="3"/>
  <c r="C50" i="3"/>
  <c r="B50" i="3"/>
  <c r="G49" i="3"/>
  <c r="G48" i="3"/>
  <c r="G47" i="3"/>
  <c r="G46" i="3"/>
  <c r="G45" i="3"/>
  <c r="F40" i="3"/>
  <c r="G37" i="3"/>
  <c r="F37" i="3"/>
  <c r="E37" i="3"/>
  <c r="D37" i="3"/>
  <c r="C37" i="3"/>
  <c r="B37" i="3"/>
  <c r="G36" i="3"/>
  <c r="G35" i="3"/>
  <c r="G34" i="3"/>
  <c r="G33" i="3"/>
  <c r="G32" i="3"/>
  <c r="G24" i="3"/>
  <c r="F24" i="3"/>
  <c r="E24" i="3"/>
  <c r="D24" i="3"/>
  <c r="C24" i="3"/>
  <c r="B24" i="3"/>
  <c r="G23" i="3"/>
  <c r="G22" i="3"/>
  <c r="G21" i="3"/>
  <c r="G20" i="3"/>
  <c r="G19" i="3"/>
  <c r="L13" i="3"/>
  <c r="C10" i="3"/>
  <c r="D12" i="1"/>
  <c r="E12" i="1" s="1"/>
  <c r="D11" i="1"/>
  <c r="E11" i="1" s="1"/>
  <c r="D10" i="1"/>
  <c r="E10" i="1" s="1"/>
  <c r="C9" i="1"/>
  <c r="D9" i="1" s="1"/>
  <c r="E9" i="1" s="1"/>
  <c r="C8" i="1"/>
  <c r="D8" i="1" s="1"/>
  <c r="E8" i="1" s="1"/>
  <c r="C7" i="1"/>
  <c r="D7" i="1" s="1"/>
  <c r="E7" i="1" s="1"/>
  <c r="C6" i="1"/>
  <c r="D6" i="1" s="1"/>
  <c r="E6" i="1" s="1"/>
  <c r="C5" i="1"/>
  <c r="D5" i="1" s="1"/>
  <c r="E5" i="1" s="1"/>
  <c r="C4" i="1"/>
  <c r="C24" i="11" l="1"/>
  <c r="C31" i="11"/>
  <c r="D24" i="11"/>
  <c r="D31" i="11"/>
  <c r="E24" i="11"/>
  <c r="E31" i="11"/>
  <c r="F24" i="11"/>
  <c r="F31" i="11"/>
  <c r="B25" i="11"/>
  <c r="B32" i="11"/>
  <c r="C25" i="11"/>
  <c r="C32" i="11"/>
  <c r="D25" i="11"/>
  <c r="D32" i="11"/>
  <c r="E25" i="11"/>
  <c r="E32" i="11"/>
  <c r="F25" i="11"/>
  <c r="F32" i="11"/>
  <c r="B26" i="11"/>
  <c r="B33" i="11"/>
  <c r="C26" i="11"/>
  <c r="C33" i="11"/>
  <c r="D26" i="11"/>
  <c r="D33" i="11"/>
  <c r="E26" i="11"/>
  <c r="E33" i="11"/>
  <c r="F26" i="11"/>
  <c r="F33" i="11"/>
  <c r="B27" i="11"/>
  <c r="B34" i="11"/>
  <c r="C27" i="11"/>
  <c r="C34" i="11"/>
  <c r="D27" i="11"/>
  <c r="D34" i="11"/>
  <c r="E27" i="11"/>
  <c r="E34" i="11"/>
  <c r="F27" i="11"/>
  <c r="F34" i="11"/>
  <c r="B28" i="11"/>
  <c r="B35" i="11"/>
  <c r="C28" i="11"/>
  <c r="C35" i="11"/>
  <c r="D28" i="11"/>
  <c r="D35" i="11"/>
  <c r="E28" i="11"/>
  <c r="E35" i="11"/>
  <c r="F28" i="11"/>
  <c r="F35" i="11"/>
  <c r="L31" i="11"/>
  <c r="M31" i="11"/>
  <c r="N31" i="11"/>
  <c r="O31" i="11"/>
  <c r="P31" i="11"/>
  <c r="L32" i="11"/>
  <c r="M32" i="11"/>
  <c r="N32" i="11"/>
  <c r="O32" i="11"/>
  <c r="P32" i="11"/>
  <c r="L33" i="11"/>
  <c r="M33" i="11"/>
  <c r="N33" i="11"/>
  <c r="O33" i="11"/>
  <c r="P33" i="11"/>
  <c r="L34" i="11"/>
  <c r="M34" i="11"/>
  <c r="N34" i="11"/>
  <c r="O34" i="11"/>
  <c r="P34" i="11"/>
  <c r="L35" i="11"/>
  <c r="M35" i="11"/>
  <c r="N35" i="11"/>
  <c r="O35" i="11"/>
  <c r="P35" i="11"/>
  <c r="H15" i="11"/>
  <c r="G15" i="11"/>
  <c r="R15" i="11"/>
  <c r="Q15" i="11"/>
  <c r="S15" i="11"/>
  <c r="I15" i="11"/>
  <c r="S22" i="11"/>
  <c r="I22" i="11"/>
  <c r="L24" i="11"/>
  <c r="U24" i="11" s="1"/>
  <c r="M24" i="11"/>
  <c r="V24" i="11" s="1"/>
  <c r="N24" i="11"/>
  <c r="W24" i="11" s="1"/>
  <c r="O24" i="11"/>
  <c r="X24" i="11" s="1"/>
  <c r="P24" i="11"/>
  <c r="Y24" i="11" s="1"/>
  <c r="L25" i="11"/>
  <c r="U25" i="11" s="1"/>
  <c r="M25" i="11"/>
  <c r="V25" i="11" s="1"/>
  <c r="N25" i="11"/>
  <c r="W25" i="11" s="1"/>
  <c r="O25" i="11"/>
  <c r="X25" i="11" s="1"/>
  <c r="P25" i="11"/>
  <c r="Y25" i="11" s="1"/>
  <c r="L26" i="11"/>
  <c r="U26" i="11" s="1"/>
  <c r="M26" i="11"/>
  <c r="V26" i="11" s="1"/>
  <c r="N26" i="11"/>
  <c r="W26" i="11" s="1"/>
  <c r="O26" i="11"/>
  <c r="X26" i="11" s="1"/>
  <c r="P26" i="11"/>
  <c r="Y26" i="11" s="1"/>
  <c r="L27" i="11"/>
  <c r="U27" i="11" s="1"/>
  <c r="M27" i="11"/>
  <c r="V27" i="11" s="1"/>
  <c r="N27" i="11"/>
  <c r="W27" i="11" s="1"/>
  <c r="O27" i="11"/>
  <c r="X27" i="11" s="1"/>
  <c r="P27" i="11"/>
  <c r="Y27" i="11" s="1"/>
  <c r="L28" i="11"/>
  <c r="U28" i="11" s="1"/>
  <c r="M28" i="11"/>
  <c r="V28" i="11" s="1"/>
  <c r="N28" i="11"/>
  <c r="W28" i="11" s="1"/>
  <c r="O28" i="11"/>
  <c r="X28" i="11" s="1"/>
  <c r="P28" i="11"/>
  <c r="Y28" i="11" s="1"/>
  <c r="B24" i="11"/>
  <c r="H17" i="10"/>
  <c r="B17" i="10"/>
  <c r="B52" i="10" s="1"/>
  <c r="B51" i="10"/>
  <c r="C17" i="10"/>
  <c r="C52" i="10" s="1"/>
  <c r="C51" i="10"/>
  <c r="D17" i="10"/>
  <c r="D52" i="10" s="1"/>
  <c r="D51" i="10"/>
  <c r="E17" i="10"/>
  <c r="E52" i="10" s="1"/>
  <c r="E51" i="10"/>
  <c r="B48" i="10"/>
  <c r="B47" i="10"/>
  <c r="B46" i="10"/>
  <c r="B45" i="10"/>
  <c r="B44" i="10"/>
  <c r="B43" i="10"/>
  <c r="B42" i="10"/>
  <c r="B41" i="10"/>
  <c r="B40" i="10"/>
  <c r="B39" i="10"/>
  <c r="B49" i="10"/>
  <c r="G5" i="10"/>
  <c r="C49" i="10"/>
  <c r="B50" i="10"/>
  <c r="H5" i="10"/>
  <c r="D4" i="1"/>
  <c r="E4" i="1" s="1"/>
  <c r="Z29" i="11" l="1"/>
  <c r="H29" i="11"/>
  <c r="G29" i="11"/>
  <c r="R29" i="11"/>
  <c r="Q29" i="11"/>
  <c r="H13" i="10"/>
  <c r="G13" i="10"/>
  <c r="S29" i="11" l="1"/>
  <c r="I29" i="11"/>
  <c r="H51" i="10"/>
  <c r="H52" i="10"/>
  <c r="G50" i="10"/>
  <c r="G49" i="10"/>
  <c r="G48" i="10"/>
  <c r="G45" i="10"/>
  <c r="G43" i="10"/>
  <c r="G42" i="10"/>
  <c r="H48" i="10"/>
  <c r="H49" i="10"/>
  <c r="H42" i="10"/>
  <c r="H50" i="10"/>
  <c r="H43" i="10"/>
  <c r="H45" i="10"/>
  <c r="H47" i="10"/>
  <c r="L38" i="11"/>
  <c r="B38" i="11"/>
</calcChain>
</file>

<file path=xl/sharedStrings.xml><?xml version="1.0" encoding="utf-8"?>
<sst xmlns="http://schemas.openxmlformats.org/spreadsheetml/2006/main" count="2081" uniqueCount="981">
  <si>
    <t>Summary of flow measurements from all instruments</t>
  </si>
  <si>
    <t>Results discarded as to scale, but not as to relative shares</t>
  </si>
  <si>
    <t>Results accepted as to scale</t>
  </si>
  <si>
    <t>Ducts</t>
  </si>
  <si>
    <t>Alnor EBT731 Balometer with Back Pressure Correction</t>
  </si>
  <si>
    <t>Alnor EBT731 Balometer w/o back pressure</t>
  </si>
  <si>
    <t>Testo 417 Rotating vane anemometer at grills (no k factor for grill)</t>
  </si>
  <si>
    <t xml:space="preserve">Alnor  6200 Low Flow Balometer </t>
  </si>
  <si>
    <t xml:space="preserve">Testo 415 Hot Wire Anemometer @ Return Plenum </t>
  </si>
  <si>
    <t xml:space="preserve">Duct traverse with Testo 415 Hot wire anemometer </t>
  </si>
  <si>
    <t xml:space="preserve">Duct traverse with Alnor EBT731 as manometer with Pitot tube </t>
  </si>
  <si>
    <t>Basement</t>
  </si>
  <si>
    <t>Bathroom</t>
  </si>
  <si>
    <t>Study</t>
  </si>
  <si>
    <t>Kitchen</t>
  </si>
  <si>
    <t>Dining Room</t>
  </si>
  <si>
    <t>Living Room</t>
  </si>
  <si>
    <t>Gym</t>
  </si>
  <si>
    <t>Hall</t>
  </si>
  <si>
    <t>Bedroom</t>
  </si>
  <si>
    <t>Total</t>
  </si>
  <si>
    <t>West Branch: Basement, study, kitchen</t>
  </si>
  <si>
    <t>East Branch: Dining, gym, living, hall, bed</t>
  </si>
  <si>
    <t>East sub branch: Living, Hall</t>
  </si>
  <si>
    <t>Sum of East branch components</t>
  </si>
  <si>
    <t>Note, missing quantities imputed from Balometer center 4 proportions</t>
  </si>
  <si>
    <t>Note, measurements constructed as sum of other measurements</t>
  </si>
  <si>
    <t>Observations:</t>
  </si>
  <si>
    <t>(0) In general, the relative shares of ducts remains consistent (see share analysis below)</t>
  </si>
  <si>
    <t>(1) Pitot traverse very low for kitchen -- high turbulence (big flow swing in small pipe)?  Anemometer is relatively high (too large a share of branch), likely for same reason.</t>
  </si>
  <si>
    <t>Actually, in the share analysis, all the small round ducts come in relatively low.   Some kind of measurement effect.  See discussion of pointwise comparisons for rectangular.</t>
  </si>
  <si>
    <t>(2) None of the Pitot measurements meet standard for consistency across plane -- likely low because of turbulence; on the other hand anemometer could be high for same.</t>
  </si>
  <si>
    <t>(3) The east branch components do not quite add up.</t>
  </si>
  <si>
    <t>(4) The two traverse methods yield similar results -- within 10%:  Consider that the range of possible results.</t>
  </si>
  <si>
    <t>(5) Note that rated value for high high on fan is targeted at 635.</t>
  </si>
  <si>
    <t>SCALE MEASUREMENT DISCARD REASONS</t>
  </si>
  <si>
    <t>(1) Back pressure correction not appropriate -- balometer opening wider/clearer than diffusers and often get no difference error; recommended for flows over 500</t>
  </si>
  <si>
    <t>(2) Balometer without back pressure correction still suffers from inflation due to grid averaging of varying velocity pressure; also manual recommends traverse for calibration.</t>
  </si>
  <si>
    <t>(3) Rotating vane anemometer low precision as to area capture; no grill adjustment factor.</t>
  </si>
  <si>
    <t>(4) Lo flow is very low -- surprisingly so.  It is a different mechanism than the EBT731 balometer -- it has a longer chimney.  But manual discounts absolute values and recommends traverse.</t>
  </si>
  <si>
    <t>(5) Hot wire in plenum inflated due to turbulence -- hot wire captures all cross and reverse currents.</t>
  </si>
  <si>
    <t>Values as % of total where present</t>
  </si>
  <si>
    <t>Instrument</t>
  </si>
  <si>
    <t># of measurement passes</t>
  </si>
  <si>
    <t>Single pass</t>
  </si>
  <si>
    <t>Showing average of center 4 out of 6 for each duct</t>
  </si>
  <si>
    <t>Testo 417 Rotating vane anemometer at grills</t>
  </si>
  <si>
    <t>Average of two passes for each duct</t>
  </si>
  <si>
    <t>Showing average of center 3 measurements point-wise from 5</t>
  </si>
  <si>
    <t>Testo 415 Hot wire anemometer traverse of supply ducts</t>
  </si>
  <si>
    <t>Mostly single pass per duct</t>
  </si>
  <si>
    <t>Two to three traverses per duct, averaged</t>
  </si>
  <si>
    <t>Looking at start up stages -- watts vs flow</t>
  </si>
  <si>
    <t>Location</t>
  </si>
  <si>
    <t>Watts</t>
  </si>
  <si>
    <t>Average flow</t>
  </si>
  <si>
    <t>Kitchen vent with balometer (cfm)</t>
  </si>
  <si>
    <t>`</t>
  </si>
  <si>
    <t>Redo 1 Kitchen vent with balometer (cfm)</t>
  </si>
  <si>
    <t>Pitot in large supply vent center cell (fpm)</t>
  </si>
  <si>
    <t>11 samples (355 to 560)</t>
  </si>
  <si>
    <t>6 samples (499-584)</t>
  </si>
  <si>
    <t>11 samples (574-680)</t>
  </si>
  <si>
    <t>This is consistent with ESP drop</t>
  </si>
  <si>
    <t>Pressure drop</t>
  </si>
  <si>
    <t>Sqr Root Pressure</t>
  </si>
  <si>
    <t>Fan power  drop</t>
  </si>
  <si>
    <t>Squre root fan power</t>
  </si>
  <si>
    <t>Power levels as % of full  power -- 38 CFM</t>
  </si>
  <si>
    <t>Balometer  placement matters</t>
  </si>
  <si>
    <t>Using rectangular hood</t>
  </si>
  <si>
    <t>116, 117</t>
  </si>
  <si>
    <t xml:space="preserve">when grill in corner of hood </t>
  </si>
  <si>
    <t>when grill in center of  hood (centered on long axis -- can't fully center on short axis)</t>
  </si>
  <si>
    <t>Balometer hood variation in flow (looking across hood opening along long rectangular axis)</t>
  </si>
  <si>
    <t>Using rotating vane at cross section (fpm)</t>
  </si>
  <si>
    <t>when grill in corner of hood</t>
  </si>
  <si>
    <t>130-160</t>
  </si>
  <si>
    <t>depending on exact placement</t>
  </si>
  <si>
    <t>when grill in center of hood</t>
  </si>
  <si>
    <t>Balometer cfm goes up when obstruct 2/3 of grid with paper</t>
  </si>
  <si>
    <t>46,47</t>
  </si>
  <si>
    <t>60,61</t>
  </si>
  <si>
    <t>75,77</t>
  </si>
  <si>
    <t>90,92</t>
  </si>
  <si>
    <t>101,99*</t>
  </si>
  <si>
    <t>*adding additional paper to 7/8</t>
  </si>
  <si>
    <t>Balometer grid has single pair of manometer readings</t>
  </si>
  <si>
    <t>SUMMARY OF BALOMETER ISSUES -- IS VULNERABLE TO UNEVEN FLOW; UNEVEN FLOW INEVITABLE WITH SMALL GRIDS</t>
  </si>
  <si>
    <t>Cannot control relative error by consistent placement</t>
  </si>
  <si>
    <t>Flow pattern vary with angle of duct entry to grill</t>
  </si>
  <si>
    <t>Cannot achieve consistent placement anyway due to obstructions</t>
  </si>
  <si>
    <t>Not optimal instrument for total flow computation except as a contrast.</t>
  </si>
  <si>
    <t>West supply branch</t>
  </si>
  <si>
    <t>FPM</t>
  </si>
  <si>
    <t>CFM</t>
  </si>
  <si>
    <t>Hot wire was 663</t>
  </si>
  <si>
    <t>Hot wire was 528.6</t>
  </si>
  <si>
    <t>Pitot Traverse</t>
  </si>
  <si>
    <t>TEST035</t>
  </si>
  <si>
    <t>Avg</t>
  </si>
  <si>
    <t>Min</t>
  </si>
  <si>
    <t>Max</t>
  </si>
  <si>
    <t>TEST001</t>
  </si>
  <si>
    <t>90% of max</t>
  </si>
  <si>
    <t>Samples transcribed from Data App</t>
  </si>
  <si>
    <t>Count OK</t>
  </si>
  <si>
    <t>Temp truly was 103 per anemometo</t>
  </si>
  <si>
    <t>104 from Hobo</t>
  </si>
  <si>
    <t>Was set at 95.8 for Entered Temp</t>
  </si>
  <si>
    <t>Pressure is proportional to density and square of velocity.</t>
  </si>
  <si>
    <t>Test 35</t>
  </si>
  <si>
    <t xml:space="preserve">Estimated density is proportional to temperature at same pressure -- so probe error due to temp setting is only: </t>
  </si>
  <si>
    <t>Entered Temp 106, Supply 43.8</t>
  </si>
  <si>
    <t>Bar 406.8</t>
  </si>
  <si>
    <t>Sample number = (col -1)*5 + row</t>
  </si>
  <si>
    <t>Read outside is .00002 in h20, 0 cfm</t>
  </si>
  <si>
    <t>Looking west -- fpm</t>
  </si>
  <si>
    <t>TEST036</t>
  </si>
  <si>
    <t>TEST003</t>
  </si>
  <si>
    <t>Redo with correct temp now 109.4</t>
  </si>
  <si>
    <t>Test 36</t>
  </si>
  <si>
    <t>TEST 008</t>
  </si>
  <si>
    <t xml:space="preserve">Loooking west -- fpm 2/3, 8:55:51 to </t>
  </si>
  <si>
    <t xml:space="preserve">Redo with set temp 105 -- real drifting up to </t>
  </si>
  <si>
    <t>TEST 037</t>
  </si>
  <si>
    <t>TEST009</t>
  </si>
  <si>
    <t>Repeat col 5 row 4, 9:02:53AM</t>
  </si>
  <si>
    <t>avg of 10 samples from 921 to 1051</t>
  </si>
  <si>
    <t>Test 37</t>
  </si>
  <si>
    <t>TEST 048</t>
  </si>
  <si>
    <t>Test 48</t>
  </si>
  <si>
    <t>Entered Temp 106, Supply 41.9</t>
  </si>
  <si>
    <t>East supply branch 8 x10"</t>
  </si>
  <si>
    <t>fpm</t>
  </si>
  <si>
    <t>cfm</t>
  </si>
  <si>
    <t>Check total</t>
  </si>
  <si>
    <t>FAR East Branch (living room, hall only) 8x8"</t>
  </si>
  <si>
    <t>Dining Room -- 5"</t>
  </si>
  <si>
    <t>Bed Room -- 5"</t>
  </si>
  <si>
    <t>Gym -- 6"</t>
  </si>
  <si>
    <t>Hot wire was 453.6</t>
  </si>
  <si>
    <t>No hot wire</t>
  </si>
  <si>
    <t>Hot wire was 338</t>
  </si>
  <si>
    <t>Hot wire was 288</t>
  </si>
  <si>
    <t xml:space="preserve">Temp truly was rising to 110 per anemometer, </t>
  </si>
  <si>
    <t xml:space="preserve"> for hobo</t>
  </si>
  <si>
    <t>TEST 025</t>
  </si>
  <si>
    <t>test 030</t>
  </si>
  <si>
    <t>TEST 014</t>
  </si>
  <si>
    <t>Test 028</t>
  </si>
  <si>
    <t>Test 32</t>
  </si>
  <si>
    <t>Taken with supply temp entered a little low as 105</t>
  </si>
  <si>
    <t>Taken with supply temp 42.61</t>
  </si>
  <si>
    <t>Anemometer 106.7</t>
  </si>
  <si>
    <t>Entered temp 106</t>
  </si>
  <si>
    <t>Entered Temp 106, Supply 41.45</t>
  </si>
  <si>
    <t>Entered Temp 106, Supply 41.6</t>
  </si>
  <si>
    <t>NOTE:  ON THIS TEST, THE PRESENCE OF ANEMOMETER PROBE MAY HAVE DISTORTED FLOW (ASCERTAINING HEAT)</t>
  </si>
  <si>
    <t>Looking west -- FPM</t>
  </si>
  <si>
    <t>2/3,2:04:07, 2:14:04</t>
  </si>
  <si>
    <t>Test 14</t>
  </si>
  <si>
    <t>2/4, 6:08:20 -6:14:54</t>
  </si>
  <si>
    <t>Test 25</t>
  </si>
  <si>
    <t>extra reading out</t>
  </si>
  <si>
    <t>TEST 015</t>
  </si>
  <si>
    <t xml:space="preserve">Taken with entered temp mp now 110.8 </t>
  </si>
  <si>
    <t>COUNT ok</t>
  </si>
  <si>
    <t>2/3. 2:16:42 to 2:21:50</t>
  </si>
  <si>
    <t>TEST 15</t>
  </si>
  <si>
    <t>Test 026</t>
  </si>
  <si>
    <t>Test 029</t>
  </si>
  <si>
    <t>test 031</t>
  </si>
  <si>
    <t>Test 33</t>
  </si>
  <si>
    <t>Test 26</t>
  </si>
  <si>
    <t>TEST 019</t>
  </si>
  <si>
    <t>Taken with entered temp 106, supply temp was 41.4C or in F:</t>
  </si>
  <si>
    <t>2/4. 3:28:18 TO 3:34:05</t>
  </si>
  <si>
    <t>TEST 19</t>
  </si>
  <si>
    <t>Test 34</t>
  </si>
  <si>
    <t xml:space="preserve">MODEL: </t>
  </si>
  <si>
    <t xml:space="preserve"> EBT731</t>
  </si>
  <si>
    <t>NOTE: Time entered is up to 1 minute behind.</t>
  </si>
  <si>
    <t xml:space="preserve">SERIAL: </t>
  </si>
  <si>
    <t xml:space="preserve"> EBT731621014</t>
  </si>
  <si>
    <t>DATE IS ONE DAY AHEAD</t>
  </si>
  <si>
    <t>TEST ID :</t>
  </si>
  <si>
    <t>Test 001</t>
  </si>
  <si>
    <t>STATISTICS</t>
  </si>
  <si>
    <t># SAMPLES</t>
  </si>
  <si>
    <t>UNIT</t>
  </si>
  <si>
    <t>READING TYPE\ FLOW SIZE</t>
  </si>
  <si>
    <t>ft/min</t>
  </si>
  <si>
    <t>Actual Pitot</t>
  </si>
  <si>
    <t>Actual Pitot \Rect X Size 8.0 in Rect Y Size 8.0 in</t>
  </si>
  <si>
    <t>DATA</t>
  </si>
  <si>
    <t>Actual Velocity (Pitot)</t>
  </si>
  <si>
    <t>Actual Flow (Pitot)</t>
  </si>
  <si>
    <t>Cf</t>
  </si>
  <si>
    <t>Entered Temp</t>
  </si>
  <si>
    <t>Date</t>
  </si>
  <si>
    <t>Time</t>
  </si>
  <si>
    <t>06:53:54A</t>
  </si>
  <si>
    <t>06:54:04A</t>
  </si>
  <si>
    <t>06:54:15A</t>
  </si>
  <si>
    <t>06:54:27A</t>
  </si>
  <si>
    <t>06:54:45A</t>
  </si>
  <si>
    <t>06:55:45A</t>
  </si>
  <si>
    <t>06:55:55A</t>
  </si>
  <si>
    <t>06:56:06A</t>
  </si>
  <si>
    <t>06:56:17A</t>
  </si>
  <si>
    <t>06:56:27A</t>
  </si>
  <si>
    <t>06:57:25A</t>
  </si>
  <si>
    <t>06:57:40A</t>
  </si>
  <si>
    <t>06:57:53A</t>
  </si>
  <si>
    <t>06:58:08A</t>
  </si>
  <si>
    <t>06:58:20A</t>
  </si>
  <si>
    <t>06:59:09A</t>
  </si>
  <si>
    <t>06:59:18A</t>
  </si>
  <si>
    <t>06:59:28A</t>
  </si>
  <si>
    <t>06:59:38A</t>
  </si>
  <si>
    <t>06:59:50A</t>
  </si>
  <si>
    <t>07:00:33A</t>
  </si>
  <si>
    <t>07:00:45A</t>
  </si>
  <si>
    <t>07:00:56A</t>
  </si>
  <si>
    <t>07:01:10A</t>
  </si>
  <si>
    <t>07:01:29A</t>
  </si>
  <si>
    <t>Test 003</t>
  </si>
  <si>
    <t>07:47:48A</t>
  </si>
  <si>
    <t>07:47:56A</t>
  </si>
  <si>
    <t>07:48:07A</t>
  </si>
  <si>
    <t>07:48:15A</t>
  </si>
  <si>
    <t>07:48:24A</t>
  </si>
  <si>
    <t>07:48:51A</t>
  </si>
  <si>
    <t>07:49:03A</t>
  </si>
  <si>
    <t>07:49:14A</t>
  </si>
  <si>
    <t>07:49:24A</t>
  </si>
  <si>
    <t>07:49:34A</t>
  </si>
  <si>
    <t>07:50:01A</t>
  </si>
  <si>
    <t>07:50:11A</t>
  </si>
  <si>
    <t>07:50:21A</t>
  </si>
  <si>
    <t>07:50:34A</t>
  </si>
  <si>
    <t>07:50:44A</t>
  </si>
  <si>
    <t>07:51:12A</t>
  </si>
  <si>
    <t>07:51:20A</t>
  </si>
  <si>
    <t>07:51:30A</t>
  </si>
  <si>
    <t>07:51:39A</t>
  </si>
  <si>
    <t>07:51:49A</t>
  </si>
  <si>
    <t>07:52:28A</t>
  </si>
  <si>
    <t>07:52:39A</t>
  </si>
  <si>
    <t>07:52:51A</t>
  </si>
  <si>
    <t>07:53:02A</t>
  </si>
  <si>
    <t>07:53:14A</t>
  </si>
  <si>
    <t>SCRATCH TESTS</t>
  </si>
  <si>
    <t>Test 004</t>
  </si>
  <si>
    <t>in.H2O</t>
  </si>
  <si>
    <t>Pressure</t>
  </si>
  <si>
    <t>Baro Press</t>
  </si>
  <si>
    <t>08:17:10A</t>
  </si>
  <si>
    <t>08:19:32A</t>
  </si>
  <si>
    <t>08:19:48A</t>
  </si>
  <si>
    <t>Test 005</t>
  </si>
  <si>
    <t>08:47:37A</t>
  </si>
  <si>
    <t>08:48:04A</t>
  </si>
  <si>
    <t>08:48:12A</t>
  </si>
  <si>
    <t>08:48:19A</t>
  </si>
  <si>
    <t>08:48:26A</t>
  </si>
  <si>
    <t>08:48:39A</t>
  </si>
  <si>
    <t>08:48:46A</t>
  </si>
  <si>
    <t>08:48:53A</t>
  </si>
  <si>
    <t>08:49:22A</t>
  </si>
  <si>
    <t>08:49:29A</t>
  </si>
  <si>
    <t>08:49:42A</t>
  </si>
  <si>
    <t>Test 006</t>
  </si>
  <si>
    <t>08:49:52A</t>
  </si>
  <si>
    <t>08:50:02A</t>
  </si>
  <si>
    <t>08:50:13A</t>
  </si>
  <si>
    <t>08:50:20A</t>
  </si>
  <si>
    <t>08:50:27A</t>
  </si>
  <si>
    <t>08:50:34A</t>
  </si>
  <si>
    <t>Test 007</t>
  </si>
  <si>
    <t>08:51:00A</t>
  </si>
  <si>
    <t>08:51:09A</t>
  </si>
  <si>
    <t>08:51:21A</t>
  </si>
  <si>
    <t>08:51:29A</t>
  </si>
  <si>
    <t>08:51:36A</t>
  </si>
  <si>
    <t>08:51:44A</t>
  </si>
  <si>
    <t>08:51:55A</t>
  </si>
  <si>
    <t>08:52:06A</t>
  </si>
  <si>
    <t>08:52:16A</t>
  </si>
  <si>
    <t>08:52:23A</t>
  </si>
  <si>
    <t>08:52:32A</t>
  </si>
  <si>
    <t>Test 008</t>
  </si>
  <si>
    <t>08:55:51A</t>
  </si>
  <si>
    <t>08:55:59A</t>
  </si>
  <si>
    <t>08:56:09A</t>
  </si>
  <si>
    <t>08:56:19A</t>
  </si>
  <si>
    <t>08:56:26A</t>
  </si>
  <si>
    <t>08:56:46A</t>
  </si>
  <si>
    <t>08:56:54A</t>
  </si>
  <si>
    <t>08:57:01A</t>
  </si>
  <si>
    <t>08:57:09A</t>
  </si>
  <si>
    <t>08:57:17A</t>
  </si>
  <si>
    <t>08:57:43A</t>
  </si>
  <si>
    <t>08:57:50A</t>
  </si>
  <si>
    <t>08:58:21A</t>
  </si>
  <si>
    <t>08:58:28A</t>
  </si>
  <si>
    <t>08:58:36A</t>
  </si>
  <si>
    <t>08:59:11A</t>
  </si>
  <si>
    <t>08:59:20A</t>
  </si>
  <si>
    <t>08:59:31A</t>
  </si>
  <si>
    <t>08:59:39A</t>
  </si>
  <si>
    <t>08:59:49A</t>
  </si>
  <si>
    <t>09:00:54A</t>
  </si>
  <si>
    <t>09:01:07A</t>
  </si>
  <si>
    <t>09:01:20A</t>
  </si>
  <si>
    <t>09:01:32A</t>
  </si>
  <si>
    <t>09:01:43A</t>
  </si>
  <si>
    <t>Test 009</t>
  </si>
  <si>
    <t xml:space="preserve">West supply branch, col 5 row 4 -- repeat </t>
  </si>
  <si>
    <t>09:02:53A</t>
  </si>
  <si>
    <t>09:03:04A</t>
  </si>
  <si>
    <t>09:03:17A</t>
  </si>
  <si>
    <t>09:03:29A</t>
  </si>
  <si>
    <t>09:03:37A</t>
  </si>
  <si>
    <t>09:03:49A</t>
  </si>
  <si>
    <t>09:03:57A</t>
  </si>
  <si>
    <t>09:04:07A</t>
  </si>
  <si>
    <t>09:04:16A</t>
  </si>
  <si>
    <t>09:04:26A</t>
  </si>
  <si>
    <t>Test 010</t>
  </si>
  <si>
    <t>external static pressure</t>
  </si>
  <si>
    <t>01:46:39P</t>
  </si>
  <si>
    <t>01:46:47P</t>
  </si>
  <si>
    <t>01:46:57P</t>
  </si>
  <si>
    <t>01:47:06P</t>
  </si>
  <si>
    <t>01:47:14P</t>
  </si>
  <si>
    <t>01:47:21P</t>
  </si>
  <si>
    <t>01:47:30P</t>
  </si>
  <si>
    <t>01:47:37P</t>
  </si>
  <si>
    <t>01:47:44P</t>
  </si>
  <si>
    <t>01:47:52P</t>
  </si>
  <si>
    <t>01:48:03P</t>
  </si>
  <si>
    <t>01:48:20P</t>
  </si>
  <si>
    <t>01:48:31P</t>
  </si>
  <si>
    <t>01:48:42P</t>
  </si>
  <si>
    <t>01:48:49P</t>
  </si>
  <si>
    <t>01:48:56P</t>
  </si>
  <si>
    <t>01:49:17P</t>
  </si>
  <si>
    <t>01:49:28P</t>
  </si>
  <si>
    <t>Test 011</t>
  </si>
  <si>
    <t>01:49:49P</t>
  </si>
  <si>
    <t>01:50:02P</t>
  </si>
  <si>
    <t>01:50:12P</t>
  </si>
  <si>
    <t>01:50:33P</t>
  </si>
  <si>
    <t>01:50:40P</t>
  </si>
  <si>
    <t>Test 012</t>
  </si>
  <si>
    <t>external static pressure, out side filter</t>
  </si>
  <si>
    <t>01:51:44P</t>
  </si>
  <si>
    <t>01:51:59P</t>
  </si>
  <si>
    <t>01:52:09P</t>
  </si>
  <si>
    <t>01:52:20P</t>
  </si>
  <si>
    <t>01:52:30P</t>
  </si>
  <si>
    <t>01:52:40P</t>
  </si>
  <si>
    <t>01:52:48P</t>
  </si>
  <si>
    <t>01:52:58P</t>
  </si>
  <si>
    <t>01:53:08P</t>
  </si>
  <si>
    <t>01:53:20P</t>
  </si>
  <si>
    <t>Test 013</t>
  </si>
  <si>
    <t>pressure in east main branch</t>
  </si>
  <si>
    <t>01:56:51P</t>
  </si>
  <si>
    <t>01:57:07P</t>
  </si>
  <si>
    <t>01:57:14P</t>
  </si>
  <si>
    <t>01:57:21P</t>
  </si>
  <si>
    <t>01:57:33P</t>
  </si>
  <si>
    <t>01:57:41P</t>
  </si>
  <si>
    <t>01:57:54P</t>
  </si>
  <si>
    <t>01:58:05P</t>
  </si>
  <si>
    <t>01:58:14P</t>
  </si>
  <si>
    <t>01:58:27P</t>
  </si>
  <si>
    <t>Test 014</t>
  </si>
  <si>
    <t>East supply branch</t>
  </si>
  <si>
    <t>Actual Pitot \Rect X Size 10.0 in Rect Y Size 8.0 in</t>
  </si>
  <si>
    <t>02:04:07P</t>
  </si>
  <si>
    <t>02:04:18P</t>
  </si>
  <si>
    <t>02:04:28P</t>
  </si>
  <si>
    <t>02:04:37P</t>
  </si>
  <si>
    <t>02:04:48P</t>
  </si>
  <si>
    <t>02:08:34P</t>
  </si>
  <si>
    <t>02:08:43P</t>
  </si>
  <si>
    <t>02:08:53P</t>
  </si>
  <si>
    <t>02:09:01P</t>
  </si>
  <si>
    <t>02:09:09P</t>
  </si>
  <si>
    <t>02:09:58P</t>
  </si>
  <si>
    <t>02:10:07P</t>
  </si>
  <si>
    <t>02:10:16P</t>
  </si>
  <si>
    <t>02:10:24P</t>
  </si>
  <si>
    <t>02:10:32P</t>
  </si>
  <si>
    <t>02:11:44P</t>
  </si>
  <si>
    <t>02:11:51P</t>
  </si>
  <si>
    <t>02:11:58P</t>
  </si>
  <si>
    <t>02:12:07P</t>
  </si>
  <si>
    <t>02:12:18P</t>
  </si>
  <si>
    <t>02:13:21P</t>
  </si>
  <si>
    <t>02:13:29P</t>
  </si>
  <si>
    <t>02:13:40P</t>
  </si>
  <si>
    <t>02:13:54P</t>
  </si>
  <si>
    <t>02:14:04P</t>
  </si>
  <si>
    <t>Test 015</t>
  </si>
  <si>
    <t>02:16:42P</t>
  </si>
  <si>
    <t>02:16:51P</t>
  </si>
  <si>
    <t>02:16:58P</t>
  </si>
  <si>
    <t>02:17:07P</t>
  </si>
  <si>
    <t>02:17:16P</t>
  </si>
  <si>
    <t>02:17:47P</t>
  </si>
  <si>
    <t>02:17:54P</t>
  </si>
  <si>
    <t>02:18:01P</t>
  </si>
  <si>
    <t>02:18:09P</t>
  </si>
  <si>
    <t>02:18:17P</t>
  </si>
  <si>
    <t>02:18:46P</t>
  </si>
  <si>
    <t>02:18:56P</t>
  </si>
  <si>
    <t>02:19:05P</t>
  </si>
  <si>
    <t>02:19:15P</t>
  </si>
  <si>
    <t>02:19:24P</t>
  </si>
  <si>
    <t>02:19:58P</t>
  </si>
  <si>
    <t>02:20:07P</t>
  </si>
  <si>
    <t>02:20:16P</t>
  </si>
  <si>
    <t>02:20:26P</t>
  </si>
  <si>
    <t>02:20:35P</t>
  </si>
  <si>
    <t>02:21:15P</t>
  </si>
  <si>
    <t>02:21:24P</t>
  </si>
  <si>
    <t>02:21:33P</t>
  </si>
  <si>
    <t>02:21:43P</t>
  </si>
  <si>
    <t>02:21:50P</t>
  </si>
  <si>
    <t>Test 016</t>
  </si>
  <si>
    <t>scratch</t>
  </si>
  <si>
    <t>03:10:39P</t>
  </si>
  <si>
    <t>03:10:48P</t>
  </si>
  <si>
    <t>03:10:58P</t>
  </si>
  <si>
    <t>Test 017</t>
  </si>
  <si>
    <t>DROPPED TUBE</t>
  </si>
  <si>
    <t>03:16:08P</t>
  </si>
  <si>
    <t>03:16:16P</t>
  </si>
  <si>
    <t>03:16:26P</t>
  </si>
  <si>
    <t>03:16:36P</t>
  </si>
  <si>
    <t>03:16:43P</t>
  </si>
  <si>
    <t>03:17:11P</t>
  </si>
  <si>
    <t>03:17:25P</t>
  </si>
  <si>
    <t>03:17:39P</t>
  </si>
  <si>
    <t>03:18:00P</t>
  </si>
  <si>
    <t>03:18:15P</t>
  </si>
  <si>
    <t>03:19:00P</t>
  </si>
  <si>
    <t>03:19:13P</t>
  </si>
  <si>
    <t>03:19:26P</t>
  </si>
  <si>
    <t>03:19:38P</t>
  </si>
  <si>
    <t>03:19:51P</t>
  </si>
  <si>
    <t>03:20:33P</t>
  </si>
  <si>
    <t>03:20:51P</t>
  </si>
  <si>
    <t>Test 018</t>
  </si>
  <si>
    <t>03:26:29P</t>
  </si>
  <si>
    <t>03:26:43P</t>
  </si>
  <si>
    <t>Test 019</t>
  </si>
  <si>
    <t>03:28:18P</t>
  </si>
  <si>
    <t>03:28:25P</t>
  </si>
  <si>
    <t>03:28:33P</t>
  </si>
  <si>
    <t>03:28:42P</t>
  </si>
  <si>
    <t>03:28:52P</t>
  </si>
  <si>
    <t>03:29:25P</t>
  </si>
  <si>
    <t>03:29:38P</t>
  </si>
  <si>
    <t>03:29:46P</t>
  </si>
  <si>
    <t>03:29:55P</t>
  </si>
  <si>
    <t>03:30:02P</t>
  </si>
  <si>
    <t>03:31:10P</t>
  </si>
  <si>
    <t>03:31:17P</t>
  </si>
  <si>
    <t>03:31:25P</t>
  </si>
  <si>
    <t>03:31:33P</t>
  </si>
  <si>
    <t>03:31:42P</t>
  </si>
  <si>
    <t>03:32:13P</t>
  </si>
  <si>
    <t>03:32:21P</t>
  </si>
  <si>
    <t>03:32:30P</t>
  </si>
  <si>
    <t>03:32:39P</t>
  </si>
  <si>
    <t>03:32:49P</t>
  </si>
  <si>
    <t>03:33:28P</t>
  </si>
  <si>
    <t>03:33:36P</t>
  </si>
  <si>
    <t>03:33:46P</t>
  </si>
  <si>
    <t>03:33:55P</t>
  </si>
  <si>
    <t>03:34:05P</t>
  </si>
  <si>
    <t>Test 020</t>
  </si>
  <si>
    <t>esp @ 38 watts</t>
  </si>
  <si>
    <t>05:50:40A</t>
  </si>
  <si>
    <t>05:50:48A</t>
  </si>
  <si>
    <t>05:50:59A</t>
  </si>
  <si>
    <t>05:51:08A</t>
  </si>
  <si>
    <t>05:51:24A</t>
  </si>
  <si>
    <t>05:51:37A</t>
  </si>
  <si>
    <t>05:51:47A</t>
  </si>
  <si>
    <t>05:51:58A</t>
  </si>
  <si>
    <t>05:52:09A</t>
  </si>
  <si>
    <t>05:52:24A</t>
  </si>
  <si>
    <t>05:52:42A</t>
  </si>
  <si>
    <t>Test 021</t>
  </si>
  <si>
    <t>esp @60 waats</t>
  </si>
  <si>
    <t>05:53:00A</t>
  </si>
  <si>
    <t>05:53:12A</t>
  </si>
  <si>
    <t>05:53:22A</t>
  </si>
  <si>
    <t>05:53:32A</t>
  </si>
  <si>
    <t>05:53:43A</t>
  </si>
  <si>
    <t>Test 022</t>
  </si>
  <si>
    <t>esp@ 94 watts</t>
  </si>
  <si>
    <t>05:54:10A</t>
  </si>
  <si>
    <t>05:54:21A</t>
  </si>
  <si>
    <t>05:54:29A</t>
  </si>
  <si>
    <t>05:54:36A</t>
  </si>
  <si>
    <t>05:54:47A</t>
  </si>
  <si>
    <t>05:54:58A</t>
  </si>
  <si>
    <t>05:55:10A</t>
  </si>
  <si>
    <t>05:55:25A</t>
  </si>
  <si>
    <t>05:55:34A</t>
  </si>
  <si>
    <t>05:55:50A</t>
  </si>
  <si>
    <t>Test 023</t>
  </si>
  <si>
    <t>just the supply</t>
  </si>
  <si>
    <t>05:57:58A</t>
  </si>
  <si>
    <t>05:58:13A</t>
  </si>
  <si>
    <t>05:58:34A</t>
  </si>
  <si>
    <t>05:59:38A</t>
  </si>
  <si>
    <t>05:59:47A</t>
  </si>
  <si>
    <t>Test 024</t>
  </si>
  <si>
    <t>just the return</t>
  </si>
  <si>
    <t>06:02:06A</t>
  </si>
  <si>
    <t>06:02:17A</t>
  </si>
  <si>
    <t>06:02:26A</t>
  </si>
  <si>
    <t>06:02:38A</t>
  </si>
  <si>
    <t>Test 025</t>
  </si>
  <si>
    <t>Far east traverse</t>
  </si>
  <si>
    <t>06:08:20A</t>
  </si>
  <si>
    <t>06:08:34A</t>
  </si>
  <si>
    <t>06:08:44A</t>
  </si>
  <si>
    <t>06:08:54A</t>
  </si>
  <si>
    <t>06:09:07A</t>
  </si>
  <si>
    <t>06:09:46A</t>
  </si>
  <si>
    <t>06:09:57A</t>
  </si>
  <si>
    <t>06:10:06A</t>
  </si>
  <si>
    <t>06:10:22A</t>
  </si>
  <si>
    <t>06:10:32A</t>
  </si>
  <si>
    <t>06:11:02A</t>
  </si>
  <si>
    <t>06:11:11A</t>
  </si>
  <si>
    <t>06:11:21A</t>
  </si>
  <si>
    <t>06:11:31A</t>
  </si>
  <si>
    <t>06:11:41A</t>
  </si>
  <si>
    <t>06:12:13A</t>
  </si>
  <si>
    <t>06:12:24A</t>
  </si>
  <si>
    <t>06:12:35A</t>
  </si>
  <si>
    <t>06:12:43A</t>
  </si>
  <si>
    <t>06:13:40A</t>
  </si>
  <si>
    <t>06:14:06A</t>
  </si>
  <si>
    <t>06:14:20A</t>
  </si>
  <si>
    <t>06:14:32A</t>
  </si>
  <si>
    <t>06:14:41A</t>
  </si>
  <si>
    <t>06:14:54A</t>
  </si>
  <si>
    <t>06:15:36A</t>
  </si>
  <si>
    <t>06:15:46A</t>
  </si>
  <si>
    <t>06:15:57A</t>
  </si>
  <si>
    <t>06:16:08A</t>
  </si>
  <si>
    <t>06:16:20A</t>
  </si>
  <si>
    <t>06:16:47A</t>
  </si>
  <si>
    <t>06:16:58A</t>
  </si>
  <si>
    <t>06:17:10A</t>
  </si>
  <si>
    <t>06:17:21A</t>
  </si>
  <si>
    <t>06:17:33A</t>
  </si>
  <si>
    <t>06:18:02A</t>
  </si>
  <si>
    <t>06:18:12A</t>
  </si>
  <si>
    <t>06:18:20A</t>
  </si>
  <si>
    <t>06:18:30A</t>
  </si>
  <si>
    <t>06:18:41A</t>
  </si>
  <si>
    <t>06:19:08A</t>
  </si>
  <si>
    <t>06:19:18A</t>
  </si>
  <si>
    <t>06:19:29A</t>
  </si>
  <si>
    <t>06:19:39A</t>
  </si>
  <si>
    <t>06:19:50A</t>
  </si>
  <si>
    <t>06:20:25A</t>
  </si>
  <si>
    <t>06:20:38A</t>
  </si>
  <si>
    <t>06:20:47A</t>
  </si>
  <si>
    <t>06:20:58A</t>
  </si>
  <si>
    <t>06:21:12A</t>
  </si>
  <si>
    <t>Test 027</t>
  </si>
  <si>
    <t>scrub</t>
  </si>
  <si>
    <t>Actual Pitot \Round Duct 5.0 in dia</t>
  </si>
  <si>
    <t>07:14:56A</t>
  </si>
  <si>
    <t>07:15:08A</t>
  </si>
  <si>
    <t>07:15:18A</t>
  </si>
  <si>
    <t>07:15:26A</t>
  </si>
  <si>
    <t>07:15:44A</t>
  </si>
  <si>
    <t>07:17:22A</t>
  </si>
  <si>
    <t>07:17:38A</t>
  </si>
  <si>
    <t>07:17:48A</t>
  </si>
  <si>
    <t>07:18:03A</t>
  </si>
  <si>
    <t>07:18:43A</t>
  </si>
  <si>
    <t>07:20:02A</t>
  </si>
  <si>
    <t>07:20:28A</t>
  </si>
  <si>
    <t>07:20:42A</t>
  </si>
  <si>
    <t>07:20:49A</t>
  </si>
  <si>
    <t>07:21:03A</t>
  </si>
  <si>
    <t>07:21:14A</t>
  </si>
  <si>
    <t>07:21:27A</t>
  </si>
  <si>
    <t>07:22:20A</t>
  </si>
  <si>
    <t>07:22:30A</t>
  </si>
  <si>
    <t>07:22:40A</t>
  </si>
  <si>
    <t>07:22:48A</t>
  </si>
  <si>
    <t>07:22:58A</t>
  </si>
  <si>
    <t>07:23:11A</t>
  </si>
  <si>
    <t>07:23:42A</t>
  </si>
  <si>
    <t>07:23:50A</t>
  </si>
  <si>
    <t>07:23:58A</t>
  </si>
  <si>
    <t>07:24:15A</t>
  </si>
  <si>
    <t>07:24:24A</t>
  </si>
  <si>
    <t>07:24:40A</t>
  </si>
  <si>
    <t>Test 030</t>
  </si>
  <si>
    <t>Bed room</t>
  </si>
  <si>
    <t>07:27:33A</t>
  </si>
  <si>
    <t>07:27:42A</t>
  </si>
  <si>
    <t>07:27:52A</t>
  </si>
  <si>
    <t>07:28:03A</t>
  </si>
  <si>
    <t>07:28:12A</t>
  </si>
  <si>
    <t>07:28:25A</t>
  </si>
  <si>
    <t>07:28:57A</t>
  </si>
  <si>
    <t>07:29:10A</t>
  </si>
  <si>
    <t>07:29:18A</t>
  </si>
  <si>
    <t>07:29:27A</t>
  </si>
  <si>
    <t>07:29:36A</t>
  </si>
  <si>
    <t>07:29:47A</t>
  </si>
  <si>
    <t>Test 031</t>
  </si>
  <si>
    <t xml:space="preserve">Bed room </t>
  </si>
  <si>
    <t>07:30:21A</t>
  </si>
  <si>
    <t>07:30:36A</t>
  </si>
  <si>
    <t>07:30:49A</t>
  </si>
  <si>
    <t>07:30:58A</t>
  </si>
  <si>
    <t>07:31:13A</t>
  </si>
  <si>
    <t>07:31:27A</t>
  </si>
  <si>
    <t>07:31:54A</t>
  </si>
  <si>
    <t>07:32:02A</t>
  </si>
  <si>
    <t>07:32:11A</t>
  </si>
  <si>
    <t>07:32:22A</t>
  </si>
  <si>
    <t>07:32:37A</t>
  </si>
  <si>
    <t>07:32:50A</t>
  </si>
  <si>
    <t>Test 032</t>
  </si>
  <si>
    <t>Actual Pitot \Round Duct 6.0 in dia</t>
  </si>
  <si>
    <t>08:13:06A</t>
  </si>
  <si>
    <t>08:13:15A</t>
  </si>
  <si>
    <t>08:13:30A</t>
  </si>
  <si>
    <t>08:13:40A</t>
  </si>
  <si>
    <t>08:13:49A</t>
  </si>
  <si>
    <t>08:14:01A</t>
  </si>
  <si>
    <t>08:14:41A</t>
  </si>
  <si>
    <t>08:14:49A</t>
  </si>
  <si>
    <t>08:14:57A</t>
  </si>
  <si>
    <t>08:15:05A</t>
  </si>
  <si>
    <t>08:15:14A</t>
  </si>
  <si>
    <t>08:15:26A</t>
  </si>
  <si>
    <t>08:15:47A</t>
  </si>
  <si>
    <t>Test 033</t>
  </si>
  <si>
    <t>08:16:19A</t>
  </si>
  <si>
    <t>08:16:30A</t>
  </si>
  <si>
    <t>08:16:38A</t>
  </si>
  <si>
    <t>08:16:48A</t>
  </si>
  <si>
    <t>08:16:55A</t>
  </si>
  <si>
    <t>08:17:04A</t>
  </si>
  <si>
    <t>08:17:36A</t>
  </si>
  <si>
    <t>08:17:42A</t>
  </si>
  <si>
    <t>08:17:51A</t>
  </si>
  <si>
    <t>08:17:58A</t>
  </si>
  <si>
    <t>08:18:06A</t>
  </si>
  <si>
    <t>08:18:16A</t>
  </si>
  <si>
    <t>Test 034</t>
  </si>
  <si>
    <t>08:19:41A</t>
  </si>
  <si>
    <t>08:19:50A</t>
  </si>
  <si>
    <t>08:19:57A</t>
  </si>
  <si>
    <t>08:20:04A</t>
  </si>
  <si>
    <t>08:20:13A</t>
  </si>
  <si>
    <t>08:20:23A</t>
  </si>
  <si>
    <t>08:20:53A</t>
  </si>
  <si>
    <t>08:21:03A</t>
  </si>
  <si>
    <t>08:21:12A</t>
  </si>
  <si>
    <t>08:21:22A</t>
  </si>
  <si>
    <t>08:21:29A</t>
  </si>
  <si>
    <t>08:21:37A</t>
  </si>
  <si>
    <t>Test 035</t>
  </si>
  <si>
    <t>08:24:22A</t>
  </si>
  <si>
    <t>08:24:33A</t>
  </si>
  <si>
    <t>08:24:45A</t>
  </si>
  <si>
    <t>08:24:53A</t>
  </si>
  <si>
    <t>08:25:00A</t>
  </si>
  <si>
    <t>08:25:11A</t>
  </si>
  <si>
    <t>08:25:41A</t>
  </si>
  <si>
    <t>08:25:49A</t>
  </si>
  <si>
    <t>08:26:13A</t>
  </si>
  <si>
    <t>08:26:35A</t>
  </si>
  <si>
    <t>08:26:58A</t>
  </si>
  <si>
    <t>08:27:09A</t>
  </si>
  <si>
    <t>Test 036</t>
  </si>
  <si>
    <t>08:27:53A</t>
  </si>
  <si>
    <t>08:28:05A</t>
  </si>
  <si>
    <t>08:28:16A</t>
  </si>
  <si>
    <t>08:28:26A</t>
  </si>
  <si>
    <t>08:28:41A</t>
  </si>
  <si>
    <t>08:29:27A</t>
  </si>
  <si>
    <t>08:29:47A</t>
  </si>
  <si>
    <t>08:29:57A</t>
  </si>
  <si>
    <t>08:30:04A</t>
  </si>
  <si>
    <t>08:30:11A</t>
  </si>
  <si>
    <t>08:30:24A</t>
  </si>
  <si>
    <t>08:30:36A</t>
  </si>
  <si>
    <t>Test 037</t>
  </si>
  <si>
    <t>08:31:14A</t>
  </si>
  <si>
    <t>08:31:24A</t>
  </si>
  <si>
    <t>08:31:32A</t>
  </si>
  <si>
    <t>08:31:40A</t>
  </si>
  <si>
    <t>08:31:48A</t>
  </si>
  <si>
    <t>08:31:56A</t>
  </si>
  <si>
    <t>08:32:17A</t>
  </si>
  <si>
    <t>08:32:32A</t>
  </si>
  <si>
    <t>08:32:40A</t>
  </si>
  <si>
    <t>08:32:51A</t>
  </si>
  <si>
    <t>08:33:03A</t>
  </si>
  <si>
    <t>08:33:22A</t>
  </si>
  <si>
    <t>Test 038</t>
  </si>
  <si>
    <t>08:46:22A</t>
  </si>
  <si>
    <t>ERV ON Off Experiements</t>
  </si>
  <si>
    <t>Test 039</t>
  </si>
  <si>
    <t>09:33:12A</t>
  </si>
  <si>
    <t>09:33:25A</t>
  </si>
  <si>
    <t>09:33:47A</t>
  </si>
  <si>
    <t>09:34:07A</t>
  </si>
  <si>
    <t>09:34:26A</t>
  </si>
  <si>
    <t>Test 040</t>
  </si>
  <si>
    <t>09:35:07A</t>
  </si>
  <si>
    <t>09:35:20A</t>
  </si>
  <si>
    <t>09:35:33A</t>
  </si>
  <si>
    <t>09:35:49A</t>
  </si>
  <si>
    <t>09:36:07A</t>
  </si>
  <si>
    <t>09:46:50A</t>
  </si>
  <si>
    <t>Test 041</t>
  </si>
  <si>
    <t>09:48:00A</t>
  </si>
  <si>
    <t>09:48:13A</t>
  </si>
  <si>
    <t>09:48:28A</t>
  </si>
  <si>
    <t>09:48:43A</t>
  </si>
  <si>
    <t>09:48:58A</t>
  </si>
  <si>
    <t>Test 042</t>
  </si>
  <si>
    <t>09:49:37A</t>
  </si>
  <si>
    <t>09:49:49A</t>
  </si>
  <si>
    <t>09:50:08A</t>
  </si>
  <si>
    <t>09:50:26A</t>
  </si>
  <si>
    <t>09:50:45A</t>
  </si>
  <si>
    <t>Test 043</t>
  </si>
  <si>
    <t>09:56:48A</t>
  </si>
  <si>
    <t>09:57:04A</t>
  </si>
  <si>
    <t>09:57:13A</t>
  </si>
  <si>
    <t>09:57:22A</t>
  </si>
  <si>
    <t>09:57:32A</t>
  </si>
  <si>
    <t>09:57:39A</t>
  </si>
  <si>
    <t>09:57:51A</t>
  </si>
  <si>
    <t>09:58:02A</t>
  </si>
  <si>
    <t>09:58:12A</t>
  </si>
  <si>
    <t>09:58:24A</t>
  </si>
  <si>
    <t>Test 044</t>
  </si>
  <si>
    <t>09:59:01A</t>
  </si>
  <si>
    <t>09:59:11A</t>
  </si>
  <si>
    <t>09:59:23A</t>
  </si>
  <si>
    <t>09:59:33A</t>
  </si>
  <si>
    <t>09:59:50A</t>
  </si>
  <si>
    <t>10:00:00A</t>
  </si>
  <si>
    <t>10:00:07A</t>
  </si>
  <si>
    <t>10:00:14A</t>
  </si>
  <si>
    <t>10:00:21A</t>
  </si>
  <si>
    <t>10:00:28A</t>
  </si>
  <si>
    <t>Test 045</t>
  </si>
  <si>
    <t>10:05:36A</t>
  </si>
  <si>
    <t>10:05:44A</t>
  </si>
  <si>
    <t>10:05:56A</t>
  </si>
  <si>
    <t>10:06:07A</t>
  </si>
  <si>
    <t>10:06:14A</t>
  </si>
  <si>
    <t>10:06:22A</t>
  </si>
  <si>
    <t>10:06:29A</t>
  </si>
  <si>
    <t>10:06:36A</t>
  </si>
  <si>
    <t>10:06:44A</t>
  </si>
  <si>
    <t>10:06:55A</t>
  </si>
  <si>
    <t>Test 046</t>
  </si>
  <si>
    <t>10:07:39A</t>
  </si>
  <si>
    <t>10:07:46A</t>
  </si>
  <si>
    <t>10:07:53A</t>
  </si>
  <si>
    <t>10:08:02A</t>
  </si>
  <si>
    <t>10:08:14A</t>
  </si>
  <si>
    <t>10:08:22A</t>
  </si>
  <si>
    <t>10:08:32A</t>
  </si>
  <si>
    <t>10:08:43A</t>
  </si>
  <si>
    <t>10:08:53A</t>
  </si>
  <si>
    <t>10:09:01A</t>
  </si>
  <si>
    <t>Test 047</t>
  </si>
  <si>
    <t>10:59:59A</t>
  </si>
  <si>
    <t>11:00:06A</t>
  </si>
  <si>
    <t>Test 048</t>
  </si>
  <si>
    <t>11:00:41A</t>
  </si>
  <si>
    <t>11:00:48A</t>
  </si>
  <si>
    <t>11:00:55A</t>
  </si>
  <si>
    <t>11:01:03A</t>
  </si>
  <si>
    <t>11:01:13A</t>
  </si>
  <si>
    <t>11:01:25A</t>
  </si>
  <si>
    <t>11:01:49A</t>
  </si>
  <si>
    <t>11:01:57A</t>
  </si>
  <si>
    <t>11:02:07A</t>
  </si>
  <si>
    <t>11:02:17A</t>
  </si>
  <si>
    <t>11:02:25A</t>
  </si>
  <si>
    <t>11:02:36A</t>
  </si>
  <si>
    <t xml:space="preserve">ERV On off -- pressure comparison </t>
  </si>
  <si>
    <t>tests 039 to 046</t>
  </si>
  <si>
    <t>Nothing detectable at 0.1 inch level in barometer display</t>
  </si>
  <si>
    <t>Place single pressure probe in living return vent -- 5 samples</t>
  </si>
  <si>
    <t>ERV off</t>
  </si>
  <si>
    <t>ERV on</t>
  </si>
  <si>
    <t>Not significant difference -- hard to expect one, same room, no barrier</t>
  </si>
  <si>
    <t>Place pressure probes for external static pressure (inside filter) -- 5 samples</t>
  </si>
  <si>
    <t>Not significant difference, separated by air handler cabinet; not tightly sealed outside</t>
  </si>
  <si>
    <t>Run system full</t>
  </si>
  <si>
    <t>test 043</t>
  </si>
  <si>
    <t>Avg off</t>
  </si>
  <si>
    <t>Avg on</t>
  </si>
  <si>
    <t>Possible difference if any is &lt;&lt; .01"</t>
  </si>
  <si>
    <t>NOTE prior hypothesis was greater flow when on (this would be opposite . . .)</t>
  </si>
  <si>
    <t>Dispel this thought.</t>
  </si>
  <si>
    <t>Duct Pressure Probe</t>
  </si>
  <si>
    <t>Misc # of samples, averages</t>
  </si>
  <si>
    <t>External Static Pressure -- probe in supply plenum; probe interior of filter (return); probe exterior to filter (return)</t>
  </si>
  <si>
    <t>In west supply branch</t>
  </si>
  <si>
    <t>Interior to the filter</t>
  </si>
  <si>
    <t>single</t>
  </si>
  <si>
    <t>avg</t>
  </si>
  <si>
    <t>min</t>
  </si>
  <si>
    <t>max</t>
  </si>
  <si>
    <t>In air</t>
  </si>
  <si>
    <t>Start up 38</t>
  </si>
  <si>
    <t>In DR Vent</t>
  </si>
  <si>
    <t>Start up 60</t>
  </si>
  <si>
    <t>In east main branch</t>
  </si>
  <si>
    <t>test 013, 10 samples</t>
  </si>
  <si>
    <t>Full blast 94 sample of 18</t>
  </si>
  <si>
    <t>test 010</t>
  </si>
  <si>
    <t>In Basement ceiling grill</t>
  </si>
  <si>
    <t>Full blast 94 sample of 5 more</t>
  </si>
  <si>
    <t>test 011</t>
  </si>
  <si>
    <t>(making sure supply probe straight)</t>
  </si>
  <si>
    <t>In study return grill</t>
  </si>
  <si>
    <t>Outside filter sample of 10</t>
  </si>
  <si>
    <t>test 012</t>
  </si>
  <si>
    <t>In gym vent</t>
  </si>
  <si>
    <t>Kitchen vent</t>
  </si>
  <si>
    <t>Count</t>
  </si>
  <si>
    <t>test 20</t>
  </si>
  <si>
    <t>test 21</t>
  </si>
  <si>
    <t>Full Blast 95</t>
  </si>
  <si>
    <t>test 22</t>
  </si>
  <si>
    <t>JUST THE SUPPLY</t>
  </si>
  <si>
    <t>test 23</t>
  </si>
  <si>
    <r>
      <t xml:space="preserve">  </t>
    </r>
    <r>
      <rPr>
        <sz val="11"/>
        <color theme="1"/>
        <rFont val="Calibri"/>
        <family val="2"/>
        <scheme val="minor"/>
      </rPr>
      <t xml:space="preserve"> JUST THE RETURN</t>
    </r>
  </si>
  <si>
    <t>test 24</t>
  </si>
  <si>
    <t>https://www.energystar.gov/sites/default/files/specs/National%20Comfort%20Institute%20-%20Measure%20and%20Interpret%20Static%20Pressures.pdf</t>
  </si>
  <si>
    <t>So pressure downgrade at 38</t>
  </si>
  <si>
    <t>pressure downgrade at 60</t>
  </si>
  <si>
    <t>https://hvacrschool.com/total-external-static-pressure-tesp-a-basic-review/</t>
  </si>
  <si>
    <t>Observations from point wise comparison of instruments (pitot and hotwire):</t>
  </si>
  <si>
    <t>(1) Sign of difference consistent across 20/21 of 25 points.</t>
  </si>
  <si>
    <t>(2) Most points where sign is different are at edge -- venturi effect of pitot along edge?  Or possibly straighter flow on edge.</t>
  </si>
  <si>
    <t>(3) Degree of difference does not correllate consistently with size of pitot flow.  This does not support turbulence hypothesis for difference,</t>
  </si>
  <si>
    <t xml:space="preserve">     but neither does it disprove it.</t>
  </si>
  <si>
    <t>West supply duct -- average of three pitot traverses</t>
  </si>
  <si>
    <t>East supply duct average of two pitot traverses</t>
  </si>
  <si>
    <t>Max/Avg</t>
  </si>
  <si>
    <t>West supply duct hot wire traverse</t>
  </si>
  <si>
    <t>East supply duct hot wire traverse</t>
  </si>
  <si>
    <t>% hotwire above pitot</t>
  </si>
  <si>
    <t>ABSOLUTE DIFFERENCES</t>
  </si>
  <si>
    <t>Average of both instruments</t>
  </si>
  <si>
    <t>Correlation of % difference with average</t>
  </si>
  <si>
    <t>https://www.daikinac.com/content/assets/DOC/EngineeringManuals/2017/Engineering%20Manual-SkyAir-web.pdf</t>
  </si>
  <si>
    <t>Motor appears to be set to generate .4"H20 -- this is consistent with observed flow, but does not absolutely prove flow</t>
  </si>
  <si>
    <t xml:space="preserve">    It all roughly fits -- pressure and wattage and observed CFM -- with the standard setting</t>
  </si>
  <si>
    <t xml:space="preserve">    What if was not initially calibrated and was set at too high voltage?  (</t>
  </si>
  <si>
    <t xml:space="preserve">    Suppose true pressure for 635 CFM was .2" and our flow measurements are just completely off</t>
  </si>
  <si>
    <t>Running at .4" in a .2" system would generate flows 1.414x as high as rated or approximately 900CFM</t>
  </si>
  <si>
    <t>Fan power for a set of systems with same flow at each different pressure will be proportional to pressure</t>
  </si>
  <si>
    <t>So fan power setting in the 2" for 635CFM system is roughly 50 watts subject to fan and motor efficiency curves (since max power may be 200 watts</t>
  </si>
  <si>
    <t>Running that system at 4" pressure would increase both flow and pressure, leading to a fan load of 50 x 2 x 1.414 -- 141 watts</t>
  </si>
  <si>
    <t>All of this counterfactual reasoning is speculative as to motor power consumption at different levels.   The edge errors are not plausible, but more modest installation errors (.3" or .5") cannot be ruled out, but we have no reason to believe any error.</t>
  </si>
  <si>
    <t>Electric power to flow relationships are heavily subject to efficiency as well as duct pressure</t>
  </si>
  <si>
    <t>Bottom line is that since fan and motor efficiency are unknown and can be &lt;&lt; 1, can't make any inferences from power to cfm.</t>
  </si>
  <si>
    <t>Air handleroperating at watts</t>
  </si>
  <si>
    <t>Watts are power unit, 1 joule per second</t>
  </si>
  <si>
    <t>Joule = 1 newton meter</t>
  </si>
  <si>
    <t>Power in newton-meter/second</t>
  </si>
  <si>
    <t xml:space="preserve">    divided by pressure in newtons per meter^2</t>
  </si>
  <si>
    <t xml:space="preserve">inches of water column </t>
  </si>
  <si>
    <t>pascals (n/m2) per inch of water</t>
  </si>
  <si>
    <t xml:space="preserve">    equals meter^3/sec</t>
  </si>
  <si>
    <t xml:space="preserve">    cfm</t>
  </si>
  <si>
    <t>Motor efficiency and phase AND FAN EFFICIENCY (for example)</t>
  </si>
  <si>
    <t>ESTIMATED CFM</t>
  </si>
  <si>
    <t>https://www.amca.org/assets/resources/public/pdf/Education%20Modules/AMCA%20210-16.pdf</t>
  </si>
  <si>
    <t>The problem with the discussion above is that pressure measurements may not really correlate with true fan metrics</t>
  </si>
  <si>
    <t>Total pressure is a point number versus atmosphere (static plus velocity)</t>
  </si>
  <si>
    <t>Total fan pressure is the difference of these across the fan inlet to outlet.  But the measurement plane is not that in our measurements</t>
  </si>
  <si>
    <t>Probably have correct static at inlet, not sure about outlet.</t>
  </si>
  <si>
    <t>My measurements are accurate as to the External Static Pressure of the air handler, but not necessarily the fan per se.</t>
  </si>
  <si>
    <t>So, they are valid as to the settings of air handler and its relationship to CFM, but not necessarily accurate as to the fan static efficiency.</t>
  </si>
  <si>
    <t xml:space="preserve">      Would have an even harder time knowing the fan total efficiency since all velocity measurements would be highly turbulent</t>
  </si>
  <si>
    <t>BUT, the example numbers below as to fan static and total efficiency (when combined with motor efficiency numbers) give plausibility to the low efficiency numbers in the math above</t>
  </si>
  <si>
    <t>Factor</t>
  </si>
  <si>
    <t>BHP</t>
  </si>
  <si>
    <t>Static Efficiency=(CFM×p)/(6343×BHP)</t>
  </si>
  <si>
    <t>Reported total efficiency</t>
  </si>
  <si>
    <t>9x 4 fan from catalog https://oslo.daikinapplied.com/api/sharepoint/getdocument/Doc100/560-1.pdf/</t>
  </si>
  <si>
    <t>Our case -- high because not using BHP, using motor pressure</t>
  </si>
  <si>
    <t>Big fan in https://content.greenheck.com/public/DAMProd/Original/10002/CS104-13_FEG.pdf</t>
  </si>
  <si>
    <t xml:space="preserve">   This is a fan manufacturer</t>
  </si>
  <si>
    <t xml:space="preserve">   Smaller radius fans -- peak total efficiency</t>
  </si>
  <si>
    <t>&lt;40%</t>
  </si>
  <si>
    <t>Study of Sirocco fans -- total efficiency, figure 3 peak total efficiency values</t>
  </si>
  <si>
    <t>50% to 60%</t>
  </si>
  <si>
    <t>https://downloads.hindawi.com/journals/ijrm/2001/512930.pdf?_gl=1*el7b5t*_ga*OTA0NjUyMDE2LjE3MDczMTA3MDE.*_ga_NF5QFMJT5V*MTcwNzMxMDcwMS4xLjAuMTcwNzMxMDcwNy41NC4wLjA.&amp;_ga=2.79552788.1066158091.1707310701-904652016.1707310701</t>
  </si>
  <si>
    <t>FEG Explanation</t>
  </si>
  <si>
    <t>https://www.amca.org/assets/resources/public/userfiles/file/Nospreads_FanEfficGrades.pdf</t>
  </si>
  <si>
    <t>40 to 83%</t>
  </si>
  <si>
    <t>The guiding document is Laboratory Methods of Testing Fans for Certified Aerodynamic Performance Rating</t>
  </si>
  <si>
    <t>Mandatory explanation:</t>
  </si>
  <si>
    <t>https://matxansari.files.wordpress.com/2013/11/20140715-curious-definition-fsp-1.pdf</t>
  </si>
  <si>
    <t>https://matxansari.files.wordpress.com/2013/11/20131102-curious-definition-fsp-2.pdf</t>
  </si>
  <si>
    <t>https://matxansari.files.wordpress.com/2013/11/20131102-curious-definition-fsp-3.pdf</t>
  </si>
  <si>
    <t>See also:</t>
  </si>
  <si>
    <t>https://www.amca.org/assets/resources/public/userfiles/file/cermak_AMCA_web.pdf</t>
  </si>
  <si>
    <t>Further Small motors may have efficiencies well below 80%, especially at low load</t>
  </si>
  <si>
    <t>https://www.engineeringtoolbox.com/electrical-motor-efficiency-d_655.html</t>
  </si>
  <si>
    <t>78.8% for 1ph</t>
  </si>
  <si>
    <t>https://www.tytorobotics.com/blogs/articles/what-is-the-average-efficiency-of-an-electric-motor</t>
  </si>
  <si>
    <t>85% for 5 to 10kg motors (max)</t>
  </si>
  <si>
    <t xml:space="preserve">   Efficiencies decline with load</t>
  </si>
  <si>
    <t>https://www.energy.gov/eere/amo/articles/determining-electric-motor-load-and-efficiency</t>
  </si>
  <si>
    <t>FAN STATIC EFFICIENCY IS BASED ON FAN TOTAL EFFICIENCY AND RATIO OF FSP TO FTP</t>
  </si>
  <si>
    <t xml:space="preserve">   -- EFFICIENCY IS ALWAYS SYSTEM DEPENDENT; RATINGS ARE FOR COMPARISON</t>
  </si>
  <si>
    <t xml:space="preserve">   -- FAN STATIC PRESSURE DOES NOT MULTIPLY THROUGH TO A POWER CONCEPT</t>
  </si>
  <si>
    <t xml:space="preserve">   -- ONLY TOTAL PRESSURE MULTIPLIES THROUGH TO TOTAL OUTPUT POWER</t>
  </si>
  <si>
    <t xml:space="preserve">   -- EXTERNAL STATIC PRESSURE OF AN AIR HANDLER COULD PROXY FOR FAN STATIC PRESSURE IN DUCT SIZING</t>
  </si>
  <si>
    <t xml:space="preserve">   -- -- -- BUT IT DOES NOT TRANSLATE INTO TOTAL POWER FROM THE MOTOR BECAUSE OF COIL POWER LOSS</t>
  </si>
  <si>
    <t xml:space="preserve">   -- -- -- -- EVEN IF INPUT VELOCITY = OUTPUT VELOCITY</t>
  </si>
  <si>
    <t>The 94 watts power number we have is electric input.  We have several efficiency variables after that: </t>
  </si>
  <si>
    <t>electric to motor shaft power – small motor running at &lt; 1/3 of max wattage, easily 60% efficiency</t>
  </si>
  <si>
    <t>motor shaft to fan  – probably not much loss</t>
  </si>
  <si>
    <t>fan to air – easily 50% additional losses for small fans, probably especially at low load</t>
  </si>
  <si>
    <t>Wow.  The big lesson for the day.   Thank you again.</t>
  </si>
  <si>
    <t> </t>
  </si>
  <si>
    <t>I am believing that the following relationship should hold in international units  (approximating with incompressible flow) :</t>
  </si>
  <si>
    <r>
      <t>W = Q * P / E  or, alternatively,  W / P </t>
    </r>
    <r>
      <rPr>
        <b/>
        <sz val="12"/>
        <color rgb="FF000000"/>
        <rFont val="Arial"/>
        <family val="2"/>
        <charset val="1"/>
      </rPr>
      <t>​</t>
    </r>
    <r>
      <rPr>
        <b/>
        <sz val="12"/>
        <color rgb="FF000000"/>
        <rFont val="Aptos"/>
        <family val="2"/>
        <charset val="1"/>
      </rPr>
      <t> * E  = Q</t>
    </r>
  </si>
  <si>
    <t>Where:</t>
  </si>
  <si>
    <t>W = Watts on the input electric power meter – newton-meter/sec</t>
  </si>
  <si>
    <t>Q =  cubic meters/sec flow</t>
  </si>
  <si>
    <t>P = fan total pressure in pascals, newton-meter per meter-squared area</t>
  </si>
  <si>
    <t>E = dimensionless factor (&lt;1) adjusting for inefficiency of fan, drive, motor, etc. combined.</t>
  </si>
  <si>
    <t>Fan total pressure is measured as the difference between static pressure upstream and downstream from the fan.  </t>
  </si>
  <si>
    <t>My pressure measurement is an external static pressure measurement for the whole unit – downstream from the filter on the return side and downstream from the coil on the supply side, so pressure loss across the coil is an adjustment to make for a fan only.   </t>
  </si>
  <si>
    <t>I get the following measurements of static pressure:</t>
  </si>
  <si>
    <t>.39 inWG External Static Pressure as defined above,</t>
  </si>
  <si>
    <t>.17 inWG vs. atmosphere on the supply side plenum </t>
  </si>
  <si>
    <t>.22 inWG vs. atmosphere on the return side inside the filter just before the fan</t>
  </si>
  <si>
    <t>I'm guessing that for a fan alone without a coil, the negative pressure before equals the positive pressure after.  So, I'm guessing that the coil costs 0.05 inWG in pressure drop and the true fan total pressure difference is .17 +.05+ .22 = .44inWG.</t>
  </si>
  <si>
    <t>I have measurements of power consistently around 94 watts.</t>
  </si>
  <si>
    <t>Using the following values in the above equation</t>
  </si>
  <si>
    <t>W = 94 watts</t>
  </si>
  <si>
    <t>P = .4 inches WG or 100 pascal (rounding)</t>
  </si>
  <si>
    <t>E = 60% – just an assumption.</t>
  </si>
  <si>
    <t>So, flow in cubic meters/sec  should be .94 * E which translates into 1987 CFM *60% or 1192 CFM.  [1 cubic meter / second = 2 118.88 cubic feet per minute]</t>
  </si>
  <si>
    <r>
      <t>The rated flow on high-high (which is our setting) for the Daikin FBQ18PVJU is only 635 CFM and my duct traverses in </t>
    </r>
    <r>
      <rPr>
        <i/>
        <sz val="12"/>
        <color rgb="FF000000"/>
        <rFont val="Aptos"/>
        <family val="2"/>
        <charset val="1"/>
      </rPr>
      <t>relatively </t>
    </r>
    <r>
      <rPr>
        <sz val="12"/>
        <color rgb="FF000000"/>
        <rFont val="Aptos"/>
        <family val="2"/>
        <charset val="1"/>
      </rPr>
      <t>good spots come up with 593CFM with the hotwire and 545CFM with the Pitot Tube.  My balometer measurements are above and below those levels, but both manuals warn to calibrate with a traverse, so I think of the balometers as great for relative flow, but with our funky little low-flow diffusers they do not give convincing absolute flow.  The proportions accounted for by each duct do remain consistent across almost all measurements.</t>
    </r>
  </si>
  <si>
    <t>I've pasted a page from the Daikin manual below.  Our model is FBQ18PVJU.  </t>
  </si>
  <si>
    <t>The Daikin fan is adjustable to produce External Static Pressures ranging across fourteen stops from 50 pascal to 200 pascal.    At installation, there is a process to cause it to configure itself to the right level.  Even if that was not done, the default rated level is 635 cfm at 100 pascals, which is right about where we are.   The 94 watts makes sense because the fan can support ukp to 200 pascals at that flow which would be a duct system requiring roughly double the power or 200 watts, which is getting up towards the stated 286 watt motor capacity at full load ampacity of 1.3 (rated 350 watts).  So, I don't  think we are misstating the electric power much either up or down.</t>
  </si>
  <si>
    <t>I also don't see how we could be mismeasuring the pressure in a way that would lead to a much higher value for pressure (which is what we need to bring down the CFM estimate in the equation).  I can imagine taking smaller partial pressure values but none of them make sense and would only exacerbate the inconsistency.</t>
  </si>
  <si>
    <t>So, I'm pretty sure we are in the 600 cfm ballpark.   But I don't get what's wrong with the math above which gives a very different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</si>
</sst>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b/>
      <sz val="11"/>
      <color theme="1"/>
      <name val="Calibri"/>
      <family val="2"/>
      <scheme val="minor"/>
    </font>
    <font>
      <sz val="16"/>
      <color rgb="FF006100"/>
      <name val="Calibri"/>
      <family val="2"/>
      <scheme val="minor"/>
    </font>
    <font>
      <i/>
      <sz val="11"/>
      <color rgb="FF9C5700"/>
      <name val="Calibri"/>
      <family val="2"/>
      <scheme val="minor"/>
    </font>
    <font>
      <b/>
      <sz val="11"/>
      <color rgb="FF000000"/>
      <name val="Calibri"/>
      <family val="2"/>
      <scheme val="minor"/>
    </font>
    <font>
      <sz val="11"/>
      <color rgb="FF000000"/>
      <name val="Calibri"/>
      <family val="2"/>
    </font>
    <font>
      <b/>
      <sz val="14"/>
      <color rgb="FF000000"/>
      <name val="Calibri"/>
      <family val="2"/>
    </font>
    <font>
      <sz val="10"/>
      <color theme="1"/>
      <name val="Calibri"/>
      <family val="2"/>
      <scheme val="minor"/>
    </font>
    <font>
      <sz val="10"/>
      <color theme="1"/>
      <name val="Calibri"/>
      <scheme val="minor"/>
    </font>
    <font>
      <b/>
      <sz val="16"/>
      <color theme="1"/>
      <name val="Calibri"/>
      <scheme val="minor"/>
    </font>
    <font>
      <sz val="11"/>
      <color rgb="FF000000"/>
      <name val="Calibri"/>
      <charset val="1"/>
    </font>
    <font>
      <u/>
      <sz val="11"/>
      <color theme="10"/>
      <name val="Calibri"/>
      <family val="2"/>
      <scheme val="minor"/>
    </font>
    <font>
      <sz val="12"/>
      <color rgb="FF000000"/>
      <name val="Aptos"/>
      <family val="2"/>
      <charset val="1"/>
    </font>
    <font>
      <b/>
      <sz val="12"/>
      <color rgb="FF000000"/>
      <name val="Arial"/>
      <family val="2"/>
      <charset val="1"/>
    </font>
    <font>
      <b/>
      <sz val="12"/>
      <color rgb="FF000000"/>
      <name val="Aptos"/>
      <family val="2"/>
      <charset val="1"/>
    </font>
    <font>
      <i/>
      <sz val="12"/>
      <color rgb="FF000000"/>
      <name val="Aptos"/>
      <family val="2"/>
      <charset val="1"/>
    </font>
    <font>
      <sz val="12"/>
      <color rgb="FF000000"/>
      <name val="Aptos"/>
      <charset val="1"/>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1" tint="0.49998474074526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59999389629810485"/>
        <bgColor indexed="65"/>
      </patternFill>
    </fill>
    <fill>
      <patternFill patternType="solid">
        <fgColor theme="9" tint="0.79998168889431442"/>
        <bgColor indexed="65"/>
      </patternFill>
    </fill>
    <fill>
      <patternFill patternType="solid">
        <fgColor rgb="FFFFFFFF"/>
        <bgColor indexed="64"/>
      </patternFill>
    </fill>
  </fills>
  <borders count="3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s>
  <cellStyleXfs count="9">
    <xf numFmtId="0" fontId="0" fillId="0" borderId="0"/>
    <xf numFmtId="9" fontId="2" fillId="0" borderId="0" applyFon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1" applyNumberFormat="0" applyAlignment="0" applyProtection="0"/>
    <xf numFmtId="0" fontId="1" fillId="9" borderId="0" applyNumberFormat="0" applyBorder="0" applyAlignment="0" applyProtection="0"/>
    <xf numFmtId="0" fontId="1" fillId="10" borderId="0" applyNumberFormat="0" applyBorder="0" applyAlignment="0" applyProtection="0"/>
    <xf numFmtId="0" fontId="17" fillId="0" borderId="0" applyNumberFormat="0" applyFill="0" applyBorder="0" applyAlignment="0" applyProtection="0"/>
  </cellStyleXfs>
  <cellXfs count="123">
    <xf numFmtId="0" fontId="0" fillId="0" borderId="0" xfId="0"/>
    <xf numFmtId="0" fontId="6" fillId="5" borderId="1" xfId="5"/>
    <xf numFmtId="9" fontId="0" fillId="0" borderId="0" xfId="1" applyFont="1"/>
    <xf numFmtId="1" fontId="0" fillId="0" borderId="0" xfId="0" applyNumberFormat="1"/>
    <xf numFmtId="0" fontId="7" fillId="0" borderId="0" xfId="0" applyFont="1"/>
    <xf numFmtId="3" fontId="0" fillId="0" borderId="0" xfId="0" applyNumberForma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3" fillId="2" borderId="0" xfId="2"/>
    <xf numFmtId="1" fontId="0" fillId="0" borderId="2" xfId="0" applyNumberFormat="1" applyBorder="1"/>
    <xf numFmtId="1" fontId="0" fillId="0" borderId="3" xfId="0" applyNumberFormat="1" applyBorder="1"/>
    <xf numFmtId="1" fontId="0" fillId="0" borderId="4" xfId="0" applyNumberFormat="1" applyBorder="1"/>
    <xf numFmtId="1" fontId="0" fillId="0" borderId="5" xfId="0" applyNumberFormat="1" applyBorder="1"/>
    <xf numFmtId="1" fontId="0" fillId="0" borderId="6" xfId="0" applyNumberFormat="1" applyBorder="1"/>
    <xf numFmtId="1" fontId="0" fillId="0" borderId="7" xfId="0" applyNumberFormat="1" applyBorder="1"/>
    <xf numFmtId="1" fontId="0" fillId="0" borderId="8" xfId="0" applyNumberFormat="1" applyBorder="1"/>
    <xf numFmtId="1" fontId="0" fillId="0" borderId="9" xfId="0" applyNumberFormat="1" applyBorder="1"/>
    <xf numFmtId="1" fontId="8" fillId="2" borderId="0" xfId="2" applyNumberFormat="1" applyFont="1"/>
    <xf numFmtId="1" fontId="3" fillId="2" borderId="0" xfId="2" applyNumberFormat="1"/>
    <xf numFmtId="0" fontId="0" fillId="0" borderId="0" xfId="0" applyAlignment="1">
      <alignment horizontal="left" indent="1"/>
    </xf>
    <xf numFmtId="0" fontId="4" fillId="3" borderId="0" xfId="3"/>
    <xf numFmtId="0" fontId="3" fillId="2" borderId="3" xfId="2" applyBorder="1"/>
    <xf numFmtId="0" fontId="0" fillId="0" borderId="0" xfId="0" applyBorder="1"/>
    <xf numFmtId="0" fontId="0" fillId="0" borderId="8" xfId="0" applyBorder="1"/>
    <xf numFmtId="0" fontId="0" fillId="0" borderId="9" xfId="0" applyBorder="1"/>
    <xf numFmtId="14" fontId="0" fillId="0" borderId="0" xfId="0" applyNumberFormat="1"/>
    <xf numFmtId="1" fontId="7" fillId="0" borderId="0" xfId="0" applyNumberFormat="1" applyFont="1"/>
    <xf numFmtId="0" fontId="10" fillId="0" borderId="0" xfId="0" applyFont="1"/>
    <xf numFmtId="0" fontId="0" fillId="0" borderId="10" xfId="0" applyBorder="1"/>
    <xf numFmtId="0" fontId="0" fillId="0" borderId="11" xfId="0" applyBorder="1"/>
    <xf numFmtId="0" fontId="0" fillId="0" borderId="12" xfId="0" applyBorder="1"/>
    <xf numFmtId="0" fontId="0" fillId="0" borderId="13" xfId="0" applyBorder="1"/>
    <xf numFmtId="0" fontId="3" fillId="2" borderId="0" xfId="2" applyBorder="1"/>
    <xf numFmtId="0" fontId="0" fillId="0" borderId="14" xfId="0" applyBorder="1"/>
    <xf numFmtId="0" fontId="7" fillId="0" borderId="13" xfId="0" applyFont="1" applyBorder="1"/>
    <xf numFmtId="1" fontId="0" fillId="0" borderId="14" xfId="0" applyNumberFormat="1" applyBorder="1"/>
    <xf numFmtId="0" fontId="0" fillId="0" borderId="15" xfId="0" applyBorder="1"/>
    <xf numFmtId="1" fontId="0" fillId="0" borderId="16" xfId="0" applyNumberFormat="1" applyBorder="1"/>
    <xf numFmtId="1" fontId="8" fillId="2" borderId="17" xfId="2" applyNumberFormat="1" applyFont="1" applyBorder="1"/>
    <xf numFmtId="1" fontId="0" fillId="0" borderId="11" xfId="0" applyNumberFormat="1" applyBorder="1"/>
    <xf numFmtId="1" fontId="0" fillId="0" borderId="12" xfId="0" applyNumberFormat="1" applyBorder="1"/>
    <xf numFmtId="1" fontId="0" fillId="0" borderId="0" xfId="0" applyNumberFormat="1" applyBorder="1"/>
    <xf numFmtId="1" fontId="3" fillId="2" borderId="0" xfId="2" applyNumberFormat="1" applyBorder="1"/>
    <xf numFmtId="1" fontId="8" fillId="2" borderId="14" xfId="2" applyNumberFormat="1" applyFont="1" applyBorder="1"/>
    <xf numFmtId="0" fontId="10" fillId="0" borderId="10" xfId="0" applyFont="1" applyBorder="1"/>
    <xf numFmtId="0" fontId="0" fillId="6" borderId="0" xfId="0" applyFill="1"/>
    <xf numFmtId="14" fontId="0" fillId="6" borderId="0" xfId="0" applyNumberFormat="1" applyFill="1"/>
    <xf numFmtId="0" fontId="3" fillId="2" borderId="11" xfId="2" applyBorder="1"/>
    <xf numFmtId="0" fontId="0" fillId="0" borderId="16" xfId="0" applyBorder="1"/>
    <xf numFmtId="0" fontId="0" fillId="0" borderId="17" xfId="0" applyBorder="1"/>
    <xf numFmtId="0" fontId="10" fillId="0" borderId="13" xfId="0" applyFont="1" applyBorder="1"/>
    <xf numFmtId="0" fontId="9" fillId="4" borderId="16" xfId="4" applyFont="1" applyBorder="1"/>
    <xf numFmtId="0" fontId="9" fillId="4" borderId="17" xfId="4" applyFont="1" applyBorder="1"/>
    <xf numFmtId="0" fontId="7" fillId="0" borderId="0" xfId="0" applyFont="1" applyBorder="1"/>
    <xf numFmtId="0" fontId="10" fillId="0" borderId="0" xfId="0" applyFont="1" applyBorder="1"/>
    <xf numFmtId="0" fontId="7" fillId="7" borderId="0" xfId="0" applyFont="1" applyFill="1"/>
    <xf numFmtId="0" fontId="0" fillId="7" borderId="0" xfId="0" applyFill="1"/>
    <xf numFmtId="14" fontId="0" fillId="7" borderId="0" xfId="0" applyNumberFormat="1" applyFill="1"/>
    <xf numFmtId="0" fontId="0" fillId="8" borderId="0" xfId="0" applyFill="1"/>
    <xf numFmtId="14" fontId="0" fillId="8" borderId="0" xfId="0" applyNumberFormat="1" applyFill="1"/>
    <xf numFmtId="0" fontId="7" fillId="8" borderId="0" xfId="0" applyFont="1" applyFill="1"/>
    <xf numFmtId="9" fontId="0" fillId="0" borderId="0" xfId="0" applyNumberFormat="1"/>
    <xf numFmtId="0" fontId="0" fillId="0" borderId="0" xfId="0" applyAlignment="1">
      <alignment wrapText="1"/>
    </xf>
    <xf numFmtId="0" fontId="1" fillId="9" borderId="0" xfId="6"/>
    <xf numFmtId="0" fontId="7" fillId="0" borderId="18" xfId="0" applyFont="1" applyBorder="1"/>
    <xf numFmtId="0" fontId="11" fillId="0" borderId="18" xfId="0" applyFont="1" applyFill="1" applyBorder="1" applyAlignment="1"/>
    <xf numFmtId="1" fontId="0" fillId="0" borderId="18" xfId="0" applyNumberFormat="1" applyBorder="1"/>
    <xf numFmtId="0" fontId="0" fillId="0" borderId="18" xfId="0" applyBorder="1"/>
    <xf numFmtId="1" fontId="1" fillId="9" borderId="18" xfId="6" applyNumberFormat="1" applyBorder="1"/>
    <xf numFmtId="0" fontId="1" fillId="10" borderId="0" xfId="7"/>
    <xf numFmtId="0" fontId="0" fillId="0" borderId="20" xfId="0" applyBorder="1"/>
    <xf numFmtId="1" fontId="0" fillId="0" borderId="19" xfId="0" applyNumberFormat="1" applyBorder="1"/>
    <xf numFmtId="1" fontId="1" fillId="9" borderId="19" xfId="6" applyNumberFormat="1" applyBorder="1"/>
    <xf numFmtId="1" fontId="0" fillId="0" borderId="22" xfId="0" applyNumberFormat="1" applyBorder="1"/>
    <xf numFmtId="1" fontId="0" fillId="0" borderId="23" xfId="0" applyNumberFormat="1" applyBorder="1"/>
    <xf numFmtId="0" fontId="12" fillId="0" borderId="19" xfId="0" applyFont="1" applyFill="1" applyBorder="1" applyAlignment="1"/>
    <xf numFmtId="9" fontId="0" fillId="0" borderId="18" xfId="0" applyNumberFormat="1" applyBorder="1"/>
    <xf numFmtId="1" fontId="13" fillId="0" borderId="18" xfId="0" applyNumberFormat="1" applyFont="1" applyBorder="1"/>
    <xf numFmtId="1" fontId="13" fillId="0" borderId="20" xfId="0" applyNumberFormat="1" applyFont="1" applyBorder="1"/>
    <xf numFmtId="1" fontId="14" fillId="10" borderId="21" xfId="7" applyNumberFormat="1" applyFont="1" applyBorder="1"/>
    <xf numFmtId="1" fontId="13" fillId="0" borderId="21" xfId="0" applyNumberFormat="1" applyFont="1" applyBorder="1"/>
    <xf numFmtId="1" fontId="14" fillId="10" borderId="18" xfId="7" applyNumberFormat="1" applyFont="1" applyBorder="1"/>
    <xf numFmtId="1" fontId="14" fillId="10" borderId="20" xfId="7" applyNumberFormat="1" applyFont="1" applyBorder="1"/>
    <xf numFmtId="0" fontId="13" fillId="0" borderId="18" xfId="0" applyFont="1" applyBorder="1"/>
    <xf numFmtId="0" fontId="13" fillId="0" borderId="21" xfId="0" applyFont="1" applyBorder="1" applyAlignment="1">
      <alignment wrapText="1"/>
    </xf>
    <xf numFmtId="0" fontId="0" fillId="0" borderId="23" xfId="0" applyBorder="1" applyAlignment="1">
      <alignment wrapText="1"/>
    </xf>
    <xf numFmtId="1" fontId="4" fillId="3" borderId="18" xfId="3" applyNumberFormat="1" applyBorder="1"/>
    <xf numFmtId="1" fontId="4" fillId="3" borderId="19" xfId="3" applyNumberFormat="1" applyBorder="1"/>
    <xf numFmtId="1" fontId="15" fillId="10" borderId="18" xfId="7" applyNumberFormat="1" applyFont="1" applyBorder="1"/>
    <xf numFmtId="1" fontId="15" fillId="10" borderId="19" xfId="7" applyNumberFormat="1" applyFont="1" applyBorder="1"/>
    <xf numFmtId="9" fontId="4" fillId="3" borderId="18" xfId="3" applyNumberFormat="1" applyBorder="1"/>
    <xf numFmtId="0" fontId="0" fillId="0" borderId="0" xfId="0" applyFill="1"/>
    <xf numFmtId="1" fontId="1" fillId="10" borderId="18" xfId="7" applyNumberFormat="1" applyBorder="1"/>
    <xf numFmtId="1" fontId="11" fillId="0" borderId="19" xfId="0" applyNumberFormat="1" applyFont="1" applyFill="1" applyBorder="1" applyAlignment="1"/>
    <xf numFmtId="0" fontId="0" fillId="0" borderId="19" xfId="0" applyBorder="1"/>
    <xf numFmtId="0" fontId="13" fillId="0" borderId="0" xfId="0" applyFont="1" applyBorder="1" applyAlignment="1">
      <alignment wrapText="1"/>
    </xf>
    <xf numFmtId="0" fontId="0" fillId="0" borderId="0" xfId="0" applyBorder="1" applyAlignment="1">
      <alignment wrapText="1"/>
    </xf>
    <xf numFmtId="0" fontId="16" fillId="0" borderId="0" xfId="0" applyFont="1"/>
    <xf numFmtId="0" fontId="17" fillId="0" borderId="0" xfId="8"/>
    <xf numFmtId="0" fontId="18" fillId="0" borderId="0" xfId="0" applyFont="1" applyAlignment="1">
      <alignment wrapText="1"/>
    </xf>
    <xf numFmtId="0" fontId="17" fillId="0" borderId="0" xfId="8" applyAlignment="1">
      <alignment wrapText="1"/>
    </xf>
    <xf numFmtId="0" fontId="20" fillId="0" borderId="0" xfId="0" applyFont="1" applyAlignment="1">
      <alignment wrapText="1"/>
    </xf>
    <xf numFmtId="0" fontId="22" fillId="11" borderId="0" xfId="0" applyFont="1" applyFill="1" applyBorder="1" applyAlignment="1">
      <alignment wrapText="1"/>
    </xf>
    <xf numFmtId="0" fontId="17" fillId="11" borderId="0" xfId="8" applyFill="1" applyAlignment="1">
      <alignment wrapText="1"/>
    </xf>
    <xf numFmtId="0" fontId="22" fillId="11" borderId="0" xfId="0" applyFont="1" applyFill="1" applyAlignment="1">
      <alignment wrapText="1"/>
    </xf>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9" fontId="0" fillId="0" borderId="31" xfId="0" applyNumberFormat="1" applyBorder="1"/>
    <xf numFmtId="0" fontId="0" fillId="0" borderId="32" xfId="0" applyBorder="1"/>
    <xf numFmtId="0" fontId="0" fillId="0" borderId="33" xfId="0" applyBorder="1"/>
    <xf numFmtId="0" fontId="0" fillId="0" borderId="34" xfId="0" applyBorder="1"/>
    <xf numFmtId="0" fontId="0" fillId="0" borderId="35" xfId="0" applyBorder="1"/>
    <xf numFmtId="9" fontId="0" fillId="0" borderId="36" xfId="0" applyNumberFormat="1" applyBorder="1"/>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cellXfs>
  <cellStyles count="9">
    <cellStyle name="20% - Accent6" xfId="7" builtinId="50"/>
    <cellStyle name="40% - Accent4" xfId="6" builtinId="43"/>
    <cellStyle name="Bad" xfId="3" builtinId="27"/>
    <cellStyle name="Check Cell" xfId="5" builtinId="23"/>
    <cellStyle name="Good" xfId="2" builtinId="26"/>
    <cellStyle name="Hyperlink" xfId="8" builtinId="8"/>
    <cellStyle name="Neutral" xfId="4" builtinId="28"/>
    <cellStyle name="Normal" xfId="0" builtinId="0"/>
    <cellStyle name="Percent" xfId="1" builtinId="5"/>
  </cellStyles>
  <dxfs count="0"/>
  <tableStyles count="0" defaultTableStyle="TableStyleMedium2" defaultPivotStyle="PivotStyleLight16"/>
  <colors>
    <mruColors>
      <color rgb="FFF28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5</xdr:col>
      <xdr:colOff>57759</xdr:colOff>
      <xdr:row>43</xdr:row>
      <xdr:rowOff>48323</xdr:rowOff>
    </xdr:to>
    <xdr:pic>
      <xdr:nvPicPr>
        <xdr:cNvPr id="2" name="Picture 1">
          <a:extLst>
            <a:ext uri="{FF2B5EF4-FFF2-40B4-BE49-F238E27FC236}">
              <a16:creationId xmlns:a16="http://schemas.microsoft.com/office/drawing/2014/main" id="{342F0FE9-6249-BB1E-1D5F-3621C0C51976}"/>
            </a:ext>
          </a:extLst>
        </xdr:cNvPr>
        <xdr:cNvPicPr>
          <a:picLocks noChangeAspect="1"/>
        </xdr:cNvPicPr>
      </xdr:nvPicPr>
      <xdr:blipFill>
        <a:blip xmlns:r="http://schemas.openxmlformats.org/officeDocument/2006/relationships" r:embed="rId1"/>
        <a:stretch>
          <a:fillRect/>
        </a:stretch>
      </xdr:blipFill>
      <xdr:spPr>
        <a:xfrm>
          <a:off x="0" y="3048000"/>
          <a:ext cx="4363059" cy="5001323"/>
        </a:xfrm>
        <a:prstGeom prst="rect">
          <a:avLst/>
        </a:prstGeom>
      </xdr:spPr>
    </xdr:pic>
    <xdr:clientData/>
  </xdr:twoCellAnchor>
  <xdr:twoCellAnchor editAs="oneCell">
    <xdr:from>
      <xdr:col>0</xdr:col>
      <xdr:colOff>0</xdr:colOff>
      <xdr:row>45</xdr:row>
      <xdr:rowOff>0</xdr:rowOff>
    </xdr:from>
    <xdr:to>
      <xdr:col>2</xdr:col>
      <xdr:colOff>133714</xdr:colOff>
      <xdr:row>58</xdr:row>
      <xdr:rowOff>76556</xdr:rowOff>
    </xdr:to>
    <xdr:pic>
      <xdr:nvPicPr>
        <xdr:cNvPr id="3" name="Picture 2">
          <a:extLst>
            <a:ext uri="{FF2B5EF4-FFF2-40B4-BE49-F238E27FC236}">
              <a16:creationId xmlns:a16="http://schemas.microsoft.com/office/drawing/2014/main" id="{9CEAAB9C-4AB5-4B94-E07D-C1EE8D9D54D8}"/>
            </a:ext>
          </a:extLst>
        </xdr:cNvPr>
        <xdr:cNvPicPr>
          <a:picLocks noChangeAspect="1"/>
        </xdr:cNvPicPr>
      </xdr:nvPicPr>
      <xdr:blipFill>
        <a:blip xmlns:r="http://schemas.openxmlformats.org/officeDocument/2006/relationships" r:embed="rId2"/>
        <a:stretch>
          <a:fillRect/>
        </a:stretch>
      </xdr:blipFill>
      <xdr:spPr>
        <a:xfrm>
          <a:off x="0" y="8382000"/>
          <a:ext cx="2610214" cy="2553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486438</xdr:colOff>
      <xdr:row>11</xdr:row>
      <xdr:rowOff>1048162</xdr:rowOff>
    </xdr:to>
    <xdr:pic>
      <xdr:nvPicPr>
        <xdr:cNvPr id="2" name="Picture 1">
          <a:extLst>
            <a:ext uri="{FF2B5EF4-FFF2-40B4-BE49-F238E27FC236}">
              <a16:creationId xmlns:a16="http://schemas.microsoft.com/office/drawing/2014/main" id="{83D77E13-FCFF-4B73-75FB-E6268F8438AE}"/>
            </a:ext>
          </a:extLst>
        </xdr:cNvPr>
        <xdr:cNvPicPr>
          <a:picLocks noChangeAspect="1"/>
        </xdr:cNvPicPr>
      </xdr:nvPicPr>
      <xdr:blipFill>
        <a:blip xmlns:r="http://schemas.openxmlformats.org/officeDocument/2006/relationships" r:embed="rId1"/>
        <a:stretch>
          <a:fillRect/>
        </a:stretch>
      </xdr:blipFill>
      <xdr:spPr>
        <a:xfrm>
          <a:off x="0" y="0"/>
          <a:ext cx="4753638" cy="2953162"/>
        </a:xfrm>
        <a:prstGeom prst="rect">
          <a:avLst/>
        </a:prstGeom>
      </xdr:spPr>
    </xdr:pic>
    <xdr:clientData/>
  </xdr:twoCellAnchor>
  <xdr:twoCellAnchor editAs="oneCell">
    <xdr:from>
      <xdr:col>0</xdr:col>
      <xdr:colOff>0</xdr:colOff>
      <xdr:row>22</xdr:row>
      <xdr:rowOff>85725</xdr:rowOff>
    </xdr:from>
    <xdr:to>
      <xdr:col>9</xdr:col>
      <xdr:colOff>2658612</xdr:colOff>
      <xdr:row>35</xdr:row>
      <xdr:rowOff>171808</xdr:rowOff>
    </xdr:to>
    <xdr:pic>
      <xdr:nvPicPr>
        <xdr:cNvPr id="3" name="Picture 2">
          <a:extLst>
            <a:ext uri="{FF2B5EF4-FFF2-40B4-BE49-F238E27FC236}">
              <a16:creationId xmlns:a16="http://schemas.microsoft.com/office/drawing/2014/main" id="{055BDAEE-DC6F-C773-E397-83A99828BE7B}"/>
            </a:ext>
            <a:ext uri="{147F2762-F138-4A5C-976F-8EAC2B608ADB}">
              <a16:predDERef xmlns:a16="http://schemas.microsoft.com/office/drawing/2014/main" pred="{83D77E13-FCFF-4B73-75FB-E6268F8438AE}"/>
            </a:ext>
          </a:extLst>
        </xdr:cNvPr>
        <xdr:cNvPicPr>
          <a:picLocks noChangeAspect="1"/>
        </xdr:cNvPicPr>
      </xdr:nvPicPr>
      <xdr:blipFill>
        <a:blip xmlns:r="http://schemas.openxmlformats.org/officeDocument/2006/relationships" r:embed="rId2"/>
        <a:stretch>
          <a:fillRect/>
        </a:stretch>
      </xdr:blipFill>
      <xdr:spPr>
        <a:xfrm>
          <a:off x="0" y="4467225"/>
          <a:ext cx="8145012" cy="2562583"/>
        </a:xfrm>
        <a:prstGeom prst="rect">
          <a:avLst/>
        </a:prstGeom>
      </xdr:spPr>
    </xdr:pic>
    <xdr:clientData/>
  </xdr:twoCellAnchor>
  <xdr:twoCellAnchor editAs="oneCell">
    <xdr:from>
      <xdr:col>9</xdr:col>
      <xdr:colOff>2543175</xdr:colOff>
      <xdr:row>21</xdr:row>
      <xdr:rowOff>0</xdr:rowOff>
    </xdr:from>
    <xdr:to>
      <xdr:col>16</xdr:col>
      <xdr:colOff>334057</xdr:colOff>
      <xdr:row>39</xdr:row>
      <xdr:rowOff>114795</xdr:rowOff>
    </xdr:to>
    <xdr:pic>
      <xdr:nvPicPr>
        <xdr:cNvPr id="4" name="Picture 3">
          <a:extLst>
            <a:ext uri="{FF2B5EF4-FFF2-40B4-BE49-F238E27FC236}">
              <a16:creationId xmlns:a16="http://schemas.microsoft.com/office/drawing/2014/main" id="{1FB8FEC4-EBDB-E56C-1627-23EA898855B9}"/>
            </a:ext>
            <a:ext uri="{147F2762-F138-4A5C-976F-8EAC2B608ADB}">
              <a16:predDERef xmlns:a16="http://schemas.microsoft.com/office/drawing/2014/main" pred="{055BDAEE-DC6F-C773-E397-83A99828BE7B}"/>
            </a:ext>
          </a:extLst>
        </xdr:cNvPr>
        <xdr:cNvPicPr>
          <a:picLocks noChangeAspect="1"/>
        </xdr:cNvPicPr>
      </xdr:nvPicPr>
      <xdr:blipFill>
        <a:blip xmlns:r="http://schemas.openxmlformats.org/officeDocument/2006/relationships" r:embed="rId3"/>
        <a:stretch>
          <a:fillRect/>
        </a:stretch>
      </xdr:blipFill>
      <xdr:spPr>
        <a:xfrm>
          <a:off x="8029575" y="6143625"/>
          <a:ext cx="4887007" cy="3543795"/>
        </a:xfrm>
        <a:prstGeom prst="rect">
          <a:avLst/>
        </a:prstGeom>
      </xdr:spPr>
    </xdr:pic>
    <xdr:clientData/>
  </xdr:twoCellAnchor>
  <xdr:twoCellAnchor editAs="oneCell">
    <xdr:from>
      <xdr:col>0</xdr:col>
      <xdr:colOff>295275</xdr:colOff>
      <xdr:row>36</xdr:row>
      <xdr:rowOff>104902</xdr:rowOff>
    </xdr:from>
    <xdr:to>
      <xdr:col>18</xdr:col>
      <xdr:colOff>171450</xdr:colOff>
      <xdr:row>96</xdr:row>
      <xdr:rowOff>163333</xdr:rowOff>
    </xdr:to>
    <xdr:pic>
      <xdr:nvPicPr>
        <xdr:cNvPr id="5" name="Picture 4">
          <a:extLst>
            <a:ext uri="{FF2B5EF4-FFF2-40B4-BE49-F238E27FC236}">
              <a16:creationId xmlns:a16="http://schemas.microsoft.com/office/drawing/2014/main" id="{6EF900FF-A61C-A689-0D96-20A3577F2651}"/>
            </a:ext>
          </a:extLst>
        </xdr:cNvPr>
        <xdr:cNvPicPr>
          <a:picLocks noChangeAspect="1"/>
        </xdr:cNvPicPr>
      </xdr:nvPicPr>
      <xdr:blipFill>
        <a:blip xmlns:r="http://schemas.openxmlformats.org/officeDocument/2006/relationships" r:embed="rId4"/>
        <a:stretch>
          <a:fillRect/>
        </a:stretch>
      </xdr:blipFill>
      <xdr:spPr>
        <a:xfrm rot="5400000">
          <a:off x="1390009" y="6058668"/>
          <a:ext cx="11488431" cy="13677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571500</xdr:colOff>
      <xdr:row>5</xdr:row>
      <xdr:rowOff>76200</xdr:rowOff>
    </xdr:from>
    <xdr:to>
      <xdr:col>9</xdr:col>
      <xdr:colOff>247650</xdr:colOff>
      <xdr:row>15</xdr:row>
      <xdr:rowOff>123825</xdr:rowOff>
    </xdr:to>
    <xdr:pic>
      <xdr:nvPicPr>
        <xdr:cNvPr id="2" name="Picture 1">
          <a:extLst>
            <a:ext uri="{FF2B5EF4-FFF2-40B4-BE49-F238E27FC236}">
              <a16:creationId xmlns:a16="http://schemas.microsoft.com/office/drawing/2014/main" id="{EEBCEF23-D181-4AEF-8285-761F4C762D53}"/>
            </a:ext>
            <a:ext uri="{147F2762-F138-4A5C-976F-8EAC2B608ADB}">
              <a16:predDERef xmlns:a16="http://schemas.microsoft.com/office/drawing/2014/main" pred="{6EF900FF-A61C-A689-0D96-20A3577F2651}"/>
            </a:ext>
          </a:extLst>
        </xdr:cNvPr>
        <xdr:cNvPicPr>
          <a:picLocks noChangeAspect="1"/>
        </xdr:cNvPicPr>
      </xdr:nvPicPr>
      <xdr:blipFill>
        <a:blip xmlns:r="http://schemas.openxmlformats.org/officeDocument/2006/relationships" r:embed="rId1"/>
        <a:stretch>
          <a:fillRect/>
        </a:stretch>
      </xdr:blipFill>
      <xdr:spPr>
        <a:xfrm>
          <a:off x="7762875" y="1028700"/>
          <a:ext cx="3657600" cy="1952625"/>
        </a:xfrm>
        <a:prstGeom prst="rect">
          <a:avLst/>
        </a:prstGeom>
      </xdr:spPr>
    </xdr:pic>
    <xdr:clientData/>
  </xdr:twoCellAnchor>
  <xdr:twoCellAnchor editAs="oneCell">
    <xdr:from>
      <xdr:col>5</xdr:col>
      <xdr:colOff>0</xdr:colOff>
      <xdr:row>32</xdr:row>
      <xdr:rowOff>0</xdr:rowOff>
    </xdr:from>
    <xdr:to>
      <xdr:col>9</xdr:col>
      <xdr:colOff>590550</xdr:colOff>
      <xdr:row>43</xdr:row>
      <xdr:rowOff>19050</xdr:rowOff>
    </xdr:to>
    <xdr:pic>
      <xdr:nvPicPr>
        <xdr:cNvPr id="3" name="Picture 2">
          <a:extLst>
            <a:ext uri="{FF2B5EF4-FFF2-40B4-BE49-F238E27FC236}">
              <a16:creationId xmlns:a16="http://schemas.microsoft.com/office/drawing/2014/main" id="{0844FCAB-F779-66F3-D1E8-CA17925E2835}"/>
            </a:ext>
            <a:ext uri="{147F2762-F138-4A5C-976F-8EAC2B608ADB}">
              <a16:predDERef xmlns:a16="http://schemas.microsoft.com/office/drawing/2014/main" pred="{EEBCEF23-D181-4AEF-8285-761F4C762D53}"/>
            </a:ext>
          </a:extLst>
        </xdr:cNvPr>
        <xdr:cNvPicPr>
          <a:picLocks noChangeAspect="1"/>
        </xdr:cNvPicPr>
      </xdr:nvPicPr>
      <xdr:blipFill>
        <a:blip xmlns:r="http://schemas.openxmlformats.org/officeDocument/2006/relationships" r:embed="rId2"/>
        <a:stretch>
          <a:fillRect/>
        </a:stretch>
      </xdr:blipFill>
      <xdr:spPr>
        <a:xfrm>
          <a:off x="7191375" y="6096000"/>
          <a:ext cx="4572000" cy="2114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8" Type="http://schemas.openxmlformats.org/officeDocument/2006/relationships/hyperlink" Target="https://downloads.hindawi.com/journals/ijrm/2001/512930.pdf?_gl=1*el7b5t*_ga*OTA0NjUyMDE2LjE3MDczMTA3MDE.*_ga_NF5QFMJT5V*MTcwNzMxMDcwMS4xLjAuMTcwNzMxMDcwNy41NC4wLjA.&amp;_ga=2.79552788.1066158091.1707310701-904652016.1707310701" TargetMode="External"/><Relationship Id="rId13" Type="http://schemas.openxmlformats.org/officeDocument/2006/relationships/hyperlink" Target="https://matxansari.files.wordpress.com/2013/11/20131102-curious-definition-fsp-2.pdf" TargetMode="External"/><Relationship Id="rId3" Type="http://schemas.openxmlformats.org/officeDocument/2006/relationships/hyperlink" Target="https://linkprotect.cudasvc.com/url?a=https%3a%2f%2fwww.amca.org%2fassets%2fresources%2fpublic%2fpdf%2fEducation%2520Modules%2fAMCA%2520210-16.pdf&amp;c=E,1,Xv3Kicrjt3XgOj6aIOe062blAQKDIU4qCjmarB_15HZuA_KgvhDU05xSa4TWOtgpkFJgZODOujl8lMoKmhRUUUqjjSxqOoJPOX2vQB4qz0szzSHH&amp;typo=1" TargetMode="External"/><Relationship Id="rId7" Type="http://schemas.openxmlformats.org/officeDocument/2006/relationships/hyperlink" Target="https://www.tytorobotics.com/blogs/articles/what-is-the-average-efficiency-of-an-electric-motor" TargetMode="External"/><Relationship Id="rId12" Type="http://schemas.openxmlformats.org/officeDocument/2006/relationships/hyperlink" Target="https://matxansari.files.wordpress.com/2013/11/20140715-curious-definition-fsp-1.pdf" TargetMode="External"/><Relationship Id="rId2" Type="http://schemas.openxmlformats.org/officeDocument/2006/relationships/hyperlink" Target="https://linkprotect.cudasvc.com/url?a=https%3a%2f%2fwww.daikinac.com%2fcontent%2fassets%2fDOC%2fEngineeringManuals%2f2017%2fEngineering%2520Manual-SkyAir-web.pdf&amp;c=E,1,ScNRqXBByiIeZKQ45ksWAbJsjw8YaUSAqfHQafhd2pSvCAEFNYtyK6Vv4g9wNjCM8lyHIUpHTKjFM5U9ta5ITypZiKO6lbdLf0KnBBt3D1c8ikyJ8FuBFw,,&amp;typo=1" TargetMode="External"/><Relationship Id="rId16" Type="http://schemas.openxmlformats.org/officeDocument/2006/relationships/drawing" Target="../drawings/drawing3.xml"/><Relationship Id="rId1" Type="http://schemas.openxmlformats.org/officeDocument/2006/relationships/hyperlink" Target="https://www.amca.org/assets/resources/public/pdf/Education%20Modules/AMCA%20210-16.pdf" TargetMode="External"/><Relationship Id="rId6" Type="http://schemas.openxmlformats.org/officeDocument/2006/relationships/hyperlink" Target="https://www.engineeringtoolbox.com/electrical-motor-efficiency-d_655.html" TargetMode="External"/><Relationship Id="rId11" Type="http://schemas.openxmlformats.org/officeDocument/2006/relationships/hyperlink" Target="https://www.energy.gov/eere/amo/articles/determining-electric-motor-load-and-efficiency" TargetMode="External"/><Relationship Id="rId5" Type="http://schemas.openxmlformats.org/officeDocument/2006/relationships/hyperlink" Target="https://content.greenheck.com/public/DAMProd/Original/10002/CS104-13_FEG.pdf" TargetMode="External"/><Relationship Id="rId15" Type="http://schemas.openxmlformats.org/officeDocument/2006/relationships/hyperlink" Target="https://www.amca.org/assets/resources/public/userfiles/file/cermak_AMCA_web.pdf" TargetMode="External"/><Relationship Id="rId10" Type="http://schemas.openxmlformats.org/officeDocument/2006/relationships/hyperlink" Target="https://www.amca.org/assets/resources/public/pdf/Education%20Modules/AMCA%20210-16.pdf" TargetMode="External"/><Relationship Id="rId4" Type="http://schemas.openxmlformats.org/officeDocument/2006/relationships/hyperlink" Target="https://www.tytorobotics.com/blogs/articles/what-is-the-average-efficiency-of-an-electric-motor" TargetMode="External"/><Relationship Id="rId9" Type="http://schemas.openxmlformats.org/officeDocument/2006/relationships/hyperlink" Target="https://www.amca.org/assets/resources/public/userfiles/file/Nospreads_FanEfficGrades.pdf" TargetMode="External"/><Relationship Id="rId14" Type="http://schemas.openxmlformats.org/officeDocument/2006/relationships/hyperlink" Target="https://matxansari.files.wordpress.com/2013/11/20131102-curious-definition-fsp-3.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0ECC8-3056-4347-9E4F-5A6B8C51A34B}">
  <dimension ref="A1:N62"/>
  <sheetViews>
    <sheetView workbookViewId="0">
      <selection activeCell="A3" sqref="A3"/>
    </sheetView>
  </sheetViews>
  <sheetFormatPr defaultRowHeight="15"/>
  <cols>
    <col min="1" max="1" width="56.140625" customWidth="1"/>
    <col min="2" max="6" width="12.5703125" customWidth="1"/>
    <col min="7" max="8" width="17" customWidth="1"/>
  </cols>
  <sheetData>
    <row r="1" spans="1:14">
      <c r="A1" t="s">
        <v>0</v>
      </c>
    </row>
    <row r="2" spans="1:14">
      <c r="B2" s="120" t="s">
        <v>1</v>
      </c>
      <c r="C2" s="121"/>
      <c r="D2" s="121"/>
      <c r="E2" s="121"/>
      <c r="F2" s="121"/>
      <c r="G2" s="120" t="s">
        <v>2</v>
      </c>
      <c r="H2" s="122"/>
    </row>
    <row r="3" spans="1:14" ht="78" customHeight="1">
      <c r="A3" s="68" t="s">
        <v>3</v>
      </c>
      <c r="B3" s="88" t="s">
        <v>4</v>
      </c>
      <c r="C3" s="88" t="s">
        <v>5</v>
      </c>
      <c r="D3" s="88" t="s">
        <v>6</v>
      </c>
      <c r="E3" s="88" t="s">
        <v>7</v>
      </c>
      <c r="F3" s="88" t="s">
        <v>8</v>
      </c>
      <c r="G3" s="89" t="s">
        <v>9</v>
      </c>
      <c r="H3" s="66" t="s">
        <v>10</v>
      </c>
      <c r="I3" s="66"/>
      <c r="J3" s="66"/>
      <c r="K3" s="66"/>
      <c r="L3" s="66"/>
      <c r="M3" s="66"/>
      <c r="N3" s="66"/>
    </row>
    <row r="4" spans="1:14">
      <c r="A4" s="69" t="s">
        <v>11</v>
      </c>
      <c r="B4" s="81">
        <v>161.5</v>
      </c>
      <c r="C4" s="81">
        <v>120.8</v>
      </c>
      <c r="D4" s="81">
        <v>118</v>
      </c>
      <c r="E4" s="81">
        <v>75</v>
      </c>
      <c r="F4" s="81"/>
      <c r="G4" s="75"/>
      <c r="H4" s="70"/>
    </row>
    <row r="5" spans="1:14">
      <c r="A5" s="69" t="s">
        <v>12</v>
      </c>
      <c r="B5" s="81">
        <v>76</v>
      </c>
      <c r="C5" s="81">
        <v>55.8</v>
      </c>
      <c r="D5" s="81">
        <v>50</v>
      </c>
      <c r="E5" s="81">
        <v>32.5</v>
      </c>
      <c r="F5" s="81"/>
      <c r="G5" s="76">
        <f>SUM(G14:G15)/SUM($C14:$C15)*$C5</f>
        <v>46.010378639312108</v>
      </c>
      <c r="H5" s="72">
        <f>SUM(H14:H15)/SUM($C14:$C15)*$C5</f>
        <v>42.339824005631819</v>
      </c>
    </row>
    <row r="6" spans="1:14">
      <c r="A6" s="69" t="s">
        <v>13</v>
      </c>
      <c r="B6" s="81">
        <v>175.5</v>
      </c>
      <c r="C6" s="81">
        <v>129.30000000000001</v>
      </c>
      <c r="D6" s="81">
        <v>126</v>
      </c>
      <c r="E6" s="81">
        <v>93</v>
      </c>
      <c r="F6" s="81"/>
      <c r="G6" s="75"/>
      <c r="H6" s="70"/>
    </row>
    <row r="7" spans="1:14">
      <c r="A7" s="69" t="s">
        <v>14</v>
      </c>
      <c r="B7" s="81">
        <v>100</v>
      </c>
      <c r="C7" s="81">
        <v>97.2</v>
      </c>
      <c r="D7" s="81">
        <v>111</v>
      </c>
      <c r="E7" s="81">
        <v>72</v>
      </c>
      <c r="F7" s="81"/>
      <c r="G7" s="91">
        <v>101</v>
      </c>
      <c r="H7" s="90">
        <f>'Traverse West'!Q1</f>
        <v>57.726765009712452</v>
      </c>
    </row>
    <row r="8" spans="1:14">
      <c r="A8" s="69" t="s">
        <v>15</v>
      </c>
      <c r="B8" s="81">
        <v>75</v>
      </c>
      <c r="C8" s="81">
        <v>61.9</v>
      </c>
      <c r="D8" s="81">
        <v>57</v>
      </c>
      <c r="E8" s="81">
        <v>42.5</v>
      </c>
      <c r="F8" s="81"/>
      <c r="G8" s="75">
        <v>46</v>
      </c>
      <c r="H8" s="70">
        <f>'Traverse East'!X2</f>
        <v>39.338085093778446</v>
      </c>
    </row>
    <row r="9" spans="1:14">
      <c r="A9" s="69" t="s">
        <v>16</v>
      </c>
      <c r="B9" s="81">
        <v>75</v>
      </c>
      <c r="C9" s="81">
        <v>73.3</v>
      </c>
      <c r="D9" s="81">
        <v>61</v>
      </c>
      <c r="E9" s="81">
        <v>41.5</v>
      </c>
      <c r="F9" s="81"/>
      <c r="G9" s="75"/>
      <c r="H9" s="70"/>
    </row>
    <row r="10" spans="1:14">
      <c r="A10" s="69" t="s">
        <v>17</v>
      </c>
      <c r="B10" s="81">
        <v>101.5</v>
      </c>
      <c r="C10" s="81">
        <v>63.3</v>
      </c>
      <c r="D10" s="81">
        <v>70</v>
      </c>
      <c r="E10" s="81">
        <v>46</v>
      </c>
      <c r="F10" s="81"/>
      <c r="G10" s="75">
        <v>56.6</v>
      </c>
      <c r="H10" s="70">
        <f>'Traverse East'!AJ2</f>
        <v>50.919980926934556</v>
      </c>
      <c r="K10" s="4"/>
    </row>
    <row r="11" spans="1:14">
      <c r="A11" s="69" t="s">
        <v>18</v>
      </c>
      <c r="B11" s="81">
        <v>86</v>
      </c>
      <c r="C11" s="81">
        <v>73.900000000000006</v>
      </c>
      <c r="D11" s="81">
        <v>61</v>
      </c>
      <c r="E11" s="81">
        <v>44.5</v>
      </c>
      <c r="F11" s="81"/>
      <c r="G11" s="75"/>
      <c r="H11" s="70"/>
    </row>
    <row r="12" spans="1:14">
      <c r="A12" s="69" t="s">
        <v>19</v>
      </c>
      <c r="B12" s="82">
        <v>70</v>
      </c>
      <c r="C12" s="82">
        <v>43.2</v>
      </c>
      <c r="D12" s="82">
        <v>41</v>
      </c>
      <c r="E12" s="82">
        <v>32</v>
      </c>
      <c r="F12" s="82"/>
      <c r="G12" s="77"/>
      <c r="H12" s="70">
        <f>'Traverse East'!AC2</f>
        <v>29.247900355686227</v>
      </c>
    </row>
    <row r="13" spans="1:14" ht="21">
      <c r="A13" s="79" t="s">
        <v>20</v>
      </c>
      <c r="B13" s="85">
        <f>SUM(B4:B12)</f>
        <v>920.5</v>
      </c>
      <c r="C13" s="85">
        <v>718.6</v>
      </c>
      <c r="D13" s="85">
        <v>693.23</v>
      </c>
      <c r="E13" s="85">
        <v>479</v>
      </c>
      <c r="F13" s="81">
        <v>694</v>
      </c>
      <c r="G13" s="93">
        <f>+G5+G14+G15</f>
        <v>592.6103786393121</v>
      </c>
      <c r="H13" s="92">
        <f>+H5+H14+H15</f>
        <v>545.33389807970593</v>
      </c>
    </row>
    <row r="14" spans="1:14">
      <c r="A14" s="71" t="s">
        <v>21</v>
      </c>
      <c r="B14" s="83">
        <f>B4+B6+B7</f>
        <v>437</v>
      </c>
      <c r="C14" s="83">
        <f>C4+C6+C7</f>
        <v>347.3</v>
      </c>
      <c r="D14" s="83">
        <f>D4+D6+D7</f>
        <v>355</v>
      </c>
      <c r="E14" s="83">
        <f>E4+E6+E7</f>
        <v>240</v>
      </c>
      <c r="F14" s="84"/>
      <c r="G14" s="78">
        <v>294.60000000000002</v>
      </c>
      <c r="H14" s="70">
        <f>'Traverse West'!E1</f>
        <v>267.90518518518519</v>
      </c>
    </row>
    <row r="15" spans="1:14">
      <c r="A15" s="69" t="s">
        <v>22</v>
      </c>
      <c r="B15" s="85">
        <f>SUM(B8:B12)</f>
        <v>407.5</v>
      </c>
      <c r="C15" s="85">
        <f>SUM(C8:C12)</f>
        <v>315.59999999999997</v>
      </c>
      <c r="D15" s="85">
        <f>SUM(D8:D12)</f>
        <v>290</v>
      </c>
      <c r="E15" s="85">
        <f>SUM(E8:E12)</f>
        <v>206.5</v>
      </c>
      <c r="F15" s="81"/>
      <c r="G15" s="97">
        <v>252</v>
      </c>
      <c r="H15" s="70">
        <f>'Traverse East'!F1</f>
        <v>235.0888888888889</v>
      </c>
    </row>
    <row r="16" spans="1:14">
      <c r="A16" s="74" t="s">
        <v>23</v>
      </c>
      <c r="B16" s="86">
        <f>B9+B11</f>
        <v>161</v>
      </c>
      <c r="C16" s="86">
        <f>C9+C11</f>
        <v>147.19999999999999</v>
      </c>
      <c r="D16" s="86">
        <f>D9+D11</f>
        <v>122</v>
      </c>
      <c r="E16" s="86">
        <f>E9+E11</f>
        <v>86</v>
      </c>
      <c r="F16" s="82"/>
      <c r="G16" s="77"/>
      <c r="H16" s="70">
        <f>'Traverse East'!S1</f>
        <v>96.222222222222214</v>
      </c>
    </row>
    <row r="17" spans="1:9">
      <c r="A17" s="71" t="s">
        <v>24</v>
      </c>
      <c r="B17" s="85">
        <f>B16+B12+B10+B8</f>
        <v>407.5</v>
      </c>
      <c r="C17" s="85">
        <f>C16+C12+C10+C8</f>
        <v>315.59999999999997</v>
      </c>
      <c r="D17" s="85">
        <f>D16+D12+D10+D8</f>
        <v>290</v>
      </c>
      <c r="E17" s="85">
        <f>E16+E12+E10+E8</f>
        <v>206.5</v>
      </c>
      <c r="F17" s="87"/>
      <c r="G17" s="98"/>
      <c r="H17" s="96">
        <f>H16+H12+H10+H8</f>
        <v>215.72818859862144</v>
      </c>
    </row>
    <row r="18" spans="1:9">
      <c r="A18" s="67" t="s">
        <v>25</v>
      </c>
      <c r="B18" s="67"/>
      <c r="C18" s="67"/>
    </row>
    <row r="19" spans="1:9">
      <c r="A19" s="73" t="s">
        <v>26</v>
      </c>
      <c r="B19" s="73"/>
      <c r="C19" s="73"/>
    </row>
    <row r="21" spans="1:9">
      <c r="A21" t="s">
        <v>27</v>
      </c>
    </row>
    <row r="22" spans="1:9">
      <c r="A22" t="s">
        <v>28</v>
      </c>
    </row>
    <row r="23" spans="1:9">
      <c r="A23" s="95" t="s">
        <v>29</v>
      </c>
      <c r="B23" s="95"/>
      <c r="C23" s="95"/>
      <c r="D23" s="95"/>
      <c r="E23" s="95"/>
      <c r="F23" s="95"/>
      <c r="G23" s="95"/>
      <c r="H23" s="95"/>
      <c r="I23" s="95"/>
    </row>
    <row r="24" spans="1:9">
      <c r="A24" s="95" t="s">
        <v>30</v>
      </c>
      <c r="B24" s="95"/>
      <c r="C24" s="95"/>
      <c r="D24" s="95"/>
      <c r="E24" s="95"/>
      <c r="F24" s="95"/>
      <c r="G24" s="95"/>
      <c r="H24" s="95"/>
      <c r="I24" s="95"/>
    </row>
    <row r="25" spans="1:9">
      <c r="A25" t="s">
        <v>31</v>
      </c>
    </row>
    <row r="26" spans="1:9">
      <c r="A26" t="s">
        <v>32</v>
      </c>
    </row>
    <row r="27" spans="1:9">
      <c r="A27" t="s">
        <v>33</v>
      </c>
    </row>
    <row r="28" spans="1:9">
      <c r="A28" t="s">
        <v>34</v>
      </c>
    </row>
    <row r="30" spans="1:9">
      <c r="A30" t="s">
        <v>35</v>
      </c>
    </row>
    <row r="31" spans="1:9">
      <c r="A31" t="s">
        <v>36</v>
      </c>
    </row>
    <row r="32" spans="1:9">
      <c r="A32" t="s">
        <v>37</v>
      </c>
    </row>
    <row r="33" spans="1:8">
      <c r="A33" t="s">
        <v>38</v>
      </c>
    </row>
    <row r="34" spans="1:8">
      <c r="A34" t="s">
        <v>39</v>
      </c>
    </row>
    <row r="35" spans="1:8">
      <c r="A35" t="s">
        <v>40</v>
      </c>
    </row>
    <row r="38" spans="1:8">
      <c r="A38" t="s">
        <v>41</v>
      </c>
    </row>
    <row r="39" spans="1:8">
      <c r="A39" s="69" t="s">
        <v>11</v>
      </c>
      <c r="B39" s="80">
        <f>B4/B$13</f>
        <v>0.17544812601846824</v>
      </c>
      <c r="C39" s="80">
        <f>C4/C$13</f>
        <v>0.1681046479265238</v>
      </c>
      <c r="D39" s="80">
        <f>D4/D$13</f>
        <v>0.17021767667296567</v>
      </c>
      <c r="E39" s="80">
        <f>E4/E$13</f>
        <v>0.15657620041753653</v>
      </c>
      <c r="F39" s="80"/>
      <c r="G39" s="80"/>
      <c r="H39" s="80"/>
    </row>
    <row r="40" spans="1:8">
      <c r="A40" s="69" t="s">
        <v>12</v>
      </c>
      <c r="B40" s="80">
        <f>B5/B$13</f>
        <v>8.2563824008690931E-2</v>
      </c>
      <c r="C40" s="80">
        <f>C5/C$13</f>
        <v>7.7650988032284998E-2</v>
      </c>
      <c r="D40" s="80">
        <f>D5/D$13</f>
        <v>7.2126134183460033E-2</v>
      </c>
      <c r="E40" s="80">
        <f>E5/E$13</f>
        <v>6.7849686847599164E-2</v>
      </c>
      <c r="F40" s="80"/>
      <c r="G40" s="80"/>
      <c r="H40" s="80"/>
    </row>
    <row r="41" spans="1:8">
      <c r="A41" s="69" t="s">
        <v>13</v>
      </c>
      <c r="B41" s="80">
        <f>B6/B$13</f>
        <v>0.1906572514937534</v>
      </c>
      <c r="C41" s="80">
        <f>C6/C$13</f>
        <v>0.17993320345115504</v>
      </c>
      <c r="D41" s="80">
        <f>D6/D$13</f>
        <v>0.18175785814231929</v>
      </c>
      <c r="E41" s="80">
        <f>E6/E$13</f>
        <v>0.19415448851774531</v>
      </c>
      <c r="F41" s="80"/>
      <c r="G41" s="80"/>
      <c r="H41" s="80"/>
    </row>
    <row r="42" spans="1:8">
      <c r="A42" s="69" t="s">
        <v>14</v>
      </c>
      <c r="B42" s="80">
        <f>B7/B$13</f>
        <v>0.10863661053775123</v>
      </c>
      <c r="C42" s="80">
        <f>C7/C$13</f>
        <v>0.13526301141107711</v>
      </c>
      <c r="D42" s="80">
        <f>D7/D$13</f>
        <v>0.16012001788728128</v>
      </c>
      <c r="E42" s="80">
        <f>E7/E$13</f>
        <v>0.15031315240083507</v>
      </c>
      <c r="F42" s="80"/>
      <c r="G42" s="80">
        <f>G7/G$13</f>
        <v>0.17043238465027441</v>
      </c>
      <c r="H42" s="94">
        <f>H7/H$13</f>
        <v>0.10585581643280703</v>
      </c>
    </row>
    <row r="43" spans="1:8">
      <c r="A43" s="69" t="s">
        <v>15</v>
      </c>
      <c r="B43" s="80">
        <f>B8/B$13</f>
        <v>8.1477457903313413E-2</v>
      </c>
      <c r="C43" s="80">
        <f>C8/C$13</f>
        <v>8.6139716114667406E-2</v>
      </c>
      <c r="D43" s="80">
        <f>D8/D$13</f>
        <v>8.2223792969144435E-2</v>
      </c>
      <c r="E43" s="80">
        <f>E8/E$13</f>
        <v>8.8726513569937368E-2</v>
      </c>
      <c r="F43" s="80"/>
      <c r="G43" s="80">
        <f>G8/G$13</f>
        <v>7.7622670236758645E-2</v>
      </c>
      <c r="H43" s="94">
        <f>H8/H$13</f>
        <v>7.2135778157749506E-2</v>
      </c>
    </row>
    <row r="44" spans="1:8">
      <c r="A44" s="69" t="s">
        <v>16</v>
      </c>
      <c r="B44" s="80">
        <f>B9/B$13</f>
        <v>8.1477457903313413E-2</v>
      </c>
      <c r="C44" s="80">
        <f>C9/C$13</f>
        <v>0.10200389646534928</v>
      </c>
      <c r="D44" s="80">
        <f>D9/D$13</f>
        <v>8.7993883703821246E-2</v>
      </c>
      <c r="E44" s="80">
        <f>E9/E$13</f>
        <v>8.663883089770355E-2</v>
      </c>
      <c r="F44" s="80"/>
      <c r="G44" s="80"/>
      <c r="H44" s="80"/>
    </row>
    <row r="45" spans="1:8">
      <c r="A45" s="69" t="s">
        <v>17</v>
      </c>
      <c r="B45" s="80">
        <f>B10/B$13</f>
        <v>0.11026615969581749</v>
      </c>
      <c r="C45" s="80">
        <f>C10/C$13</f>
        <v>8.8087948789312545E-2</v>
      </c>
      <c r="D45" s="80">
        <f>D10/D$13</f>
        <v>0.10097658785684405</v>
      </c>
      <c r="E45" s="80">
        <f>E10/E$13</f>
        <v>9.6033402922755737E-2</v>
      </c>
      <c r="F45" s="80"/>
      <c r="G45" s="80">
        <f>G10/G$13</f>
        <v>9.550963337827259E-2</v>
      </c>
      <c r="H45" s="94">
        <f>H10/H$13</f>
        <v>9.3373951456603016E-2</v>
      </c>
    </row>
    <row r="46" spans="1:8">
      <c r="A46" s="69" t="s">
        <v>18</v>
      </c>
      <c r="B46" s="80">
        <f>B11/B$13</f>
        <v>9.3427485062466051E-2</v>
      </c>
      <c r="C46" s="80">
        <f>C11/C$13</f>
        <v>0.1028388533259115</v>
      </c>
      <c r="D46" s="80">
        <f>D11/D$13</f>
        <v>8.7993883703821246E-2</v>
      </c>
      <c r="E46" s="80">
        <f>E11/E$13</f>
        <v>9.2901878914405017E-2</v>
      </c>
      <c r="F46" s="80"/>
      <c r="G46" s="80"/>
      <c r="H46" s="80"/>
    </row>
    <row r="47" spans="1:8">
      <c r="A47" s="69" t="s">
        <v>19</v>
      </c>
      <c r="B47" s="80">
        <f>B12/B$13</f>
        <v>7.6045627376425853E-2</v>
      </c>
      <c r="C47" s="80">
        <f>C12/C$13</f>
        <v>6.0116893960478708E-2</v>
      </c>
      <c r="D47" s="80">
        <f>D12/D$13</f>
        <v>5.9143430030437226E-2</v>
      </c>
      <c r="E47" s="80">
        <f>E12/E$13</f>
        <v>6.6805845511482248E-2</v>
      </c>
      <c r="F47" s="80"/>
      <c r="G47" s="80"/>
      <c r="H47" s="94">
        <f>H12/H$13</f>
        <v>5.3633013569626582E-2</v>
      </c>
    </row>
    <row r="48" spans="1:8" ht="18.75">
      <c r="A48" s="79" t="s">
        <v>20</v>
      </c>
      <c r="B48" s="80">
        <f>B13/B$13</f>
        <v>1</v>
      </c>
      <c r="C48" s="80">
        <f>C13/C$13</f>
        <v>1</v>
      </c>
      <c r="D48" s="80">
        <f>D13/D$13</f>
        <v>1</v>
      </c>
      <c r="E48" s="80">
        <f>E13/E$13</f>
        <v>1</v>
      </c>
      <c r="F48" s="80">
        <f>F13/F$13</f>
        <v>1</v>
      </c>
      <c r="G48" s="80">
        <f>G13/G$13</f>
        <v>1</v>
      </c>
      <c r="H48" s="80">
        <f>H13/H$13</f>
        <v>1</v>
      </c>
    </row>
    <row r="49" spans="1:8">
      <c r="A49" s="71" t="s">
        <v>21</v>
      </c>
      <c r="B49" s="80">
        <f>B14/B$13</f>
        <v>0.47474198804997286</v>
      </c>
      <c r="C49" s="80">
        <f>C14/C$13</f>
        <v>0.48330086278875589</v>
      </c>
      <c r="D49" s="80">
        <f>D14/D$13</f>
        <v>0.51209555270256624</v>
      </c>
      <c r="E49" s="80">
        <f>E14/E$13</f>
        <v>0.5010438413361169</v>
      </c>
      <c r="F49" s="80"/>
      <c r="G49" s="80">
        <f>G14/G$13</f>
        <v>0.49712257938584992</v>
      </c>
      <c r="H49" s="80">
        <f>H14/H$13</f>
        <v>0.49126816823337877</v>
      </c>
    </row>
    <row r="50" spans="1:8">
      <c r="A50" s="69" t="s">
        <v>22</v>
      </c>
      <c r="B50" s="80">
        <f>B15/B$13</f>
        <v>0.44269418794133625</v>
      </c>
      <c r="C50" s="80">
        <f>C15/C$13</f>
        <v>0.43918730865571937</v>
      </c>
      <c r="D50" s="80">
        <f>D15/D$13</f>
        <v>0.41833157826406819</v>
      </c>
      <c r="E50" s="80">
        <f>E15/E$13</f>
        <v>0.43110647181628392</v>
      </c>
      <c r="F50" s="80"/>
      <c r="G50" s="80">
        <f>G15/G$13</f>
        <v>0.42523723694919952</v>
      </c>
      <c r="H50" s="80">
        <f>H15/H$13</f>
        <v>0.43109164810167061</v>
      </c>
    </row>
    <row r="51" spans="1:8">
      <c r="A51" s="74" t="s">
        <v>23</v>
      </c>
      <c r="B51" s="80">
        <f>B16/B$13</f>
        <v>0.17490494296577946</v>
      </c>
      <c r="C51" s="80">
        <f>C16/C$13</f>
        <v>0.20484274979126077</v>
      </c>
      <c r="D51" s="80">
        <f>D16/D$13</f>
        <v>0.17598776740764249</v>
      </c>
      <c r="E51" s="80">
        <f>E16/E$13</f>
        <v>0.17954070981210857</v>
      </c>
      <c r="F51" s="80"/>
      <c r="G51" s="80"/>
      <c r="H51" s="80">
        <f>H16/H$13</f>
        <v>0.17644643503925073</v>
      </c>
    </row>
    <row r="52" spans="1:8">
      <c r="A52" s="71" t="s">
        <v>24</v>
      </c>
      <c r="B52" s="80">
        <f>B17/B$13</f>
        <v>0.44269418794133625</v>
      </c>
      <c r="C52" s="80">
        <f>C17/C$13</f>
        <v>0.43918730865571937</v>
      </c>
      <c r="D52" s="80">
        <f>D17/D$13</f>
        <v>0.41833157826406819</v>
      </c>
      <c r="E52" s="80">
        <f>E17/E$13</f>
        <v>0.43110647181628392</v>
      </c>
      <c r="F52" s="80"/>
      <c r="G52" s="80"/>
      <c r="H52" s="80">
        <f>H17/H$13</f>
        <v>0.39558917822322981</v>
      </c>
    </row>
    <row r="55" spans="1:8">
      <c r="A55" s="57" t="s">
        <v>42</v>
      </c>
      <c r="B55" s="4" t="s">
        <v>43</v>
      </c>
    </row>
    <row r="56" spans="1:8">
      <c r="A56" s="99" t="s">
        <v>4</v>
      </c>
      <c r="B56" t="s">
        <v>44</v>
      </c>
    </row>
    <row r="57" spans="1:8">
      <c r="A57" s="99" t="s">
        <v>5</v>
      </c>
      <c r="B57" t="s">
        <v>45</v>
      </c>
    </row>
    <row r="58" spans="1:8">
      <c r="A58" s="99" t="s">
        <v>46</v>
      </c>
      <c r="B58" t="s">
        <v>44</v>
      </c>
    </row>
    <row r="59" spans="1:8">
      <c r="A59" s="99" t="s">
        <v>7</v>
      </c>
      <c r="B59" t="s">
        <v>47</v>
      </c>
    </row>
    <row r="60" spans="1:8">
      <c r="A60" s="99" t="s">
        <v>8</v>
      </c>
      <c r="B60" t="s">
        <v>48</v>
      </c>
    </row>
    <row r="61" spans="1:8" ht="15.75" customHeight="1">
      <c r="A61" s="100" t="s">
        <v>49</v>
      </c>
      <c r="B61" t="s">
        <v>50</v>
      </c>
    </row>
    <row r="62" spans="1:8">
      <c r="A62" s="100" t="s">
        <v>10</v>
      </c>
      <c r="B62" t="s">
        <v>51</v>
      </c>
    </row>
  </sheetData>
  <mergeCells count="2">
    <mergeCell ref="B2:F2"/>
    <mergeCell ref="G2:H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DBCB-8439-49D2-8402-4AE004E5A477}">
  <dimension ref="A1:C21"/>
  <sheetViews>
    <sheetView topLeftCell="A51" workbookViewId="0">
      <selection activeCell="A22" sqref="A22"/>
    </sheetView>
  </sheetViews>
  <sheetFormatPr defaultRowHeight="15"/>
  <cols>
    <col min="10" max="10" width="47.5703125" customWidth="1"/>
    <col min="11" max="11" width="13" customWidth="1"/>
    <col min="16" max="16" width="9.28515625" bestFit="1" customWidth="1"/>
  </cols>
  <sheetData>
    <row r="1" spans="1:1">
      <c r="A1" t="s">
        <v>881</v>
      </c>
    </row>
    <row r="12" spans="1:1" ht="158.25" customHeight="1"/>
    <row r="13" spans="1:1">
      <c r="A13" s="4" t="s">
        <v>882</v>
      </c>
    </row>
    <row r="14" spans="1:1">
      <c r="A14" t="s">
        <v>883</v>
      </c>
    </row>
    <row r="15" spans="1:1">
      <c r="A15" t="s">
        <v>884</v>
      </c>
    </row>
    <row r="16" spans="1:1">
      <c r="A16" t="s">
        <v>885</v>
      </c>
    </row>
    <row r="17" spans="1:3">
      <c r="B17" t="s">
        <v>886</v>
      </c>
    </row>
    <row r="18" spans="1:3">
      <c r="B18" t="s">
        <v>887</v>
      </c>
    </row>
    <row r="19" spans="1:3">
      <c r="C19" t="s">
        <v>888</v>
      </c>
    </row>
    <row r="20" spans="1:3">
      <c r="C20" t="s">
        <v>889</v>
      </c>
    </row>
    <row r="21" spans="1:3">
      <c r="A21" t="s">
        <v>890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470AF-CB47-403D-A95E-49CFE2CC8CF4}">
  <dimension ref="A1:N120"/>
  <sheetViews>
    <sheetView workbookViewId="0">
      <selection activeCell="J4" sqref="J4"/>
    </sheetView>
  </sheetViews>
  <sheetFormatPr defaultRowHeight="15"/>
  <cols>
    <col min="1" max="1" width="71.28515625" customWidth="1"/>
    <col min="6" max="6" width="30" customWidth="1"/>
    <col min="7" max="7" width="11.42578125" customWidth="1"/>
  </cols>
  <sheetData>
    <row r="1" spans="1:14">
      <c r="A1" s="4" t="s">
        <v>891</v>
      </c>
    </row>
    <row r="2" spans="1:14">
      <c r="A2" s="4" t="s">
        <v>892</v>
      </c>
    </row>
    <row r="3" spans="1:14">
      <c r="A3" t="s">
        <v>893</v>
      </c>
      <c r="B3">
        <v>94</v>
      </c>
      <c r="H3">
        <f>10^0.5</f>
        <v>3.1622776601683795</v>
      </c>
      <c r="I3">
        <f>30^0.5</f>
        <v>5.4772255750516612</v>
      </c>
      <c r="J3">
        <f>I3/2+H3/2</f>
        <v>4.3197516176100201</v>
      </c>
    </row>
    <row r="4" spans="1:14">
      <c r="A4" t="s">
        <v>894</v>
      </c>
      <c r="G4" s="101"/>
    </row>
    <row r="5" spans="1:14">
      <c r="A5" t="s">
        <v>895</v>
      </c>
    </row>
    <row r="6" spans="1:14">
      <c r="A6" t="s">
        <v>896</v>
      </c>
      <c r="B6">
        <v>94</v>
      </c>
    </row>
    <row r="7" spans="1:14">
      <c r="A7" t="s">
        <v>897</v>
      </c>
      <c r="B7">
        <f>C7*G7</f>
        <v>100.13373780000001</v>
      </c>
      <c r="C7">
        <v>0.40200000000000002</v>
      </c>
      <c r="D7" t="s">
        <v>898</v>
      </c>
      <c r="G7">
        <v>249.0889</v>
      </c>
      <c r="H7" t="s">
        <v>899</v>
      </c>
    </row>
    <row r="8" spans="1:14">
      <c r="A8" t="s">
        <v>900</v>
      </c>
      <c r="B8">
        <f>B6/B7</f>
        <v>0.938744543699636</v>
      </c>
    </row>
    <row r="9" spans="1:14">
      <c r="A9" t="s">
        <v>901</v>
      </c>
      <c r="B9">
        <f>3.28^3*B8*60</f>
        <v>1987.5598140310303</v>
      </c>
    </row>
    <row r="10" spans="1:14">
      <c r="A10" s="4" t="s">
        <v>902</v>
      </c>
      <c r="B10" s="65">
        <v>0.3</v>
      </c>
      <c r="N10">
        <f>1.3 * 220</f>
        <v>286</v>
      </c>
    </row>
    <row r="11" spans="1:14">
      <c r="A11" t="s">
        <v>903</v>
      </c>
      <c r="B11">
        <f>B10*B9</f>
        <v>596.26794420930912</v>
      </c>
    </row>
    <row r="12" spans="1:14">
      <c r="A12" s="102" t="s">
        <v>904</v>
      </c>
    </row>
    <row r="13" spans="1:14">
      <c r="A13" s="102"/>
    </row>
    <row r="14" spans="1:14">
      <c r="A14" t="s">
        <v>905</v>
      </c>
    </row>
    <row r="15" spans="1:14">
      <c r="A15" t="s">
        <v>906</v>
      </c>
    </row>
    <row r="16" spans="1:14">
      <c r="A16" t="s">
        <v>907</v>
      </c>
    </row>
    <row r="17" spans="1:7">
      <c r="A17" t="s">
        <v>908</v>
      </c>
    </row>
    <row r="18" spans="1:7">
      <c r="A18" t="s">
        <v>909</v>
      </c>
    </row>
    <row r="19" spans="1:7">
      <c r="A19" t="s">
        <v>910</v>
      </c>
    </row>
    <row r="20" spans="1:7">
      <c r="A20" t="s">
        <v>911</v>
      </c>
    </row>
    <row r="21" spans="1:7">
      <c r="A21" s="4" t="s">
        <v>912</v>
      </c>
    </row>
    <row r="22" spans="1:7" ht="30" customHeight="1">
      <c r="B22" t="s">
        <v>95</v>
      </c>
      <c r="C22" t="s">
        <v>256</v>
      </c>
      <c r="D22" t="s">
        <v>913</v>
      </c>
      <c r="E22" t="s">
        <v>914</v>
      </c>
      <c r="F22" s="66" t="s">
        <v>915</v>
      </c>
      <c r="G22" s="66" t="s">
        <v>916</v>
      </c>
    </row>
    <row r="23" spans="1:7">
      <c r="A23" s="109" t="s">
        <v>917</v>
      </c>
      <c r="B23" s="110">
        <v>900</v>
      </c>
      <c r="C23" s="110">
        <v>0.5</v>
      </c>
      <c r="D23" s="110">
        <v>6343</v>
      </c>
      <c r="E23" s="110">
        <v>0.5</v>
      </c>
      <c r="F23" s="110">
        <f>B23*C23/(E23*D23)</f>
        <v>0.14188869620053601</v>
      </c>
      <c r="G23" s="111"/>
    </row>
    <row r="24" spans="1:7">
      <c r="A24" s="112" t="s">
        <v>918</v>
      </c>
      <c r="B24" s="71">
        <v>600</v>
      </c>
      <c r="C24" s="71">
        <v>0.4</v>
      </c>
      <c r="D24" s="71">
        <v>6343</v>
      </c>
      <c r="E24" s="71">
        <f>94/745</f>
        <v>0.12617449664429531</v>
      </c>
      <c r="F24" s="71">
        <f>B24*C24/(E24*D24)</f>
        <v>0.29987823735999813</v>
      </c>
      <c r="G24" s="113"/>
    </row>
    <row r="25" spans="1:7">
      <c r="A25" s="112" t="s">
        <v>919</v>
      </c>
      <c r="B25" s="71">
        <v>40000</v>
      </c>
      <c r="C25" s="71">
        <v>0.13</v>
      </c>
      <c r="D25" s="71">
        <v>6343</v>
      </c>
      <c r="E25" s="71">
        <v>6.91</v>
      </c>
      <c r="F25" s="71">
        <f>B25*C25/(E25*D25)</f>
        <v>0.1186398488893371</v>
      </c>
      <c r="G25" s="114">
        <v>0.66</v>
      </c>
    </row>
    <row r="26" spans="1:7" hidden="1">
      <c r="A26" s="112"/>
      <c r="B26" s="71"/>
      <c r="C26" s="71"/>
      <c r="D26" s="71"/>
      <c r="E26" s="71"/>
      <c r="F26" s="71"/>
      <c r="G26" s="113"/>
    </row>
    <row r="27" spans="1:7">
      <c r="A27" s="112" t="s">
        <v>920</v>
      </c>
      <c r="B27" s="71">
        <v>40000</v>
      </c>
      <c r="C27" s="71">
        <v>0.13</v>
      </c>
      <c r="D27" s="71">
        <v>6343</v>
      </c>
      <c r="E27" s="71">
        <v>5.81</v>
      </c>
      <c r="F27" s="71">
        <f>B27*C27/(E27*D27)</f>
        <v>0.14110178241399646</v>
      </c>
      <c r="G27" s="114">
        <v>0.54</v>
      </c>
    </row>
    <row r="28" spans="1:7">
      <c r="A28" s="118" t="s">
        <v>921</v>
      </c>
      <c r="B28" s="74"/>
      <c r="C28" s="74"/>
      <c r="D28" s="74"/>
      <c r="E28" s="74"/>
      <c r="F28" s="74"/>
      <c r="G28" s="119" t="s">
        <v>922</v>
      </c>
    </row>
    <row r="29" spans="1:7">
      <c r="A29" s="115" t="s">
        <v>923</v>
      </c>
      <c r="B29" s="116"/>
      <c r="C29" s="116"/>
      <c r="D29" s="116"/>
      <c r="E29" s="116"/>
      <c r="F29" s="116"/>
      <c r="G29" s="117" t="s">
        <v>924</v>
      </c>
    </row>
    <row r="30" spans="1:7">
      <c r="A30" s="102" t="s">
        <v>925</v>
      </c>
    </row>
    <row r="31" spans="1:7">
      <c r="A31" t="s">
        <v>926</v>
      </c>
    </row>
    <row r="32" spans="1:7">
      <c r="A32" s="102" t="s">
        <v>927</v>
      </c>
      <c r="G32" t="s">
        <v>928</v>
      </c>
    </row>
    <row r="33" spans="1:6">
      <c r="A33" t="s">
        <v>929</v>
      </c>
    </row>
    <row r="34" spans="1:6">
      <c r="A34" s="102" t="s">
        <v>904</v>
      </c>
    </row>
    <row r="35" spans="1:6">
      <c r="A35" t="s">
        <v>930</v>
      </c>
    </row>
    <row r="36" spans="1:6">
      <c r="A36" s="102" t="s">
        <v>931</v>
      </c>
    </row>
    <row r="37" spans="1:6">
      <c r="A37" s="102" t="s">
        <v>932</v>
      </c>
    </row>
    <row r="38" spans="1:6">
      <c r="A38" s="102" t="s">
        <v>933</v>
      </c>
    </row>
    <row r="39" spans="1:6">
      <c r="A39" t="s">
        <v>934</v>
      </c>
    </row>
    <row r="40" spans="1:6">
      <c r="A40" s="102" t="s">
        <v>935</v>
      </c>
    </row>
    <row r="41" spans="1:6">
      <c r="A41" s="4" t="s">
        <v>936</v>
      </c>
    </row>
    <row r="42" spans="1:6">
      <c r="A42" s="102" t="s">
        <v>937</v>
      </c>
      <c r="B42" t="s">
        <v>938</v>
      </c>
    </row>
    <row r="43" spans="1:6">
      <c r="A43" s="102" t="s">
        <v>939</v>
      </c>
      <c r="B43" t="s">
        <v>940</v>
      </c>
    </row>
    <row r="44" spans="1:6">
      <c r="A44" s="102" t="s">
        <v>941</v>
      </c>
    </row>
    <row r="45" spans="1:6">
      <c r="A45" s="102" t="s">
        <v>942</v>
      </c>
      <c r="F45" s="4" t="s">
        <v>943</v>
      </c>
    </row>
    <row r="46" spans="1:6">
      <c r="F46" t="s">
        <v>944</v>
      </c>
    </row>
    <row r="47" spans="1:6">
      <c r="F47" t="s">
        <v>945</v>
      </c>
    </row>
    <row r="48" spans="1:6">
      <c r="F48" t="s">
        <v>946</v>
      </c>
    </row>
    <row r="49" spans="1:6">
      <c r="F49" t="s">
        <v>947</v>
      </c>
    </row>
    <row r="50" spans="1:6">
      <c r="F50" t="s">
        <v>948</v>
      </c>
    </row>
    <row r="51" spans="1:6">
      <c r="F51" t="s">
        <v>949</v>
      </c>
    </row>
    <row r="61" spans="1:6" ht="15.75">
      <c r="A61" s="106"/>
    </row>
    <row r="63" spans="1:6" ht="30.75">
      <c r="A63" s="106" t="s">
        <v>950</v>
      </c>
    </row>
    <row r="64" spans="1:6">
      <c r="A64" s="107" t="s">
        <v>951</v>
      </c>
    </row>
    <row r="65" spans="1:1" ht="15.75">
      <c r="A65" s="108" t="s">
        <v>952</v>
      </c>
    </row>
    <row r="66" spans="1:1">
      <c r="A66" s="107" t="s">
        <v>953</v>
      </c>
    </row>
    <row r="68" spans="1:1" ht="15.75">
      <c r="A68" s="106" t="s">
        <v>954</v>
      </c>
    </row>
    <row r="70" spans="1:1" ht="15.75">
      <c r="A70" s="103" t="s">
        <v>955</v>
      </c>
    </row>
    <row r="71" spans="1:1" ht="15.75">
      <c r="A71" s="103"/>
    </row>
    <row r="72" spans="1:1" ht="15.75">
      <c r="A72" s="103" t="s">
        <v>955</v>
      </c>
    </row>
    <row r="73" spans="1:1" ht="30.75">
      <c r="A73" s="104" t="s">
        <v>956</v>
      </c>
    </row>
    <row r="74" spans="1:1" ht="15.75">
      <c r="A74" s="103" t="s">
        <v>955</v>
      </c>
    </row>
    <row r="75" spans="1:1" ht="15.75">
      <c r="A75" s="105" t="s">
        <v>957</v>
      </c>
    </row>
    <row r="76" spans="1:1" ht="15.75">
      <c r="A76" s="103" t="s">
        <v>955</v>
      </c>
    </row>
    <row r="77" spans="1:1" ht="15.75">
      <c r="A77" s="103" t="s">
        <v>958</v>
      </c>
    </row>
    <row r="78" spans="1:1" ht="15.75">
      <c r="A78" s="103" t="s">
        <v>955</v>
      </c>
    </row>
    <row r="79" spans="1:1" ht="15.75">
      <c r="A79" s="103" t="s">
        <v>959</v>
      </c>
    </row>
    <row r="80" spans="1:1" ht="15.75">
      <c r="A80" s="103" t="s">
        <v>960</v>
      </c>
    </row>
    <row r="81" spans="1:1" ht="15.75">
      <c r="A81" s="103" t="s">
        <v>961</v>
      </c>
    </row>
    <row r="82" spans="1:1" ht="30.75">
      <c r="A82" s="103" t="s">
        <v>962</v>
      </c>
    </row>
    <row r="83" spans="1:1" ht="15.75">
      <c r="A83" s="103" t="s">
        <v>955</v>
      </c>
    </row>
    <row r="84" spans="1:1" ht="30.75">
      <c r="A84" s="103" t="s">
        <v>963</v>
      </c>
    </row>
    <row r="85" spans="1:1" ht="15.75">
      <c r="A85" s="103" t="s">
        <v>955</v>
      </c>
    </row>
    <row r="86" spans="1:1" ht="46.5">
      <c r="A86" s="103" t="s">
        <v>964</v>
      </c>
    </row>
    <row r="87" spans="1:1" ht="15.75">
      <c r="A87" s="103" t="s">
        <v>955</v>
      </c>
    </row>
    <row r="88" spans="1:1" ht="15.75">
      <c r="A88" s="103" t="s">
        <v>965</v>
      </c>
    </row>
    <row r="89" spans="1:1" ht="15.75">
      <c r="A89" s="103" t="s">
        <v>955</v>
      </c>
    </row>
    <row r="90" spans="1:1" ht="15.75">
      <c r="A90" s="103" t="s">
        <v>966</v>
      </c>
    </row>
    <row r="91" spans="1:1" ht="15.75">
      <c r="A91" s="103" t="s">
        <v>967</v>
      </c>
    </row>
    <row r="92" spans="1:1" ht="15.75">
      <c r="A92" s="103" t="s">
        <v>968</v>
      </c>
    </row>
    <row r="93" spans="1:1" ht="15.75">
      <c r="A93" s="103" t="s">
        <v>955</v>
      </c>
    </row>
    <row r="94" spans="1:1" ht="46.5">
      <c r="A94" s="103" t="s">
        <v>969</v>
      </c>
    </row>
    <row r="95" spans="1:1" ht="15.75">
      <c r="A95" s="103" t="s">
        <v>955</v>
      </c>
    </row>
    <row r="96" spans="1:1" ht="15.75">
      <c r="A96" s="103" t="s">
        <v>970</v>
      </c>
    </row>
    <row r="97" spans="1:1" ht="15.75">
      <c r="A97" s="103" t="s">
        <v>955</v>
      </c>
    </row>
    <row r="98" spans="1:1" ht="15.75">
      <c r="A98" s="103" t="s">
        <v>971</v>
      </c>
    </row>
    <row r="99" spans="1:1" ht="15.75">
      <c r="A99" s="103" t="s">
        <v>955</v>
      </c>
    </row>
    <row r="100" spans="1:1" ht="15.75">
      <c r="A100" s="103" t="s">
        <v>972</v>
      </c>
    </row>
    <row r="101" spans="1:1" ht="15.75">
      <c r="A101" s="103" t="s">
        <v>973</v>
      </c>
    </row>
    <row r="102" spans="1:1" ht="15.75">
      <c r="A102" s="103" t="s">
        <v>974</v>
      </c>
    </row>
    <row r="103" spans="1:1" ht="15.75">
      <c r="A103" s="103" t="s">
        <v>955</v>
      </c>
    </row>
    <row r="104" spans="1:1" ht="30.75">
      <c r="A104" s="103" t="s">
        <v>975</v>
      </c>
    </row>
    <row r="105" spans="1:1" ht="15.75">
      <c r="A105" s="103" t="s">
        <v>955</v>
      </c>
    </row>
    <row r="106" spans="1:1" ht="108">
      <c r="A106" s="103" t="s">
        <v>976</v>
      </c>
    </row>
    <row r="107" spans="1:1" ht="15.75">
      <c r="A107" s="103" t="s">
        <v>955</v>
      </c>
    </row>
    <row r="108" spans="1:1">
      <c r="A108" s="104" t="s">
        <v>977</v>
      </c>
    </row>
    <row r="109" spans="1:1" ht="15.75">
      <c r="A109" s="103" t="s">
        <v>955</v>
      </c>
    </row>
    <row r="110" spans="1:1" ht="123">
      <c r="A110" s="103" t="s">
        <v>978</v>
      </c>
    </row>
    <row r="111" spans="1:1" ht="15.75">
      <c r="A111" s="103" t="s">
        <v>955</v>
      </c>
    </row>
    <row r="112" spans="1:1" ht="61.5">
      <c r="A112" s="103" t="s">
        <v>979</v>
      </c>
    </row>
    <row r="113" spans="1:1" ht="15.75">
      <c r="A113" s="103" t="s">
        <v>955</v>
      </c>
    </row>
    <row r="114" spans="1:1" ht="30.75">
      <c r="A114" s="103" t="s">
        <v>980</v>
      </c>
    </row>
    <row r="115" spans="1:1" ht="15.75">
      <c r="A115" s="103" t="s">
        <v>955</v>
      </c>
    </row>
    <row r="116" spans="1:1" ht="15.75">
      <c r="A116" s="103"/>
    </row>
    <row r="117" spans="1:1" ht="15.75">
      <c r="A117" s="103"/>
    </row>
    <row r="118" spans="1:1" ht="15.75">
      <c r="A118" s="103"/>
    </row>
    <row r="119" spans="1:1" ht="15.75">
      <c r="A119" s="103"/>
    </row>
    <row r="120" spans="1:1" ht="15.75">
      <c r="A120" s="103"/>
    </row>
  </sheetData>
  <hyperlinks>
    <hyperlink ref="A12" r:id="rId1" xr:uid="{DF38338B-DB1D-41EA-9517-F611FB7811C1}"/>
    <hyperlink ref="A108" r:id="rId2" xr:uid="{AFEDF7DF-E531-4330-A4F0-06E8606A02FC}"/>
    <hyperlink ref="A73" r:id="rId3" xr:uid="{48B4DA17-668F-48EE-88E2-CBEAFEAFF83B}"/>
    <hyperlink ref="A64" r:id="rId4" xr:uid="{D8ED1235-9C7A-41A5-B71E-CC5D85666390}"/>
    <hyperlink ref="A66" r:id="rId5" xr:uid="{9B8AA115-2DA2-4090-90B3-6E493C3EEFEE}"/>
    <hyperlink ref="A42" r:id="rId6" xr:uid="{57E59F21-DBBB-47AA-A4AD-A312113F78C8}"/>
    <hyperlink ref="A43" r:id="rId7" xr:uid="{25E5FB0A-9E26-41E0-A96A-ABBBDA378DB0}"/>
    <hyperlink ref="A30" r:id="rId8" xr:uid="{9D7ADE46-7E9D-49D6-8440-07CF713CFADB}"/>
    <hyperlink ref="A32" r:id="rId9" xr:uid="{0801983C-CC32-417E-AAA9-763C3F976BFB}"/>
    <hyperlink ref="A34" r:id="rId10" xr:uid="{454B6287-6296-4F1B-B5E8-C7A71428E486}"/>
    <hyperlink ref="A45" r:id="rId11" xr:uid="{0E658923-83C4-427F-8A35-A70DE217EAF4}"/>
    <hyperlink ref="A36" r:id="rId12" xr:uid="{6E7FB002-10A5-4DB8-8D8A-3AE9BB991ECA}"/>
    <hyperlink ref="A37" r:id="rId13" xr:uid="{70D0E3FB-4ECA-4992-BD18-14F74A46BE23}"/>
    <hyperlink ref="A38" r:id="rId14" xr:uid="{B5D58534-9632-49C7-A8C7-06A27169F6AD}"/>
    <hyperlink ref="A40" r:id="rId15" xr:uid="{79BDDF6A-296D-4644-A61E-A72159C7B5CF}"/>
  </hyperlinks>
  <pageMargins left="0.7" right="0.7" top="0.75" bottom="0.75" header="0.3" footer="0.3"/>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4C2E-6859-4581-B6C6-985E2A4FF8F3}">
  <dimension ref="A1:O18"/>
  <sheetViews>
    <sheetView tabSelected="1" workbookViewId="0">
      <selection activeCell="F17" sqref="F17"/>
    </sheetView>
  </sheetViews>
  <sheetFormatPr defaultRowHeight="15"/>
  <cols>
    <col min="1" max="1" width="46.42578125" customWidth="1"/>
    <col min="3" max="3" width="10.5703125" bestFit="1" customWidth="1"/>
    <col min="5" max="5" width="9.5703125" bestFit="1" customWidth="1"/>
  </cols>
  <sheetData>
    <row r="1" spans="1:15">
      <c r="A1" s="4" t="s">
        <v>52</v>
      </c>
    </row>
    <row r="2" spans="1:15" ht="15.75" thickBot="1"/>
    <row r="3" spans="1:15" ht="16.5" thickTop="1" thickBot="1">
      <c r="A3" t="s">
        <v>53</v>
      </c>
      <c r="B3" t="s">
        <v>54</v>
      </c>
      <c r="C3" t="s">
        <v>55</v>
      </c>
      <c r="F3" s="1"/>
      <c r="G3" s="1"/>
      <c r="H3" s="1"/>
      <c r="I3" s="1"/>
      <c r="J3" s="1"/>
      <c r="K3" s="1"/>
      <c r="L3" s="1"/>
      <c r="M3" s="1"/>
    </row>
    <row r="4" spans="1:15" ht="16.5" thickTop="1" thickBot="1">
      <c r="A4" t="s">
        <v>56</v>
      </c>
      <c r="B4">
        <v>38</v>
      </c>
      <c r="C4" s="3">
        <f>AVERAGE(F4:M4)</f>
        <v>85.333333333333329</v>
      </c>
      <c r="D4" s="2">
        <f>C4/C6</f>
        <v>0.62515262515262515</v>
      </c>
      <c r="E4" s="3">
        <f>D4^2*B$12</f>
        <v>36.736685645110555</v>
      </c>
      <c r="F4" s="1">
        <v>84</v>
      </c>
      <c r="G4" s="1">
        <v>84</v>
      </c>
      <c r="H4" s="1">
        <v>83</v>
      </c>
      <c r="I4" s="1">
        <v>87</v>
      </c>
      <c r="J4" s="1">
        <v>85</v>
      </c>
      <c r="K4" s="1">
        <v>89</v>
      </c>
      <c r="L4" s="1"/>
      <c r="M4" s="1"/>
      <c r="O4" t="s">
        <v>57</v>
      </c>
    </row>
    <row r="5" spans="1:15" ht="16.5" thickTop="1" thickBot="1">
      <c r="A5" t="s">
        <v>56</v>
      </c>
      <c r="B5">
        <v>60</v>
      </c>
      <c r="C5" s="3">
        <f>AVERAGE(F5:M5)</f>
        <v>111.5</v>
      </c>
      <c r="D5" s="2">
        <f>C5/C6</f>
        <v>0.81684981684981683</v>
      </c>
      <c r="E5" s="3">
        <f>D5^2*B$12</f>
        <v>62.72090058903246</v>
      </c>
      <c r="F5" s="1">
        <v>111</v>
      </c>
      <c r="G5" s="1">
        <v>112</v>
      </c>
      <c r="H5" s="1"/>
      <c r="I5" s="1"/>
      <c r="J5" s="1"/>
      <c r="K5" s="1"/>
      <c r="L5" s="1"/>
      <c r="M5" s="1"/>
    </row>
    <row r="6" spans="1:15" ht="16.5" thickTop="1" thickBot="1">
      <c r="A6" t="s">
        <v>56</v>
      </c>
      <c r="B6">
        <v>94</v>
      </c>
      <c r="C6" s="3">
        <f>AVERAGE(F6:M6)</f>
        <v>136.5</v>
      </c>
      <c r="D6" s="2">
        <f>C6/C6</f>
        <v>1</v>
      </c>
      <c r="E6" s="3">
        <f>D6^2*B$12</f>
        <v>94</v>
      </c>
      <c r="F6" s="1">
        <v>139</v>
      </c>
      <c r="G6" s="1">
        <v>136</v>
      </c>
      <c r="H6" s="1">
        <v>132</v>
      </c>
      <c r="I6" s="1">
        <v>139</v>
      </c>
      <c r="J6" s="1"/>
      <c r="K6" s="1"/>
      <c r="L6" s="1"/>
      <c r="M6" s="1"/>
    </row>
    <row r="7" spans="1:15" ht="16.5" thickTop="1" thickBot="1">
      <c r="A7" t="s">
        <v>58</v>
      </c>
      <c r="B7">
        <v>38</v>
      </c>
      <c r="C7" s="3">
        <f>AVERAGE(F7:M7)</f>
        <v>77</v>
      </c>
      <c r="D7" s="2">
        <f>C7/C9</f>
        <v>0.62474645030425968</v>
      </c>
      <c r="E7" s="3">
        <f>D7^2*B$12</f>
        <v>36.688963953770646</v>
      </c>
      <c r="F7" s="1">
        <v>75</v>
      </c>
      <c r="G7" s="1">
        <v>75</v>
      </c>
      <c r="H7" s="1">
        <v>79</v>
      </c>
      <c r="I7" s="1">
        <v>79</v>
      </c>
      <c r="J7" s="1"/>
      <c r="K7" s="1"/>
      <c r="L7" s="1"/>
      <c r="M7" s="1"/>
    </row>
    <row r="8" spans="1:15" ht="16.5" thickTop="1" thickBot="1">
      <c r="A8" t="s">
        <v>58</v>
      </c>
      <c r="B8">
        <v>60</v>
      </c>
      <c r="C8" s="3">
        <f>AVERAGE(F8:M8)</f>
        <v>102.5</v>
      </c>
      <c r="D8" s="2">
        <f>C8/C9</f>
        <v>0.83164300202839758</v>
      </c>
      <c r="E8" s="3">
        <f>D8^2*B$12</f>
        <v>65.013227785343702</v>
      </c>
      <c r="F8" s="1">
        <v>100</v>
      </c>
      <c r="G8" s="1">
        <v>105</v>
      </c>
      <c r="H8" s="1"/>
      <c r="I8" s="1"/>
      <c r="J8" s="1"/>
      <c r="K8" s="1"/>
      <c r="L8" s="1"/>
      <c r="M8" s="1"/>
    </row>
    <row r="9" spans="1:15" ht="16.5" thickTop="1" thickBot="1">
      <c r="A9" t="s">
        <v>58</v>
      </c>
      <c r="B9">
        <v>94</v>
      </c>
      <c r="C9" s="3">
        <f>AVERAGE(F9:M9)</f>
        <v>123.25</v>
      </c>
      <c r="D9" s="2">
        <f>C9/C9</f>
        <v>1</v>
      </c>
      <c r="E9" s="3">
        <f>D9^2*B$12</f>
        <v>94</v>
      </c>
      <c r="F9" s="1">
        <v>117</v>
      </c>
      <c r="G9" s="1">
        <v>128</v>
      </c>
      <c r="H9" s="1">
        <v>127</v>
      </c>
      <c r="I9" s="1">
        <v>121</v>
      </c>
      <c r="J9" s="1"/>
      <c r="K9" s="1"/>
      <c r="L9" s="1"/>
      <c r="M9" s="1"/>
    </row>
    <row r="10" spans="1:15" ht="16.5" thickTop="1" thickBot="1">
      <c r="A10" t="s">
        <v>59</v>
      </c>
      <c r="B10">
        <v>38</v>
      </c>
      <c r="C10" s="3">
        <v>431</v>
      </c>
      <c r="D10" s="2">
        <f>C10/C12</f>
        <v>0.68959999999999999</v>
      </c>
      <c r="E10" s="3">
        <f>D10^2*B$12</f>
        <v>44.701527040000002</v>
      </c>
      <c r="F10" s="1" t="s">
        <v>60</v>
      </c>
      <c r="G10" s="1"/>
      <c r="H10" s="1"/>
      <c r="I10" s="1"/>
      <c r="J10" s="1"/>
      <c r="K10" s="1"/>
      <c r="L10" s="1"/>
      <c r="M10" s="1"/>
    </row>
    <row r="11" spans="1:15" ht="16.5" thickTop="1" thickBot="1">
      <c r="A11" t="s">
        <v>59</v>
      </c>
      <c r="B11">
        <v>60</v>
      </c>
      <c r="C11" s="3">
        <v>533</v>
      </c>
      <c r="D11" s="2">
        <f>C11/C12</f>
        <v>0.8528</v>
      </c>
      <c r="E11" s="3">
        <f>D11^2*B$12</f>
        <v>68.363176960000004</v>
      </c>
      <c r="F11" s="1" t="s">
        <v>61</v>
      </c>
      <c r="G11" s="1"/>
      <c r="H11" s="1"/>
      <c r="I11" s="1"/>
      <c r="J11" s="1"/>
      <c r="K11" s="1"/>
      <c r="L11" s="1"/>
      <c r="M11" s="1"/>
    </row>
    <row r="12" spans="1:15" ht="16.5" thickTop="1" thickBot="1">
      <c r="A12" t="s">
        <v>59</v>
      </c>
      <c r="B12">
        <v>94</v>
      </c>
      <c r="C12" s="3">
        <v>625</v>
      </c>
      <c r="D12" s="2">
        <f>C12/C12</f>
        <v>1</v>
      </c>
      <c r="E12" s="3">
        <f>D12^2*B$12</f>
        <v>94</v>
      </c>
      <c r="F12" s="1" t="s">
        <v>62</v>
      </c>
      <c r="G12" s="1"/>
      <c r="H12" s="1"/>
      <c r="I12" s="1"/>
      <c r="J12" s="1"/>
      <c r="K12" s="1"/>
      <c r="L12" s="1"/>
      <c r="M12" s="1"/>
    </row>
    <row r="13" spans="1:15" ht="15.75" thickTop="1"/>
    <row r="14" spans="1:15" ht="45.75">
      <c r="A14" t="s">
        <v>63</v>
      </c>
      <c r="C14" s="66" t="s">
        <v>64</v>
      </c>
      <c r="D14" s="66" t="s">
        <v>65</v>
      </c>
      <c r="E14" s="66" t="s">
        <v>66</v>
      </c>
      <c r="F14" s="66" t="s">
        <v>67</v>
      </c>
    </row>
    <row r="15" spans="1:15">
      <c r="B15">
        <v>38</v>
      </c>
      <c r="C15" s="2">
        <v>0.4332763590907931</v>
      </c>
      <c r="D15" s="2">
        <v>0.65823731213810199</v>
      </c>
      <c r="E15" s="65">
        <f>B15/$B$17</f>
        <v>0.40425531914893614</v>
      </c>
      <c r="F15">
        <f>E15^0.5</f>
        <v>0.63581075733974191</v>
      </c>
    </row>
    <row r="16" spans="1:15">
      <c r="B16">
        <v>60</v>
      </c>
      <c r="C16" s="2">
        <v>0.68445623612847262</v>
      </c>
      <c r="D16" s="2">
        <v>0.82731870287602749</v>
      </c>
      <c r="E16" s="65">
        <f>B16/$B$17</f>
        <v>0.63829787234042556</v>
      </c>
      <c r="F16">
        <f>E16^0.5</f>
        <v>0.79893546193696119</v>
      </c>
    </row>
    <row r="17" spans="1:6">
      <c r="B17">
        <v>94</v>
      </c>
      <c r="C17" s="65">
        <v>1</v>
      </c>
      <c r="D17" s="65">
        <v>1</v>
      </c>
      <c r="E17" s="65">
        <f>B17/$B$17</f>
        <v>1</v>
      </c>
      <c r="F17">
        <f>E17^0.5</f>
        <v>1</v>
      </c>
    </row>
    <row r="18" spans="1:6">
      <c r="A18"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43BDE-6FCC-49C5-A047-71F8F61FF971}">
  <dimension ref="A1:E30"/>
  <sheetViews>
    <sheetView topLeftCell="A3" workbookViewId="0">
      <selection activeCell="E10" sqref="E10"/>
    </sheetView>
  </sheetViews>
  <sheetFormatPr defaultRowHeight="15"/>
  <sheetData>
    <row r="1" spans="1:5">
      <c r="A1" t="s">
        <v>69</v>
      </c>
    </row>
    <row r="3" spans="1:5">
      <c r="A3" t="s">
        <v>70</v>
      </c>
    </row>
    <row r="4" spans="1:5">
      <c r="B4" t="s">
        <v>71</v>
      </c>
      <c r="C4" t="s">
        <v>72</v>
      </c>
    </row>
    <row r="5" spans="1:5">
      <c r="B5" s="5">
        <v>133132</v>
      </c>
      <c r="C5" t="s">
        <v>73</v>
      </c>
    </row>
    <row r="7" spans="1:5">
      <c r="A7" t="s">
        <v>74</v>
      </c>
    </row>
    <row r="8" spans="1:5">
      <c r="B8" t="s">
        <v>75</v>
      </c>
    </row>
    <row r="9" spans="1:5">
      <c r="B9" t="s">
        <v>76</v>
      </c>
    </row>
    <row r="10" spans="1:5">
      <c r="B10">
        <v>100</v>
      </c>
      <c r="D10">
        <v>102</v>
      </c>
    </row>
    <row r="11" spans="1:5">
      <c r="C11">
        <v>89</v>
      </c>
    </row>
    <row r="12" spans="1:5">
      <c r="B12">
        <v>120</v>
      </c>
      <c r="D12" t="s">
        <v>77</v>
      </c>
      <c r="E12" t="s">
        <v>78</v>
      </c>
    </row>
    <row r="13" spans="1:5">
      <c r="B13" t="s">
        <v>79</v>
      </c>
    </row>
    <row r="14" spans="1:5">
      <c r="B14">
        <v>130</v>
      </c>
      <c r="D14">
        <v>86</v>
      </c>
    </row>
    <row r="15" spans="1:5">
      <c r="C15">
        <v>69</v>
      </c>
    </row>
    <row r="16" spans="1:5">
      <c r="B16">
        <v>138</v>
      </c>
      <c r="D16">
        <v>120</v>
      </c>
    </row>
    <row r="19" spans="1:5">
      <c r="A19" t="s">
        <v>80</v>
      </c>
    </row>
    <row r="20" spans="1:5">
      <c r="B20" t="s">
        <v>81</v>
      </c>
      <c r="C20" t="s">
        <v>82</v>
      </c>
    </row>
    <row r="21" spans="1:5">
      <c r="B21" t="s">
        <v>83</v>
      </c>
      <c r="C21" t="s">
        <v>84</v>
      </c>
      <c r="D21" t="s">
        <v>85</v>
      </c>
      <c r="E21" t="s">
        <v>86</v>
      </c>
    </row>
    <row r="23" spans="1:5">
      <c r="A23" t="s">
        <v>87</v>
      </c>
    </row>
    <row r="25" spans="1:5">
      <c r="A25" s="4" t="s">
        <v>88</v>
      </c>
    </row>
    <row r="27" spans="1:5">
      <c r="B27" t="s">
        <v>89</v>
      </c>
    </row>
    <row r="28" spans="1:5">
      <c r="C28" t="s">
        <v>90</v>
      </c>
    </row>
    <row r="29" spans="1:5">
      <c r="C29" t="s">
        <v>91</v>
      </c>
    </row>
    <row r="30" spans="1:5">
      <c r="B30"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E4D8-F5CD-49E8-807C-EA00828205BB}">
  <dimension ref="A1:R82"/>
  <sheetViews>
    <sheetView topLeftCell="A24" workbookViewId="0">
      <selection activeCell="V39" sqref="V39"/>
    </sheetView>
  </sheetViews>
  <sheetFormatPr defaultRowHeight="15"/>
  <cols>
    <col min="3" max="3" width="11.42578125" customWidth="1"/>
    <col min="17" max="17" width="10.42578125" bestFit="1" customWidth="1"/>
  </cols>
  <sheetData>
    <row r="1" spans="1:18">
      <c r="A1" s="4" t="s">
        <v>93</v>
      </c>
      <c r="C1" s="30">
        <f>AVERAGE(G24,G37,G50)</f>
        <v>602.78666666666675</v>
      </c>
      <c r="D1" s="4" t="s">
        <v>94</v>
      </c>
      <c r="E1" s="30">
        <f>C1*(8*8/144)</f>
        <v>267.90518518518519</v>
      </c>
      <c r="F1" s="30" t="s">
        <v>95</v>
      </c>
      <c r="N1" s="4" t="s">
        <v>14</v>
      </c>
      <c r="O1" s="4">
        <f>AVERAGE(O4,O25,O46,O65)</f>
        <v>294</v>
      </c>
      <c r="P1" s="4" t="s">
        <v>94</v>
      </c>
      <c r="Q1" s="30">
        <f>PI()/16*O1</f>
        <v>57.726765009712452</v>
      </c>
      <c r="R1" s="4" t="s">
        <v>95</v>
      </c>
    </row>
    <row r="2" spans="1:18">
      <c r="A2" s="24" t="s">
        <v>96</v>
      </c>
      <c r="B2" s="24"/>
      <c r="N2" s="24" t="s">
        <v>97</v>
      </c>
      <c r="O2" s="24"/>
    </row>
    <row r="3" spans="1:18">
      <c r="A3" t="s">
        <v>98</v>
      </c>
      <c r="N3" s="4" t="s">
        <v>99</v>
      </c>
    </row>
    <row r="4" spans="1:18">
      <c r="A4" t="s">
        <v>100</v>
      </c>
      <c r="B4" s="12">
        <v>619</v>
      </c>
      <c r="N4" s="6" t="s">
        <v>100</v>
      </c>
      <c r="O4" s="25">
        <v>286</v>
      </c>
      <c r="P4" s="7"/>
      <c r="Q4" s="8"/>
    </row>
    <row r="5" spans="1:18">
      <c r="A5" t="s">
        <v>101</v>
      </c>
      <c r="B5">
        <v>315</v>
      </c>
      <c r="N5" s="9" t="s">
        <v>101</v>
      </c>
      <c r="O5" s="26">
        <v>198</v>
      </c>
      <c r="P5" s="26"/>
      <c r="Q5" s="10"/>
    </row>
    <row r="6" spans="1:18">
      <c r="A6" t="s">
        <v>102</v>
      </c>
      <c r="B6">
        <v>860</v>
      </c>
      <c r="N6" s="9" t="s">
        <v>102</v>
      </c>
      <c r="O6" s="26">
        <v>378</v>
      </c>
      <c r="P6" s="26"/>
      <c r="Q6" s="10"/>
    </row>
    <row r="7" spans="1:18">
      <c r="A7" s="4" t="s">
        <v>103</v>
      </c>
      <c r="N7" s="9" t="s">
        <v>104</v>
      </c>
      <c r="O7" s="26">
        <f>90%*O6</f>
        <v>340.2</v>
      </c>
      <c r="P7" s="26"/>
      <c r="Q7" s="10"/>
    </row>
    <row r="8" spans="1:18">
      <c r="A8" t="s">
        <v>105</v>
      </c>
      <c r="N8" s="9" t="s">
        <v>106</v>
      </c>
      <c r="O8" s="26"/>
      <c r="P8" s="26"/>
      <c r="Q8" s="10"/>
    </row>
    <row r="9" spans="1:18">
      <c r="A9" t="s">
        <v>107</v>
      </c>
      <c r="N9" s="9"/>
      <c r="O9" s="26"/>
      <c r="P9" s="26"/>
      <c r="Q9" s="10"/>
    </row>
    <row r="10" spans="1:18">
      <c r="A10" t="s">
        <v>108</v>
      </c>
      <c r="C10">
        <f>9/5*39.8+32</f>
        <v>103.64</v>
      </c>
      <c r="N10" s="9"/>
      <c r="O10" s="26"/>
      <c r="P10" s="26"/>
      <c r="Q10" s="10"/>
    </row>
    <row r="11" spans="1:18">
      <c r="A11" t="s">
        <v>109</v>
      </c>
      <c r="N11" s="9"/>
      <c r="O11" s="26"/>
      <c r="P11" s="26"/>
      <c r="Q11" s="10"/>
    </row>
    <row r="12" spans="1:18">
      <c r="A12" t="s">
        <v>110</v>
      </c>
      <c r="N12" s="9"/>
      <c r="O12" s="26" t="s">
        <v>111</v>
      </c>
      <c r="P12" s="26"/>
      <c r="Q12" s="10"/>
    </row>
    <row r="13" spans="1:18">
      <c r="A13" t="s">
        <v>112</v>
      </c>
      <c r="L13">
        <f>(460+103)/(460+95)</f>
        <v>1.0144144144144145</v>
      </c>
      <c r="N13" s="9"/>
      <c r="O13" s="26" t="s">
        <v>113</v>
      </c>
      <c r="P13" s="26"/>
      <c r="Q13" s="10"/>
    </row>
    <row r="14" spans="1:18">
      <c r="A14" t="s">
        <v>114</v>
      </c>
      <c r="N14" s="9"/>
      <c r="O14" s="26"/>
      <c r="P14" s="26"/>
      <c r="Q14" s="10"/>
    </row>
    <row r="15" spans="1:18">
      <c r="A15" t="s">
        <v>115</v>
      </c>
      <c r="N15" s="9"/>
      <c r="O15" s="26">
        <v>1</v>
      </c>
      <c r="P15" s="26">
        <v>2</v>
      </c>
      <c r="Q15" s="10"/>
    </row>
    <row r="16" spans="1:18">
      <c r="A16" t="s">
        <v>116</v>
      </c>
      <c r="N16" s="9">
        <v>1</v>
      </c>
      <c r="O16" s="26">
        <v>262</v>
      </c>
      <c r="P16" s="26">
        <v>344</v>
      </c>
      <c r="Q16" s="10"/>
    </row>
    <row r="17" spans="1:17">
      <c r="A17" t="s">
        <v>117</v>
      </c>
      <c r="C17" s="3"/>
      <c r="N17" s="9">
        <v>2</v>
      </c>
      <c r="O17" s="26">
        <v>198</v>
      </c>
      <c r="P17" s="26">
        <v>319</v>
      </c>
      <c r="Q17" s="10"/>
    </row>
    <row r="18" spans="1:17" ht="15.75" thickBot="1">
      <c r="B18">
        <v>1</v>
      </c>
      <c r="C18">
        <v>2</v>
      </c>
      <c r="D18">
        <v>3</v>
      </c>
      <c r="E18">
        <v>4</v>
      </c>
      <c r="F18">
        <v>5</v>
      </c>
      <c r="N18" s="9">
        <v>3</v>
      </c>
      <c r="O18" s="26">
        <v>230</v>
      </c>
      <c r="P18" s="26">
        <v>251</v>
      </c>
      <c r="Q18" s="10"/>
    </row>
    <row r="19" spans="1:17">
      <c r="A19">
        <v>5</v>
      </c>
      <c r="B19" s="13">
        <v>504</v>
      </c>
      <c r="C19" s="14">
        <v>429</v>
      </c>
      <c r="D19" s="14">
        <v>696</v>
      </c>
      <c r="E19" s="14">
        <v>791</v>
      </c>
      <c r="F19" s="15">
        <v>742</v>
      </c>
      <c r="G19" s="3">
        <f>AVERAGE(B19:F19)</f>
        <v>632.4</v>
      </c>
      <c r="N19" s="9">
        <v>4</v>
      </c>
      <c r="O19" s="26">
        <v>324</v>
      </c>
      <c r="P19" s="26">
        <v>264</v>
      </c>
      <c r="Q19" s="10"/>
    </row>
    <row r="20" spans="1:17">
      <c r="A20">
        <v>4</v>
      </c>
      <c r="B20" s="16">
        <v>668</v>
      </c>
      <c r="C20" s="3">
        <v>555</v>
      </c>
      <c r="D20" s="3">
        <v>762</v>
      </c>
      <c r="E20" s="3">
        <v>802</v>
      </c>
      <c r="F20" s="17">
        <v>860</v>
      </c>
      <c r="G20" s="3">
        <f t="shared" ref="G20:G23" si="0">AVERAGE(B20:F20)</f>
        <v>729.4</v>
      </c>
      <c r="N20" s="9">
        <v>5</v>
      </c>
      <c r="O20" s="26">
        <v>378</v>
      </c>
      <c r="P20" s="26">
        <v>245</v>
      </c>
      <c r="Q20" s="10"/>
    </row>
    <row r="21" spans="1:17" ht="15.75" thickBot="1">
      <c r="A21">
        <v>3</v>
      </c>
      <c r="B21" s="16">
        <v>559</v>
      </c>
      <c r="C21" s="3">
        <v>511</v>
      </c>
      <c r="D21" s="3">
        <v>627</v>
      </c>
      <c r="E21" s="3">
        <v>750</v>
      </c>
      <c r="F21" s="17">
        <v>835</v>
      </c>
      <c r="G21" s="3">
        <f t="shared" si="0"/>
        <v>656.4</v>
      </c>
      <c r="N21" s="11">
        <v>6</v>
      </c>
      <c r="O21" s="27">
        <v>364</v>
      </c>
      <c r="P21" s="27">
        <v>249</v>
      </c>
      <c r="Q21" s="28"/>
    </row>
    <row r="22" spans="1:17">
      <c r="A22">
        <v>2</v>
      </c>
      <c r="B22" s="16">
        <v>439</v>
      </c>
      <c r="C22" s="3">
        <v>369</v>
      </c>
      <c r="D22" s="3">
        <v>540</v>
      </c>
      <c r="E22" s="3">
        <v>692</v>
      </c>
      <c r="F22" s="17">
        <v>828</v>
      </c>
      <c r="G22" s="3">
        <f t="shared" si="0"/>
        <v>573.6</v>
      </c>
    </row>
    <row r="23" spans="1:17" ht="15.75" thickBot="1">
      <c r="A23">
        <v>1</v>
      </c>
      <c r="B23" s="18">
        <v>381</v>
      </c>
      <c r="C23" s="19">
        <v>315</v>
      </c>
      <c r="D23" s="19">
        <v>499</v>
      </c>
      <c r="E23" s="19">
        <v>612</v>
      </c>
      <c r="F23" s="20">
        <v>704</v>
      </c>
      <c r="G23" s="3">
        <f t="shared" si="0"/>
        <v>502.2</v>
      </c>
    </row>
    <row r="24" spans="1:17" ht="21">
      <c r="B24" s="3">
        <f>AVERAGE(B19:B23)</f>
        <v>510.2</v>
      </c>
      <c r="C24" s="3">
        <f>AVERAGE(C19:C23)</f>
        <v>435.8</v>
      </c>
      <c r="D24" s="3">
        <f>AVERAGE(D19:D23)</f>
        <v>624.79999999999995</v>
      </c>
      <c r="E24" s="3">
        <f>AVERAGE(E19:E23)</f>
        <v>729.4</v>
      </c>
      <c r="F24" s="3">
        <f>AVERAGE(F19:F23)</f>
        <v>793.8</v>
      </c>
      <c r="G24" s="21">
        <f>AVERAGE(B19:F23)</f>
        <v>618.79999999999995</v>
      </c>
      <c r="N24" s="4" t="s">
        <v>118</v>
      </c>
    </row>
    <row r="25" spans="1:17">
      <c r="A25" s="4" t="s">
        <v>119</v>
      </c>
      <c r="B25" s="3"/>
      <c r="C25" s="3"/>
      <c r="D25" s="3"/>
      <c r="E25" s="3"/>
      <c r="F25" s="3"/>
      <c r="G25" s="3"/>
      <c r="N25" s="6" t="s">
        <v>100</v>
      </c>
      <c r="O25" s="25">
        <v>308</v>
      </c>
      <c r="P25" s="7"/>
      <c r="Q25" s="8"/>
    </row>
    <row r="26" spans="1:17">
      <c r="A26" t="s">
        <v>120</v>
      </c>
      <c r="B26" s="3"/>
      <c r="C26" s="3"/>
      <c r="D26" s="3"/>
      <c r="F26" s="3"/>
      <c r="G26" s="3"/>
      <c r="N26" s="9" t="s">
        <v>101</v>
      </c>
      <c r="O26" s="26">
        <v>205</v>
      </c>
      <c r="P26" s="26"/>
      <c r="Q26" s="10"/>
    </row>
    <row r="27" spans="1:17">
      <c r="A27" t="s">
        <v>100</v>
      </c>
      <c r="B27" s="22">
        <v>603</v>
      </c>
      <c r="C27" s="3"/>
      <c r="D27" s="3"/>
      <c r="E27" s="3"/>
      <c r="F27" s="3"/>
      <c r="G27" s="3"/>
      <c r="N27" s="9" t="s">
        <v>102</v>
      </c>
      <c r="O27" s="26">
        <v>405</v>
      </c>
      <c r="P27" s="26"/>
      <c r="Q27" s="10"/>
    </row>
    <row r="28" spans="1:17">
      <c r="A28" t="s">
        <v>101</v>
      </c>
      <c r="B28" s="3">
        <v>313</v>
      </c>
      <c r="C28" s="3"/>
      <c r="D28" s="3"/>
      <c r="E28" s="3"/>
      <c r="F28" s="3"/>
      <c r="G28" s="3"/>
      <c r="N28" s="9" t="s">
        <v>104</v>
      </c>
      <c r="O28" s="26">
        <f>90%*O27</f>
        <v>364.5</v>
      </c>
      <c r="P28" s="26"/>
      <c r="Q28" s="10"/>
    </row>
    <row r="29" spans="1:17">
      <c r="A29" t="s">
        <v>102</v>
      </c>
      <c r="B29" s="3">
        <v>898</v>
      </c>
      <c r="C29" s="3"/>
      <c r="D29" s="3"/>
      <c r="E29" s="3"/>
      <c r="F29" s="3"/>
      <c r="G29" s="3"/>
      <c r="N29" s="9" t="s">
        <v>106</v>
      </c>
      <c r="O29" s="26"/>
      <c r="P29" s="26"/>
      <c r="Q29" s="10"/>
    </row>
    <row r="30" spans="1:17">
      <c r="A30" t="s">
        <v>117</v>
      </c>
      <c r="B30" s="3"/>
      <c r="D30" s="3"/>
      <c r="E30" s="3"/>
      <c r="F30" s="3"/>
      <c r="G30" s="3"/>
      <c r="N30" s="9"/>
      <c r="O30" s="26"/>
      <c r="P30" s="26"/>
      <c r="Q30" s="10"/>
    </row>
    <row r="31" spans="1:17" ht="15.75" thickBot="1">
      <c r="B31" s="3">
        <v>1</v>
      </c>
      <c r="C31" s="3">
        <v>2</v>
      </c>
      <c r="D31" s="3">
        <v>3</v>
      </c>
      <c r="E31" s="3">
        <v>4</v>
      </c>
      <c r="F31" s="3">
        <v>5</v>
      </c>
      <c r="G31" s="3"/>
      <c r="N31" s="9"/>
      <c r="O31" s="26"/>
      <c r="P31" s="26"/>
      <c r="Q31" s="10"/>
    </row>
    <row r="32" spans="1:17">
      <c r="A32">
        <v>5</v>
      </c>
      <c r="B32" s="13">
        <v>327</v>
      </c>
      <c r="C32" s="14">
        <v>441</v>
      </c>
      <c r="D32" s="14">
        <v>534</v>
      </c>
      <c r="E32" s="14">
        <v>707</v>
      </c>
      <c r="F32" s="15">
        <v>871</v>
      </c>
      <c r="G32" s="3">
        <f>AVERAGE(B32:F32)</f>
        <v>576</v>
      </c>
      <c r="N32" s="9"/>
      <c r="O32" s="26"/>
      <c r="P32" s="26"/>
      <c r="Q32" s="10"/>
    </row>
    <row r="33" spans="1:17">
      <c r="A33">
        <v>4</v>
      </c>
      <c r="B33" s="16">
        <v>500</v>
      </c>
      <c r="C33" s="3">
        <v>583</v>
      </c>
      <c r="D33" s="3">
        <v>730</v>
      </c>
      <c r="E33" s="3">
        <v>779</v>
      </c>
      <c r="F33" s="17">
        <v>898</v>
      </c>
      <c r="G33" s="3">
        <f t="shared" ref="G33:G36" si="1">AVERAGE(B33:F33)</f>
        <v>698</v>
      </c>
      <c r="N33" s="9"/>
      <c r="O33" s="26" t="s">
        <v>121</v>
      </c>
      <c r="P33" s="26"/>
      <c r="Q33" s="10"/>
    </row>
    <row r="34" spans="1:17">
      <c r="A34">
        <v>3</v>
      </c>
      <c r="B34" s="16">
        <v>584</v>
      </c>
      <c r="C34" s="3">
        <v>587</v>
      </c>
      <c r="D34" s="3">
        <v>585</v>
      </c>
      <c r="E34" s="3">
        <v>744</v>
      </c>
      <c r="F34" s="17">
        <v>870</v>
      </c>
      <c r="G34" s="3">
        <f t="shared" si="1"/>
        <v>674</v>
      </c>
      <c r="N34" s="9"/>
      <c r="O34" s="26" t="s">
        <v>113</v>
      </c>
      <c r="P34" s="26"/>
      <c r="Q34" s="10"/>
    </row>
    <row r="35" spans="1:17">
      <c r="A35">
        <v>2</v>
      </c>
      <c r="B35" s="16">
        <v>359</v>
      </c>
      <c r="C35" s="3">
        <v>407</v>
      </c>
      <c r="D35" s="3">
        <v>486</v>
      </c>
      <c r="E35" s="3">
        <v>749</v>
      </c>
      <c r="F35" s="17">
        <v>814</v>
      </c>
      <c r="G35" s="3">
        <f t="shared" si="1"/>
        <v>563</v>
      </c>
      <c r="N35" s="9"/>
      <c r="O35" s="26"/>
      <c r="P35" s="26"/>
      <c r="Q35" s="10"/>
    </row>
    <row r="36" spans="1:17" ht="15.75" thickBot="1">
      <c r="A36">
        <v>1</v>
      </c>
      <c r="B36" s="18">
        <v>313</v>
      </c>
      <c r="C36" s="19">
        <v>350</v>
      </c>
      <c r="D36" s="19">
        <v>436</v>
      </c>
      <c r="E36" s="19">
        <v>600</v>
      </c>
      <c r="F36" s="20">
        <v>826</v>
      </c>
      <c r="G36" s="3">
        <f t="shared" si="1"/>
        <v>505</v>
      </c>
      <c r="N36" s="9"/>
      <c r="O36" s="26">
        <v>1</v>
      </c>
      <c r="P36" s="26">
        <v>2</v>
      </c>
      <c r="Q36" s="10"/>
    </row>
    <row r="37" spans="1:17" ht="21">
      <c r="B37" s="3">
        <f>AVERAGE(B32:B36)</f>
        <v>416.6</v>
      </c>
      <c r="C37" s="3">
        <f>AVERAGE(C32:C36)</f>
        <v>473.6</v>
      </c>
      <c r="D37" s="3">
        <f>AVERAGE(D32:D36)</f>
        <v>554.20000000000005</v>
      </c>
      <c r="E37" s="3">
        <f>AVERAGE(E32:E36)</f>
        <v>715.8</v>
      </c>
      <c r="F37" s="3">
        <f>AVERAGE(F32:F36)</f>
        <v>855.8</v>
      </c>
      <c r="G37" s="21">
        <f>AVERAGE(B32:F36)</f>
        <v>603.20000000000005</v>
      </c>
      <c r="N37" s="9">
        <v>1</v>
      </c>
      <c r="O37" s="26">
        <v>237</v>
      </c>
      <c r="P37" s="26">
        <v>319</v>
      </c>
      <c r="Q37" s="10"/>
    </row>
    <row r="38" spans="1:17">
      <c r="A38" s="4" t="s">
        <v>122</v>
      </c>
      <c r="B38" s="3"/>
      <c r="C38" s="3"/>
      <c r="D38" s="3"/>
      <c r="E38" s="3"/>
      <c r="F38" s="3"/>
      <c r="G38" s="3"/>
      <c r="N38" s="9">
        <v>2</v>
      </c>
      <c r="O38" s="26">
        <v>230</v>
      </c>
      <c r="P38" s="26">
        <v>397</v>
      </c>
      <c r="Q38" s="10"/>
    </row>
    <row r="39" spans="1:17">
      <c r="A39" t="s">
        <v>123</v>
      </c>
      <c r="B39" s="3"/>
      <c r="C39" s="3"/>
      <c r="D39" s="3"/>
      <c r="E39" s="3"/>
      <c r="F39" s="3"/>
      <c r="G39" s="3"/>
      <c r="N39" s="9">
        <v>3</v>
      </c>
      <c r="O39" s="26">
        <v>242</v>
      </c>
      <c r="P39" s="26">
        <v>360</v>
      </c>
      <c r="Q39" s="10"/>
    </row>
    <row r="40" spans="1:17">
      <c r="A40" t="s">
        <v>124</v>
      </c>
      <c r="B40" s="3"/>
      <c r="C40" s="3"/>
      <c r="D40" s="3"/>
      <c r="E40" s="3"/>
      <c r="F40" s="3">
        <f>43*9/5+32</f>
        <v>109.4</v>
      </c>
      <c r="G40" s="3"/>
      <c r="N40" s="9">
        <v>4</v>
      </c>
      <c r="O40" s="26">
        <v>313</v>
      </c>
      <c r="P40" s="26">
        <v>301</v>
      </c>
      <c r="Q40" s="10"/>
    </row>
    <row r="41" spans="1:17">
      <c r="A41" t="s">
        <v>100</v>
      </c>
      <c r="B41" s="22">
        <v>586</v>
      </c>
      <c r="C41" s="3"/>
      <c r="D41" s="3"/>
      <c r="E41" s="3"/>
      <c r="F41" s="3"/>
      <c r="G41" s="3"/>
      <c r="N41" s="9">
        <v>5</v>
      </c>
      <c r="O41" s="26">
        <v>378</v>
      </c>
      <c r="P41" s="26">
        <v>312</v>
      </c>
      <c r="Q41" s="10"/>
    </row>
    <row r="42" spans="1:17" ht="15.75" thickBot="1">
      <c r="A42" t="s">
        <v>101</v>
      </c>
      <c r="B42" s="3">
        <v>248</v>
      </c>
      <c r="C42" s="3"/>
      <c r="D42" s="3"/>
      <c r="E42" s="3"/>
      <c r="F42" s="3"/>
      <c r="G42" s="3"/>
      <c r="N42" s="11">
        <v>6</v>
      </c>
      <c r="O42" s="27">
        <v>405</v>
      </c>
      <c r="P42" s="27">
        <v>205</v>
      </c>
      <c r="Q42" s="28"/>
    </row>
    <row r="43" spans="1:17">
      <c r="A43" t="s">
        <v>102</v>
      </c>
      <c r="B43" s="3">
        <v>913</v>
      </c>
      <c r="C43" s="3"/>
      <c r="D43" s="3"/>
      <c r="E43" s="3"/>
      <c r="F43" s="3"/>
      <c r="G43" s="3"/>
    </row>
    <row r="44" spans="1:17" ht="15.75" thickBot="1">
      <c r="B44" s="3">
        <v>1</v>
      </c>
      <c r="C44" s="3">
        <v>2</v>
      </c>
      <c r="D44" s="3">
        <v>3</v>
      </c>
      <c r="E44" s="3">
        <v>4</v>
      </c>
      <c r="F44" s="3">
        <v>5</v>
      </c>
      <c r="G44" s="3"/>
    </row>
    <row r="45" spans="1:17">
      <c r="A45">
        <v>5</v>
      </c>
      <c r="B45" s="13">
        <v>439</v>
      </c>
      <c r="C45" s="14">
        <v>573</v>
      </c>
      <c r="D45" s="14">
        <v>573</v>
      </c>
      <c r="E45" s="14">
        <v>797</v>
      </c>
      <c r="F45" s="15">
        <v>738</v>
      </c>
      <c r="G45" s="3">
        <f>AVERAGE(B45:F45)</f>
        <v>624</v>
      </c>
      <c r="N45" s="31" t="s">
        <v>125</v>
      </c>
    </row>
    <row r="46" spans="1:17">
      <c r="A46">
        <v>4</v>
      </c>
      <c r="B46" s="16">
        <v>537</v>
      </c>
      <c r="C46" s="3">
        <v>681</v>
      </c>
      <c r="D46" s="3">
        <v>704</v>
      </c>
      <c r="E46" s="3">
        <v>792</v>
      </c>
      <c r="F46" s="17">
        <v>913</v>
      </c>
      <c r="G46" s="3">
        <f t="shared" ref="G46:G49" si="2">AVERAGE(B46:F46)</f>
        <v>725.4</v>
      </c>
      <c r="N46" s="6" t="s">
        <v>100</v>
      </c>
      <c r="O46" s="25">
        <v>277</v>
      </c>
      <c r="P46" s="7"/>
      <c r="Q46" s="8"/>
    </row>
    <row r="47" spans="1:17">
      <c r="A47">
        <v>3</v>
      </c>
      <c r="B47" s="16">
        <v>404</v>
      </c>
      <c r="C47" s="3">
        <v>500</v>
      </c>
      <c r="D47" s="3">
        <v>565</v>
      </c>
      <c r="E47" s="3">
        <v>741</v>
      </c>
      <c r="F47" s="17">
        <v>808</v>
      </c>
      <c r="G47" s="3">
        <f t="shared" si="2"/>
        <v>603.6</v>
      </c>
      <c r="N47" s="9" t="s">
        <v>101</v>
      </c>
      <c r="O47" s="26">
        <v>196</v>
      </c>
      <c r="P47" s="26"/>
      <c r="Q47" s="10"/>
    </row>
    <row r="48" spans="1:17">
      <c r="A48">
        <v>2</v>
      </c>
      <c r="B48" s="16">
        <v>367</v>
      </c>
      <c r="C48" s="3">
        <v>395</v>
      </c>
      <c r="D48" s="3">
        <v>415</v>
      </c>
      <c r="E48" s="3">
        <v>706</v>
      </c>
      <c r="F48" s="17">
        <v>744</v>
      </c>
      <c r="G48" s="3">
        <f t="shared" si="2"/>
        <v>525.4</v>
      </c>
      <c r="N48" s="9" t="s">
        <v>102</v>
      </c>
      <c r="O48" s="26">
        <v>398</v>
      </c>
      <c r="P48" s="26"/>
      <c r="Q48" s="10"/>
    </row>
    <row r="49" spans="1:17" ht="15.75" thickBot="1">
      <c r="A49">
        <v>1</v>
      </c>
      <c r="B49" s="18">
        <v>248</v>
      </c>
      <c r="C49" s="19">
        <v>280</v>
      </c>
      <c r="D49" s="19">
        <v>394</v>
      </c>
      <c r="E49" s="19">
        <v>654</v>
      </c>
      <c r="F49" s="20">
        <v>691</v>
      </c>
      <c r="G49" s="3">
        <f t="shared" si="2"/>
        <v>453.4</v>
      </c>
      <c r="N49" s="9" t="s">
        <v>104</v>
      </c>
      <c r="O49" s="26">
        <f>90%*O48</f>
        <v>358.2</v>
      </c>
      <c r="P49" s="26"/>
      <c r="Q49" s="10"/>
    </row>
    <row r="50" spans="1:17" ht="21">
      <c r="B50" s="3">
        <f>AVERAGE(B45:B49)</f>
        <v>399</v>
      </c>
      <c r="C50" s="3">
        <f>AVERAGE(C45:C49)</f>
        <v>485.8</v>
      </c>
      <c r="D50" s="3">
        <f>AVERAGE(D45:D49)</f>
        <v>530.20000000000005</v>
      </c>
      <c r="E50" s="3">
        <f>AVERAGE(E45:E49)</f>
        <v>738</v>
      </c>
      <c r="F50" s="3">
        <f>AVERAGE(F45:F49)</f>
        <v>778.8</v>
      </c>
      <c r="G50" s="21">
        <f>AVERAGE(B45:F49)</f>
        <v>586.36</v>
      </c>
      <c r="N50" s="9" t="s">
        <v>106</v>
      </c>
      <c r="O50" s="26"/>
      <c r="P50" s="26"/>
      <c r="Q50" s="10"/>
    </row>
    <row r="51" spans="1:17">
      <c r="A51" s="4" t="s">
        <v>126</v>
      </c>
      <c r="N51" s="9"/>
      <c r="O51" s="26"/>
      <c r="P51" s="26"/>
      <c r="Q51" s="10"/>
    </row>
    <row r="52" spans="1:17">
      <c r="A52" t="s">
        <v>127</v>
      </c>
      <c r="D52">
        <v>978</v>
      </c>
      <c r="E52" t="s">
        <v>128</v>
      </c>
      <c r="N52" s="9"/>
      <c r="O52" s="26"/>
      <c r="P52" s="26"/>
      <c r="Q52" s="10"/>
    </row>
    <row r="53" spans="1:17">
      <c r="N53" s="9"/>
      <c r="O53" s="26"/>
      <c r="P53" s="26"/>
      <c r="Q53" s="10"/>
    </row>
    <row r="54" spans="1:17">
      <c r="N54" s="9"/>
      <c r="O54" s="26" t="s">
        <v>129</v>
      </c>
      <c r="P54" s="26"/>
      <c r="Q54" s="10"/>
    </row>
    <row r="55" spans="1:17">
      <c r="N55" s="9"/>
      <c r="O55" s="26" t="s">
        <v>113</v>
      </c>
      <c r="P55" s="26"/>
      <c r="Q55" s="10"/>
    </row>
    <row r="56" spans="1:17">
      <c r="N56" s="9"/>
      <c r="O56" s="26"/>
      <c r="P56" s="26"/>
      <c r="Q56" s="10"/>
    </row>
    <row r="57" spans="1:17">
      <c r="N57" s="9"/>
      <c r="O57" s="26">
        <v>1</v>
      </c>
      <c r="P57" s="26">
        <v>2</v>
      </c>
      <c r="Q57" s="10"/>
    </row>
    <row r="58" spans="1:17">
      <c r="N58" s="9">
        <v>1</v>
      </c>
      <c r="O58" s="26">
        <v>206</v>
      </c>
      <c r="P58" s="26">
        <v>292</v>
      </c>
      <c r="Q58" s="10"/>
    </row>
    <row r="59" spans="1:17">
      <c r="N59" s="9">
        <v>2</v>
      </c>
      <c r="O59" s="26">
        <v>221</v>
      </c>
      <c r="P59" s="26">
        <v>256</v>
      </c>
      <c r="Q59" s="10"/>
    </row>
    <row r="60" spans="1:17">
      <c r="N60" s="9">
        <v>3</v>
      </c>
      <c r="O60" s="26">
        <v>261</v>
      </c>
      <c r="P60" s="26">
        <v>315</v>
      </c>
      <c r="Q60" s="10"/>
    </row>
    <row r="61" spans="1:17">
      <c r="N61" s="9">
        <v>4</v>
      </c>
      <c r="O61" s="26">
        <v>315</v>
      </c>
      <c r="P61" s="26">
        <v>258</v>
      </c>
      <c r="Q61" s="10"/>
    </row>
    <row r="62" spans="1:17">
      <c r="N62" s="9">
        <v>5</v>
      </c>
      <c r="O62" s="26">
        <v>380</v>
      </c>
      <c r="P62" s="26">
        <v>223</v>
      </c>
      <c r="Q62" s="10"/>
    </row>
    <row r="63" spans="1:17">
      <c r="N63" s="11">
        <v>6</v>
      </c>
      <c r="O63" s="27">
        <v>398</v>
      </c>
      <c r="P63" s="27">
        <v>196</v>
      </c>
      <c r="Q63" s="28"/>
    </row>
    <row r="64" spans="1:17">
      <c r="N64" s="4" t="s">
        <v>130</v>
      </c>
    </row>
    <row r="65" spans="14:17">
      <c r="N65" s="6" t="s">
        <v>100</v>
      </c>
      <c r="O65" s="25">
        <v>305</v>
      </c>
      <c r="P65" s="7"/>
      <c r="Q65" s="8"/>
    </row>
    <row r="66" spans="14:17">
      <c r="N66" s="9" t="s">
        <v>101</v>
      </c>
      <c r="O66" s="26">
        <v>252</v>
      </c>
      <c r="P66" s="26"/>
      <c r="Q66" s="10"/>
    </row>
    <row r="67" spans="14:17">
      <c r="N67" s="9" t="s">
        <v>102</v>
      </c>
      <c r="O67" s="26">
        <v>421</v>
      </c>
      <c r="P67" s="26"/>
      <c r="Q67" s="10"/>
    </row>
    <row r="68" spans="14:17">
      <c r="N68" s="9" t="s">
        <v>104</v>
      </c>
      <c r="O68" s="26">
        <f>90%*O67</f>
        <v>378.90000000000003</v>
      </c>
      <c r="P68" s="26"/>
      <c r="Q68" s="10"/>
    </row>
    <row r="69" spans="14:17">
      <c r="N69" s="9" t="s">
        <v>106</v>
      </c>
      <c r="O69" s="26"/>
      <c r="P69" s="26"/>
      <c r="Q69" s="10"/>
    </row>
    <row r="70" spans="14:17">
      <c r="N70" s="9"/>
      <c r="O70" s="26"/>
      <c r="P70" s="26"/>
      <c r="Q70" s="10"/>
    </row>
    <row r="71" spans="14:17">
      <c r="N71" s="9"/>
      <c r="O71" s="26"/>
      <c r="P71" s="26"/>
      <c r="Q71" s="10"/>
    </row>
    <row r="72" spans="14:17">
      <c r="N72" s="9"/>
      <c r="O72" s="26"/>
      <c r="P72" s="26"/>
      <c r="Q72" s="10"/>
    </row>
    <row r="73" spans="14:17">
      <c r="N73" s="9"/>
      <c r="O73" s="26" t="s">
        <v>131</v>
      </c>
      <c r="P73" s="26"/>
      <c r="Q73" s="10"/>
    </row>
    <row r="74" spans="14:17">
      <c r="N74" s="9"/>
      <c r="O74" s="26" t="s">
        <v>132</v>
      </c>
      <c r="P74" s="26"/>
      <c r="Q74" s="10"/>
    </row>
    <row r="75" spans="14:17">
      <c r="N75" s="9"/>
      <c r="O75" s="26"/>
      <c r="P75" s="26"/>
      <c r="Q75" s="10"/>
    </row>
    <row r="76" spans="14:17">
      <c r="N76" s="9"/>
      <c r="O76" s="26">
        <v>1</v>
      </c>
      <c r="P76" s="26">
        <v>2</v>
      </c>
      <c r="Q76" s="10"/>
    </row>
    <row r="77" spans="14:17">
      <c r="N77" s="9">
        <v>1</v>
      </c>
      <c r="O77" s="26">
        <v>263</v>
      </c>
      <c r="P77" s="26">
        <v>302</v>
      </c>
      <c r="Q77" s="10"/>
    </row>
    <row r="78" spans="14:17">
      <c r="N78" s="9">
        <v>2</v>
      </c>
      <c r="O78" s="26">
        <v>258</v>
      </c>
      <c r="P78" s="26">
        <v>300</v>
      </c>
      <c r="Q78" s="10"/>
    </row>
    <row r="79" spans="14:17">
      <c r="N79" s="9">
        <v>3</v>
      </c>
      <c r="O79" s="26">
        <v>252</v>
      </c>
      <c r="P79" s="26">
        <v>255</v>
      </c>
      <c r="Q79" s="10"/>
    </row>
    <row r="80" spans="14:17">
      <c r="N80" s="9">
        <v>4</v>
      </c>
      <c r="O80" s="26">
        <v>336</v>
      </c>
      <c r="P80" s="26">
        <v>285</v>
      </c>
      <c r="Q80" s="10"/>
    </row>
    <row r="81" spans="14:17">
      <c r="N81" s="9">
        <v>5</v>
      </c>
      <c r="O81" s="26">
        <v>407</v>
      </c>
      <c r="P81" s="26">
        <v>303</v>
      </c>
      <c r="Q81" s="10"/>
    </row>
    <row r="82" spans="14:17" ht="15.75" thickBot="1">
      <c r="N82" s="11">
        <v>6</v>
      </c>
      <c r="O82" s="27">
        <v>421</v>
      </c>
      <c r="P82" s="27">
        <v>280</v>
      </c>
      <c r="Q82" s="28"/>
    </row>
  </sheetData>
  <conditionalFormatting sqref="B19:F23">
    <cfRule type="colorScale" priority="10">
      <colorScale>
        <cfvo type="min"/>
        <cfvo type="percentile" val="50"/>
        <cfvo type="max"/>
        <color rgb="FFF8696B"/>
        <color rgb="FFFFEB84"/>
        <color rgb="FF63BE7B"/>
      </colorScale>
    </cfRule>
  </conditionalFormatting>
  <conditionalFormatting sqref="B32:F36">
    <cfRule type="colorScale" priority="8">
      <colorScale>
        <cfvo type="min"/>
        <cfvo type="percentile" val="50"/>
        <cfvo type="max"/>
        <color rgb="FFF8696B"/>
        <color rgb="FFFFEB84"/>
        <color rgb="FF63BE7B"/>
      </colorScale>
    </cfRule>
  </conditionalFormatting>
  <conditionalFormatting sqref="B45:F49 D52">
    <cfRule type="colorScale" priority="7">
      <colorScale>
        <cfvo type="min"/>
        <cfvo type="percentile" val="50"/>
        <cfvo type="max"/>
        <color rgb="FFF8696B"/>
        <color rgb="FFFFEB84"/>
        <color rgb="FF63BE7B"/>
      </colorScale>
    </cfRule>
  </conditionalFormatting>
  <conditionalFormatting sqref="B45:G50 B32:G37 B19:G24">
    <cfRule type="colorScale" priority="6">
      <colorScale>
        <cfvo type="min"/>
        <cfvo type="percentile" val="50"/>
        <cfvo type="max"/>
        <color rgb="FFF8696B"/>
        <color rgb="FFFFEB84"/>
        <color rgb="FF63BE7B"/>
      </colorScale>
    </cfRule>
  </conditionalFormatting>
  <conditionalFormatting sqref="O16:P21">
    <cfRule type="colorScale" priority="5">
      <colorScale>
        <cfvo type="min"/>
        <cfvo type="percentile" val="50"/>
        <cfvo type="max"/>
        <color rgb="FFF8696B"/>
        <color rgb="FFFFEB84"/>
        <color rgb="FF63BE7B"/>
      </colorScale>
    </cfRule>
  </conditionalFormatting>
  <conditionalFormatting sqref="O37:P42">
    <cfRule type="colorScale" priority="4">
      <colorScale>
        <cfvo type="min"/>
        <cfvo type="percentile" val="50"/>
        <cfvo type="max"/>
        <color rgb="FFF8696B"/>
        <color rgb="FFFFEB84"/>
        <color rgb="FF63BE7B"/>
      </colorScale>
    </cfRule>
  </conditionalFormatting>
  <conditionalFormatting sqref="O58:P63">
    <cfRule type="colorScale" priority="3">
      <colorScale>
        <cfvo type="min"/>
        <cfvo type="percentile" val="50"/>
        <cfvo type="max"/>
        <color rgb="FFF8696B"/>
        <color rgb="FFFFEB84"/>
        <color rgb="FF63BE7B"/>
      </colorScale>
    </cfRule>
  </conditionalFormatting>
  <conditionalFormatting sqref="O77:P82">
    <cfRule type="colorScale" priority="2">
      <colorScale>
        <cfvo type="min"/>
        <cfvo type="percentile" val="50"/>
        <cfvo type="max"/>
        <color rgb="FFF8696B"/>
        <color rgb="FFFFEB84"/>
        <color rgb="FF63BE7B"/>
      </colorScale>
    </cfRule>
  </conditionalFormatting>
  <conditionalFormatting sqref="O77:P82 O58:P63 O37:P42 O16:P21">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6ED1D-802B-432A-85AB-1A9FA7CEFCE2}">
  <dimension ref="A1:AK62"/>
  <sheetViews>
    <sheetView topLeftCell="A3" workbookViewId="0">
      <selection activeCell="B51" sqref="B51"/>
    </sheetView>
  </sheetViews>
  <sheetFormatPr defaultRowHeight="15"/>
  <cols>
    <col min="13" max="13" width="11" customWidth="1"/>
  </cols>
  <sheetData>
    <row r="1" spans="1:37">
      <c r="A1" s="4" t="s">
        <v>133</v>
      </c>
      <c r="D1" s="30">
        <f>AVERAGE(G22,G37,G52)</f>
        <v>423.16</v>
      </c>
      <c r="E1" s="4" t="s">
        <v>134</v>
      </c>
      <c r="F1">
        <f>(8*10/144)*D1</f>
        <v>235.0888888888889</v>
      </c>
      <c r="G1" s="4" t="s">
        <v>135</v>
      </c>
      <c r="H1">
        <f>S1+X2+AC2+AJ2</f>
        <v>215.72818859862144</v>
      </c>
      <c r="I1" t="s">
        <v>136</v>
      </c>
      <c r="M1" s="4" t="s">
        <v>137</v>
      </c>
      <c r="Q1" s="3">
        <f>AVERAGE(S22,S44)</f>
        <v>216.66</v>
      </c>
      <c r="R1" t="s">
        <v>134</v>
      </c>
      <c r="S1">
        <f>8*8/144*AVERAGE(N4,N26)</f>
        <v>96.222222222222214</v>
      </c>
      <c r="T1" t="s">
        <v>135</v>
      </c>
      <c r="V1" s="4" t="s">
        <v>138</v>
      </c>
      <c r="X1" s="4">
        <f>AVERAGE(W26,W4)</f>
        <v>288.5</v>
      </c>
      <c r="Y1" t="s">
        <v>134</v>
      </c>
      <c r="AA1" s="4" t="s">
        <v>139</v>
      </c>
      <c r="AC1" s="4">
        <f>AVERAGE(AB4,AB26)</f>
        <v>214.5</v>
      </c>
      <c r="AD1" t="s">
        <v>134</v>
      </c>
      <c r="AG1" s="4" t="s">
        <v>140</v>
      </c>
      <c r="AH1" s="4">
        <f>AVERAGE(AH4,AH26,AH45)</f>
        <v>259.33333333333331</v>
      </c>
      <c r="AI1" t="s">
        <v>134</v>
      </c>
    </row>
    <row r="2" spans="1:37">
      <c r="A2" s="24" t="s">
        <v>141</v>
      </c>
      <c r="B2" s="24"/>
      <c r="M2" s="24" t="s">
        <v>142</v>
      </c>
      <c r="N2" s="24"/>
      <c r="V2" s="24" t="s">
        <v>143</v>
      </c>
      <c r="W2" s="24"/>
      <c r="X2">
        <f>(2.5/12)^2*PI()*AVERAGE(W4,W26)</f>
        <v>39.338085093778446</v>
      </c>
      <c r="Y2" t="s">
        <v>135</v>
      </c>
      <c r="AA2" s="24" t="s">
        <v>142</v>
      </c>
      <c r="AB2" s="24"/>
      <c r="AC2">
        <f>(2.5/12)^2*PI()*AVERAGE(AB4,AB26)</f>
        <v>29.247900355686227</v>
      </c>
      <c r="AD2" t="s">
        <v>135</v>
      </c>
      <c r="AG2" s="24" t="s">
        <v>144</v>
      </c>
      <c r="AH2" s="24"/>
      <c r="AJ2">
        <f>(3/12)^2*PI()*AVERAGE(AH4,AH26,AH45)</f>
        <v>50.919980926934556</v>
      </c>
      <c r="AK2" t="s">
        <v>135</v>
      </c>
    </row>
    <row r="3" spans="1:37">
      <c r="A3" s="32" t="s">
        <v>98</v>
      </c>
      <c r="B3" s="33"/>
      <c r="C3" s="33"/>
      <c r="D3" s="33"/>
      <c r="E3" s="33"/>
      <c r="F3" s="33"/>
      <c r="G3" s="34"/>
      <c r="M3" s="32" t="s">
        <v>98</v>
      </c>
      <c r="N3" s="33"/>
      <c r="O3" s="33"/>
      <c r="P3" s="33"/>
      <c r="Q3" s="33"/>
      <c r="R3" s="33"/>
      <c r="S3" s="34"/>
    </row>
    <row r="4" spans="1:37">
      <c r="A4" s="35" t="s">
        <v>100</v>
      </c>
      <c r="B4" s="36">
        <v>414</v>
      </c>
      <c r="C4" s="26"/>
      <c r="D4" s="26"/>
      <c r="E4" s="26"/>
      <c r="F4" s="26"/>
      <c r="G4" s="37"/>
      <c r="M4" s="35" t="s">
        <v>100</v>
      </c>
      <c r="N4" s="36">
        <v>218</v>
      </c>
      <c r="O4" s="26"/>
      <c r="P4" s="26"/>
      <c r="Q4" s="26"/>
      <c r="R4" s="26"/>
      <c r="S4" s="37"/>
      <c r="V4" s="32" t="s">
        <v>100</v>
      </c>
      <c r="W4" s="51">
        <v>283</v>
      </c>
      <c r="X4" s="33"/>
      <c r="Y4" s="34"/>
      <c r="AA4" s="32" t="s">
        <v>100</v>
      </c>
      <c r="AB4" s="51">
        <v>215</v>
      </c>
      <c r="AC4" s="33"/>
      <c r="AD4" s="34"/>
      <c r="AG4" s="32" t="s">
        <v>100</v>
      </c>
      <c r="AH4" s="51">
        <v>250</v>
      </c>
      <c r="AI4" s="33"/>
      <c r="AJ4" s="33"/>
      <c r="AK4" s="34"/>
    </row>
    <row r="5" spans="1:37">
      <c r="A5" s="35" t="s">
        <v>101</v>
      </c>
      <c r="B5" s="26">
        <v>285</v>
      </c>
      <c r="C5" s="26"/>
      <c r="D5" s="26"/>
      <c r="E5" s="26"/>
      <c r="F5" s="26"/>
      <c r="G5" s="37"/>
      <c r="M5" s="35" t="s">
        <v>101</v>
      </c>
      <c r="N5" s="26">
        <v>158</v>
      </c>
      <c r="O5" s="26"/>
      <c r="P5" s="26"/>
      <c r="Q5" s="26"/>
      <c r="R5" s="26"/>
      <c r="S5" s="37"/>
      <c r="V5" s="35" t="s">
        <v>101</v>
      </c>
      <c r="W5" s="26">
        <v>230</v>
      </c>
      <c r="X5" s="26"/>
      <c r="Y5" s="37"/>
      <c r="AA5" s="35" t="s">
        <v>101</v>
      </c>
      <c r="AB5" s="26">
        <v>183</v>
      </c>
      <c r="AC5" s="26"/>
      <c r="AD5" s="37"/>
      <c r="AG5" s="35" t="s">
        <v>101</v>
      </c>
      <c r="AH5" s="26">
        <v>210</v>
      </c>
      <c r="AI5" s="26"/>
      <c r="AJ5" s="26"/>
      <c r="AK5" s="37"/>
    </row>
    <row r="6" spans="1:37">
      <c r="A6" s="35" t="s">
        <v>102</v>
      </c>
      <c r="B6" s="26">
        <v>490</v>
      </c>
      <c r="C6" s="26"/>
      <c r="D6" s="26"/>
      <c r="E6" s="26"/>
      <c r="F6" s="26"/>
      <c r="G6" s="37"/>
      <c r="M6" s="35" t="s">
        <v>102</v>
      </c>
      <c r="N6" s="26">
        <v>262</v>
      </c>
      <c r="O6" s="26"/>
      <c r="P6" s="26"/>
      <c r="Q6" s="26"/>
      <c r="R6" s="26"/>
      <c r="S6" s="37"/>
      <c r="V6" s="35" t="s">
        <v>102</v>
      </c>
      <c r="W6" s="26">
        <v>326</v>
      </c>
      <c r="X6" s="26"/>
      <c r="Y6" s="37"/>
      <c r="AA6" s="35" t="s">
        <v>102</v>
      </c>
      <c r="AB6" s="26">
        <v>257</v>
      </c>
      <c r="AC6" s="26"/>
      <c r="AD6" s="37"/>
      <c r="AG6" s="35" t="s">
        <v>102</v>
      </c>
      <c r="AH6" s="26">
        <v>301</v>
      </c>
      <c r="AI6" s="26"/>
      <c r="AJ6" s="26"/>
      <c r="AK6" s="37"/>
    </row>
    <row r="7" spans="1:37">
      <c r="A7" s="35" t="s">
        <v>104</v>
      </c>
      <c r="B7" s="26">
        <f>90%*B6</f>
        <v>441</v>
      </c>
      <c r="C7" s="26"/>
      <c r="D7" s="26"/>
      <c r="E7" s="26"/>
      <c r="F7" s="26"/>
      <c r="G7" s="37"/>
      <c r="M7" s="35" t="s">
        <v>104</v>
      </c>
      <c r="N7" s="26">
        <f>90%*N6</f>
        <v>235.8</v>
      </c>
      <c r="O7" s="26"/>
      <c r="P7" s="26"/>
      <c r="Q7" s="26"/>
      <c r="R7" s="26"/>
      <c r="S7" s="37"/>
      <c r="V7" s="35" t="s">
        <v>104</v>
      </c>
      <c r="W7" s="26">
        <f>90%*W6</f>
        <v>293.40000000000003</v>
      </c>
      <c r="X7" s="26"/>
      <c r="Y7" s="37"/>
      <c r="AA7" s="35" t="s">
        <v>104</v>
      </c>
      <c r="AB7" s="26">
        <f>90%*AB6</f>
        <v>231.3</v>
      </c>
      <c r="AC7" s="26"/>
      <c r="AD7" s="37"/>
      <c r="AG7" s="35" t="s">
        <v>104</v>
      </c>
      <c r="AH7" s="26">
        <f>90%*AH6</f>
        <v>270.90000000000003</v>
      </c>
      <c r="AI7" s="26"/>
      <c r="AJ7" s="26"/>
      <c r="AK7" s="37"/>
    </row>
    <row r="8" spans="1:37">
      <c r="A8" s="35" t="s">
        <v>106</v>
      </c>
      <c r="B8" s="26">
        <f>COUNTIF(B17:F21,"&gt;440")</f>
        <v>6</v>
      </c>
      <c r="C8" s="26"/>
      <c r="D8" s="26"/>
      <c r="E8" s="26"/>
      <c r="F8" s="26"/>
      <c r="G8" s="37"/>
      <c r="M8" s="35" t="s">
        <v>106</v>
      </c>
      <c r="N8" s="26">
        <f>COUNTIF(N17:R21,"&gt;235.8")</f>
        <v>10</v>
      </c>
      <c r="O8" s="26"/>
      <c r="P8" s="26"/>
      <c r="Q8" s="26"/>
      <c r="R8" s="26"/>
      <c r="S8" s="37"/>
      <c r="V8" s="35" t="s">
        <v>106</v>
      </c>
      <c r="W8" s="26">
        <f>COUNTIF(W16:X21,"&gt;321.3")</f>
        <v>1</v>
      </c>
      <c r="X8" s="26"/>
      <c r="Y8" s="37"/>
      <c r="AA8" s="35" t="s">
        <v>106</v>
      </c>
      <c r="AB8" s="26">
        <f>COUNTIF(AB16:AC21,"&gt;231.3")</f>
        <v>2</v>
      </c>
      <c r="AC8" s="26"/>
      <c r="AD8" s="37"/>
      <c r="AG8" s="35" t="s">
        <v>106</v>
      </c>
      <c r="AH8" s="26">
        <f>COUNTIF(AH16:AI21,"&gt;270.9")</f>
        <v>3</v>
      </c>
      <c r="AI8" s="26"/>
      <c r="AJ8" s="26"/>
      <c r="AK8" s="37"/>
    </row>
    <row r="9" spans="1:37">
      <c r="A9" s="35" t="s">
        <v>105</v>
      </c>
      <c r="B9" s="26"/>
      <c r="C9" s="26"/>
      <c r="D9" s="26"/>
      <c r="E9" s="26"/>
      <c r="F9" s="26"/>
      <c r="G9" s="37"/>
      <c r="M9" s="35" t="s">
        <v>105</v>
      </c>
      <c r="N9" s="26"/>
      <c r="O9" s="26"/>
      <c r="P9" s="26"/>
      <c r="Q9" s="26"/>
      <c r="R9" s="26"/>
      <c r="S9" s="37"/>
      <c r="V9" s="35"/>
      <c r="W9" s="26"/>
      <c r="X9" s="26"/>
      <c r="Y9" s="37"/>
      <c r="AA9" s="35"/>
      <c r="AB9" s="26"/>
      <c r="AC9" s="26"/>
      <c r="AD9" s="37"/>
      <c r="AG9" s="35"/>
      <c r="AH9" s="26"/>
      <c r="AI9" s="26"/>
      <c r="AJ9" s="26"/>
      <c r="AK9" s="37"/>
    </row>
    <row r="10" spans="1:37">
      <c r="A10" s="35" t="s">
        <v>145</v>
      </c>
      <c r="B10" s="26"/>
      <c r="C10" s="26"/>
      <c r="D10" s="26"/>
      <c r="E10" s="26"/>
      <c r="F10" s="26">
        <f>9/5*43+32</f>
        <v>109.4</v>
      </c>
      <c r="G10" s="37" t="s">
        <v>146</v>
      </c>
      <c r="M10" s="38" t="s">
        <v>147</v>
      </c>
      <c r="N10" s="26"/>
      <c r="O10" s="26"/>
      <c r="P10" s="26"/>
      <c r="Q10" s="26"/>
      <c r="R10" s="26"/>
      <c r="S10" s="37"/>
      <c r="V10" s="35"/>
      <c r="W10" s="26"/>
      <c r="X10" s="26"/>
      <c r="Y10" s="37"/>
      <c r="AA10" s="35"/>
      <c r="AB10" s="57" t="s">
        <v>148</v>
      </c>
      <c r="AC10" s="26"/>
      <c r="AD10" s="37"/>
      <c r="AG10" s="38"/>
      <c r="AH10" s="26"/>
      <c r="AI10" s="26"/>
      <c r="AJ10" s="26"/>
      <c r="AK10" s="37"/>
    </row>
    <row r="11" spans="1:37">
      <c r="A11" s="38" t="s">
        <v>149</v>
      </c>
      <c r="B11" s="26"/>
      <c r="C11" s="26"/>
      <c r="D11" s="26"/>
      <c r="E11" s="26"/>
      <c r="F11" s="26"/>
      <c r="G11" s="37"/>
      <c r="M11" s="35"/>
      <c r="N11" s="26"/>
      <c r="O11" s="26"/>
      <c r="P11" s="26"/>
      <c r="Q11" s="26"/>
      <c r="R11" s="26"/>
      <c r="S11" s="37"/>
      <c r="V11" s="38" t="s">
        <v>150</v>
      </c>
      <c r="W11" s="26"/>
      <c r="X11" s="26"/>
      <c r="Y11" s="37"/>
      <c r="AA11" s="35"/>
      <c r="AB11" s="26"/>
      <c r="AC11" s="26"/>
      <c r="AD11" s="37"/>
      <c r="AG11" s="35"/>
      <c r="AH11" s="26"/>
      <c r="AI11" s="26"/>
      <c r="AJ11" s="26"/>
      <c r="AK11" s="37"/>
    </row>
    <row r="12" spans="1:37">
      <c r="A12" s="38"/>
      <c r="B12" s="26"/>
      <c r="C12" s="26"/>
      <c r="D12" s="26"/>
      <c r="E12" s="26"/>
      <c r="F12" s="26"/>
      <c r="G12" s="37"/>
      <c r="M12" s="35"/>
      <c r="N12" s="26"/>
      <c r="O12" s="26"/>
      <c r="P12" s="26"/>
      <c r="Q12" s="26"/>
      <c r="R12" s="26"/>
      <c r="S12" s="37"/>
      <c r="V12" s="35"/>
      <c r="W12" s="26"/>
      <c r="X12" s="26"/>
      <c r="Y12" s="37"/>
      <c r="AA12" s="35"/>
      <c r="AB12" s="26"/>
      <c r="AC12" s="26"/>
      <c r="AD12" s="37"/>
      <c r="AG12" s="35"/>
      <c r="AH12" s="57" t="s">
        <v>151</v>
      </c>
      <c r="AI12" s="26"/>
      <c r="AJ12" s="26"/>
      <c r="AK12" s="37"/>
    </row>
    <row r="13" spans="1:37">
      <c r="A13" s="35" t="s">
        <v>152</v>
      </c>
      <c r="B13" s="26"/>
      <c r="C13" s="26"/>
      <c r="D13" s="26"/>
      <c r="E13" s="26"/>
      <c r="F13" s="26"/>
      <c r="G13" s="37"/>
      <c r="M13" s="35" t="s">
        <v>153</v>
      </c>
      <c r="N13" s="26"/>
      <c r="O13" s="26"/>
      <c r="P13" s="26">
        <f>42.61*9/5+32</f>
        <v>108.69800000000001</v>
      </c>
      <c r="Q13" s="26" t="s">
        <v>154</v>
      </c>
      <c r="R13" s="26"/>
      <c r="S13" s="37" t="s">
        <v>155</v>
      </c>
      <c r="V13" s="35"/>
      <c r="W13" s="26" t="s">
        <v>156</v>
      </c>
      <c r="X13" s="26"/>
      <c r="Y13" s="37"/>
      <c r="AA13" s="35"/>
      <c r="AB13" s="26" t="s">
        <v>157</v>
      </c>
      <c r="AC13" s="26"/>
      <c r="AD13" s="37"/>
      <c r="AG13" s="35"/>
      <c r="AH13" s="26" t="s">
        <v>113</v>
      </c>
      <c r="AI13" s="26"/>
      <c r="AJ13" s="26"/>
      <c r="AK13" s="37"/>
    </row>
    <row r="14" spans="1:37">
      <c r="A14" s="38" t="s">
        <v>158</v>
      </c>
      <c r="B14" s="26"/>
      <c r="C14" s="26"/>
      <c r="D14" s="26"/>
      <c r="E14" s="26"/>
      <c r="F14" s="26"/>
      <c r="G14" s="37"/>
      <c r="M14" s="38"/>
      <c r="N14" s="26"/>
      <c r="O14" s="26"/>
      <c r="P14" s="26"/>
      <c r="Q14" s="26"/>
      <c r="R14" s="26"/>
      <c r="S14" s="37"/>
      <c r="V14" s="35"/>
      <c r="W14" s="26"/>
      <c r="X14" s="26"/>
      <c r="Y14" s="37"/>
      <c r="AA14" s="35"/>
      <c r="AB14" s="26"/>
      <c r="AC14" s="26"/>
      <c r="AD14" s="37"/>
      <c r="AG14" s="35"/>
      <c r="AH14" s="26"/>
      <c r="AI14" s="26"/>
      <c r="AJ14" s="26"/>
      <c r="AK14" s="37"/>
    </row>
    <row r="15" spans="1:37">
      <c r="A15" s="35" t="s">
        <v>159</v>
      </c>
      <c r="B15" s="26"/>
      <c r="C15" s="26" t="s">
        <v>160</v>
      </c>
      <c r="D15" s="26"/>
      <c r="E15" s="26"/>
      <c r="F15" s="26" t="s">
        <v>161</v>
      </c>
      <c r="G15" s="37"/>
      <c r="M15" s="35" t="s">
        <v>159</v>
      </c>
      <c r="N15" s="26"/>
      <c r="O15" s="26" t="s">
        <v>162</v>
      </c>
      <c r="P15" s="26"/>
      <c r="Q15" s="26"/>
      <c r="R15" s="26" t="s">
        <v>163</v>
      </c>
      <c r="S15" s="37"/>
      <c r="V15" s="35"/>
      <c r="W15" s="26">
        <v>1</v>
      </c>
      <c r="X15" s="26">
        <v>2</v>
      </c>
      <c r="Y15" s="37"/>
      <c r="AA15" s="35"/>
      <c r="AB15" s="26">
        <v>1</v>
      </c>
      <c r="AC15" s="26">
        <v>2</v>
      </c>
      <c r="AD15" s="37"/>
      <c r="AG15" s="35"/>
      <c r="AH15" s="26">
        <v>1</v>
      </c>
      <c r="AI15" s="26">
        <v>2</v>
      </c>
      <c r="AJ15" s="26"/>
      <c r="AK15" s="37"/>
    </row>
    <row r="16" spans="1:37">
      <c r="A16" s="35"/>
      <c r="B16" s="26">
        <v>1</v>
      </c>
      <c r="C16" s="26">
        <v>2</v>
      </c>
      <c r="D16" s="26">
        <v>3</v>
      </c>
      <c r="E16" s="26">
        <v>4</v>
      </c>
      <c r="F16" s="26">
        <v>5</v>
      </c>
      <c r="G16" s="37"/>
      <c r="M16" s="35"/>
      <c r="N16" s="26">
        <v>1</v>
      </c>
      <c r="O16" s="26">
        <v>2</v>
      </c>
      <c r="P16" s="26">
        <v>3</v>
      </c>
      <c r="Q16" s="26">
        <v>4</v>
      </c>
      <c r="R16" s="26">
        <v>5</v>
      </c>
      <c r="S16" s="37"/>
      <c r="V16" s="35">
        <v>1</v>
      </c>
      <c r="W16" s="26">
        <v>235</v>
      </c>
      <c r="X16" s="26">
        <v>295</v>
      </c>
      <c r="Y16" s="37"/>
      <c r="AA16" s="35">
        <v>1</v>
      </c>
      <c r="AB16" s="26">
        <v>186</v>
      </c>
      <c r="AC16" s="26">
        <v>205</v>
      </c>
      <c r="AD16" s="37"/>
      <c r="AG16" s="35">
        <v>1</v>
      </c>
      <c r="AH16" s="26">
        <v>248</v>
      </c>
      <c r="AI16" s="26">
        <v>240</v>
      </c>
      <c r="AJ16" s="26"/>
      <c r="AK16" s="37"/>
    </row>
    <row r="17" spans="1:37">
      <c r="A17" s="35">
        <v>5</v>
      </c>
      <c r="B17" s="26">
        <v>382</v>
      </c>
      <c r="C17" s="26">
        <v>430</v>
      </c>
      <c r="D17" s="26">
        <v>442</v>
      </c>
      <c r="E17" s="26">
        <v>445</v>
      </c>
      <c r="F17" s="26">
        <v>403</v>
      </c>
      <c r="G17" s="39">
        <f>AVERAGE(B17:F17)</f>
        <v>420.4</v>
      </c>
      <c r="M17" s="35">
        <v>5</v>
      </c>
      <c r="N17" s="26">
        <v>210</v>
      </c>
      <c r="O17" s="26">
        <v>207</v>
      </c>
      <c r="P17" s="26">
        <v>242</v>
      </c>
      <c r="Q17" s="26">
        <v>232</v>
      </c>
      <c r="R17" s="26">
        <v>187</v>
      </c>
      <c r="S17" s="39">
        <f>AVERAGE(N17:R17)</f>
        <v>215.6</v>
      </c>
      <c r="T17" s="3"/>
      <c r="V17" s="35">
        <v>2</v>
      </c>
      <c r="W17" s="26">
        <v>290</v>
      </c>
      <c r="X17" s="26">
        <v>230</v>
      </c>
      <c r="Y17" s="37"/>
      <c r="AA17" s="35">
        <v>2</v>
      </c>
      <c r="AB17" s="26">
        <v>217</v>
      </c>
      <c r="AC17" s="26">
        <v>231</v>
      </c>
      <c r="AD17" s="37"/>
      <c r="AG17" s="35">
        <v>2</v>
      </c>
      <c r="AH17" s="26">
        <v>259</v>
      </c>
      <c r="AI17" s="26">
        <v>288</v>
      </c>
      <c r="AJ17" s="26"/>
      <c r="AK17" s="37"/>
    </row>
    <row r="18" spans="1:37">
      <c r="A18" s="35">
        <v>4</v>
      </c>
      <c r="B18" s="26">
        <v>384</v>
      </c>
      <c r="C18" s="26">
        <v>457</v>
      </c>
      <c r="D18" s="26">
        <v>431</v>
      </c>
      <c r="E18" s="26">
        <v>463</v>
      </c>
      <c r="F18" s="26">
        <v>434</v>
      </c>
      <c r="G18" s="39">
        <f t="shared" ref="G18:G21" si="0">AVERAGE(B18:F18)</f>
        <v>433.8</v>
      </c>
      <c r="M18" s="35">
        <v>4</v>
      </c>
      <c r="N18" s="26">
        <v>241</v>
      </c>
      <c r="O18" s="26">
        <v>248</v>
      </c>
      <c r="P18" s="26">
        <v>249</v>
      </c>
      <c r="Q18" s="26">
        <v>262</v>
      </c>
      <c r="R18" s="26">
        <v>246</v>
      </c>
      <c r="S18" s="39">
        <f t="shared" ref="S18:S21" si="1">AVERAGE(N18:R18)</f>
        <v>249.2</v>
      </c>
      <c r="T18" s="3"/>
      <c r="V18" s="35">
        <v>3</v>
      </c>
      <c r="W18" s="26">
        <v>290</v>
      </c>
      <c r="X18" s="26">
        <v>296</v>
      </c>
      <c r="Y18" s="37"/>
      <c r="AA18" s="35">
        <v>3</v>
      </c>
      <c r="AB18" s="26">
        <v>206</v>
      </c>
      <c r="AC18" s="26">
        <v>223</v>
      </c>
      <c r="AD18" s="37"/>
      <c r="AG18" s="35">
        <v>3</v>
      </c>
      <c r="AH18" s="26">
        <v>277</v>
      </c>
      <c r="AI18" s="26">
        <v>301</v>
      </c>
      <c r="AJ18" s="26"/>
      <c r="AK18" s="37"/>
    </row>
    <row r="19" spans="1:37">
      <c r="A19" s="35">
        <v>3</v>
      </c>
      <c r="B19" s="26">
        <v>389</v>
      </c>
      <c r="C19" s="26">
        <v>433</v>
      </c>
      <c r="D19" s="26">
        <v>430</v>
      </c>
      <c r="E19" s="26">
        <v>411</v>
      </c>
      <c r="F19" s="26">
        <v>420</v>
      </c>
      <c r="G19" s="39">
        <f t="shared" si="0"/>
        <v>416.6</v>
      </c>
      <c r="M19" s="35">
        <v>3</v>
      </c>
      <c r="N19" s="26">
        <v>242</v>
      </c>
      <c r="O19" s="26">
        <v>251</v>
      </c>
      <c r="P19" s="26">
        <v>246</v>
      </c>
      <c r="Q19" s="26">
        <v>259</v>
      </c>
      <c r="R19" s="26">
        <v>223</v>
      </c>
      <c r="S19" s="39">
        <f t="shared" si="1"/>
        <v>244.2</v>
      </c>
      <c r="T19" s="3"/>
      <c r="V19" s="35">
        <v>4</v>
      </c>
      <c r="W19" s="26">
        <v>319</v>
      </c>
      <c r="X19" s="26">
        <v>253</v>
      </c>
      <c r="Y19" s="37"/>
      <c r="AA19" s="35">
        <v>4</v>
      </c>
      <c r="AB19" s="26">
        <v>244</v>
      </c>
      <c r="AC19" s="26">
        <v>204</v>
      </c>
      <c r="AD19" s="37"/>
      <c r="AG19" s="35">
        <v>4</v>
      </c>
      <c r="AH19" s="26">
        <v>245</v>
      </c>
      <c r="AI19" s="26">
        <v>258</v>
      </c>
      <c r="AJ19" s="26"/>
      <c r="AK19" s="37"/>
    </row>
    <row r="20" spans="1:37">
      <c r="A20" s="35">
        <v>2</v>
      </c>
      <c r="B20" s="26">
        <v>438</v>
      </c>
      <c r="C20" s="26">
        <v>490</v>
      </c>
      <c r="D20" s="26">
        <v>445</v>
      </c>
      <c r="E20" s="26">
        <v>435</v>
      </c>
      <c r="F20" s="26">
        <v>402</v>
      </c>
      <c r="G20" s="39">
        <f t="shared" si="0"/>
        <v>442</v>
      </c>
      <c r="M20" s="35">
        <v>2</v>
      </c>
      <c r="N20" s="26">
        <v>228</v>
      </c>
      <c r="O20" s="26">
        <v>195</v>
      </c>
      <c r="P20" s="26">
        <v>217</v>
      </c>
      <c r="Q20" s="26">
        <v>227</v>
      </c>
      <c r="R20" s="26">
        <v>172</v>
      </c>
      <c r="S20" s="39">
        <f t="shared" si="1"/>
        <v>207.8</v>
      </c>
      <c r="T20" s="3"/>
      <c r="V20" s="35">
        <v>5</v>
      </c>
      <c r="W20" s="26">
        <v>326</v>
      </c>
      <c r="X20" s="26">
        <v>284</v>
      </c>
      <c r="Y20" s="37"/>
      <c r="AA20" s="35">
        <v>5</v>
      </c>
      <c r="AB20" s="26">
        <v>257</v>
      </c>
      <c r="AC20" s="26">
        <v>200</v>
      </c>
      <c r="AD20" s="37"/>
      <c r="AG20" s="35">
        <v>5</v>
      </c>
      <c r="AH20" s="26">
        <v>249</v>
      </c>
      <c r="AI20" s="26">
        <v>210</v>
      </c>
      <c r="AJ20" s="26"/>
      <c r="AK20" s="37"/>
    </row>
    <row r="21" spans="1:37">
      <c r="A21" s="35">
        <v>1</v>
      </c>
      <c r="B21" s="26">
        <v>285</v>
      </c>
      <c r="C21" s="26">
        <v>379</v>
      </c>
      <c r="D21" s="26">
        <v>324</v>
      </c>
      <c r="E21" s="26">
        <v>380</v>
      </c>
      <c r="F21" s="26">
        <v>421</v>
      </c>
      <c r="G21" s="39">
        <f t="shared" si="0"/>
        <v>357.8</v>
      </c>
      <c r="M21" s="35">
        <v>1</v>
      </c>
      <c r="N21" s="26">
        <v>158</v>
      </c>
      <c r="O21" s="26">
        <v>182</v>
      </c>
      <c r="P21" s="26">
        <v>201</v>
      </c>
      <c r="Q21" s="26">
        <v>171</v>
      </c>
      <c r="R21" s="26">
        <v>162</v>
      </c>
      <c r="S21" s="39">
        <f t="shared" si="1"/>
        <v>174.8</v>
      </c>
      <c r="T21" s="3"/>
      <c r="V21" s="40">
        <v>6</v>
      </c>
      <c r="W21" s="52">
        <v>282</v>
      </c>
      <c r="X21" s="52">
        <v>296</v>
      </c>
      <c r="Y21" s="53"/>
      <c r="AA21" s="40">
        <v>6</v>
      </c>
      <c r="AB21" s="52">
        <v>218</v>
      </c>
      <c r="AC21" s="52">
        <v>183</v>
      </c>
      <c r="AD21" s="53"/>
      <c r="AG21" s="35">
        <v>6</v>
      </c>
      <c r="AH21" s="26">
        <v>216</v>
      </c>
      <c r="AI21" s="26">
        <v>214</v>
      </c>
      <c r="AJ21" s="26"/>
      <c r="AK21" s="37"/>
    </row>
    <row r="22" spans="1:37" ht="21">
      <c r="A22" s="35"/>
      <c r="B22" s="45">
        <f>AVERAGE(B17:B21)</f>
        <v>375.6</v>
      </c>
      <c r="C22" s="45">
        <f>AVERAGE(C17:C21)</f>
        <v>437.8</v>
      </c>
      <c r="D22" s="45">
        <f>AVERAGE(D17:D21)</f>
        <v>414.4</v>
      </c>
      <c r="E22" s="45">
        <f>AVERAGE(E17:E21)</f>
        <v>426.8</v>
      </c>
      <c r="F22" s="45">
        <f>AVERAGE(F17:F21)</f>
        <v>416</v>
      </c>
      <c r="G22" s="47">
        <f>AVERAGE(B17:F21)</f>
        <v>414.12</v>
      </c>
      <c r="M22" s="40"/>
      <c r="N22" s="41">
        <f>AVERAGE(N17:N21)</f>
        <v>215.8</v>
      </c>
      <c r="O22" s="41">
        <f>AVERAGE(O17:O21)</f>
        <v>216.6</v>
      </c>
      <c r="P22" s="41">
        <f>AVERAGE(P17:P21)</f>
        <v>231</v>
      </c>
      <c r="Q22" s="41">
        <f>AVERAGE(Q17:Q21)</f>
        <v>230.2</v>
      </c>
      <c r="R22" s="41">
        <f>AVERAGE(R17:R21)</f>
        <v>198</v>
      </c>
      <c r="S22" s="42">
        <f>AVERAGE(N17:R21)</f>
        <v>218.32</v>
      </c>
      <c r="T22" s="21"/>
      <c r="AG22" s="40"/>
      <c r="AH22" s="52"/>
      <c r="AI22" s="55">
        <v>-7</v>
      </c>
      <c r="AJ22" s="55" t="s">
        <v>164</v>
      </c>
      <c r="AK22" s="56"/>
    </row>
    <row r="23" spans="1:37">
      <c r="A23" s="48" t="s">
        <v>165</v>
      </c>
      <c r="B23" s="43"/>
      <c r="C23" s="43"/>
      <c r="D23" s="43"/>
      <c r="E23" s="43"/>
      <c r="F23" s="43"/>
      <c r="G23" s="44"/>
      <c r="V23" s="4"/>
      <c r="AA23" s="4"/>
      <c r="AG23" s="4"/>
    </row>
    <row r="24" spans="1:37">
      <c r="A24" s="35" t="s">
        <v>166</v>
      </c>
      <c r="B24" s="45"/>
      <c r="C24" s="45"/>
      <c r="D24" s="45"/>
      <c r="E24" s="45"/>
      <c r="F24" s="45"/>
      <c r="G24" s="39"/>
    </row>
    <row r="25" spans="1:37">
      <c r="A25" s="35" t="s">
        <v>100</v>
      </c>
      <c r="B25" s="46">
        <v>433</v>
      </c>
      <c r="C25" s="45"/>
      <c r="D25" s="45"/>
      <c r="E25" s="45"/>
      <c r="F25" s="45"/>
      <c r="G25" s="39"/>
      <c r="M25" s="32" t="s">
        <v>98</v>
      </c>
      <c r="N25" s="33"/>
      <c r="O25" s="33"/>
      <c r="P25" s="33"/>
      <c r="Q25" s="33"/>
      <c r="R25" s="33"/>
      <c r="S25" s="34"/>
    </row>
    <row r="26" spans="1:37">
      <c r="A26" s="35" t="s">
        <v>101</v>
      </c>
      <c r="B26" s="45">
        <v>339</v>
      </c>
      <c r="C26" s="45"/>
      <c r="D26" s="45"/>
      <c r="E26" s="45"/>
      <c r="F26" s="45"/>
      <c r="G26" s="39"/>
      <c r="M26" s="35" t="s">
        <v>100</v>
      </c>
      <c r="N26" s="36">
        <v>215</v>
      </c>
      <c r="O26" s="26"/>
      <c r="P26" s="26"/>
      <c r="Q26" s="26"/>
      <c r="R26" s="26"/>
      <c r="S26" s="37"/>
      <c r="V26" s="32" t="s">
        <v>100</v>
      </c>
      <c r="W26" s="51">
        <v>294</v>
      </c>
      <c r="X26" s="33"/>
      <c r="Y26" s="34"/>
      <c r="AA26" s="32" t="s">
        <v>100</v>
      </c>
      <c r="AB26" s="51">
        <v>214</v>
      </c>
      <c r="AC26" s="33"/>
      <c r="AD26" s="34"/>
      <c r="AG26" s="32" t="s">
        <v>100</v>
      </c>
      <c r="AH26" s="51">
        <v>259</v>
      </c>
      <c r="AI26" s="33"/>
      <c r="AJ26" s="34"/>
    </row>
    <row r="27" spans="1:37">
      <c r="A27" s="35" t="s">
        <v>102</v>
      </c>
      <c r="B27" s="45">
        <v>498</v>
      </c>
      <c r="C27" s="45"/>
      <c r="D27" s="45"/>
      <c r="E27" s="45"/>
      <c r="F27" s="45"/>
      <c r="G27" s="39"/>
      <c r="M27" s="35" t="s">
        <v>101</v>
      </c>
      <c r="N27" s="26">
        <v>156</v>
      </c>
      <c r="O27" s="26"/>
      <c r="P27" s="26"/>
      <c r="Q27" s="26"/>
      <c r="R27" s="26"/>
      <c r="S27" s="37"/>
      <c r="V27" s="35" t="s">
        <v>101</v>
      </c>
      <c r="W27" s="26">
        <v>238</v>
      </c>
      <c r="X27" s="26"/>
      <c r="Y27" s="37"/>
      <c r="AA27" s="35" t="s">
        <v>101</v>
      </c>
      <c r="AB27" s="26">
        <v>172</v>
      </c>
      <c r="AC27" s="26"/>
      <c r="AD27" s="37"/>
      <c r="AG27" s="35" t="s">
        <v>101</v>
      </c>
      <c r="AH27" s="26">
        <v>230</v>
      </c>
      <c r="AI27" s="26"/>
      <c r="AJ27" s="37"/>
    </row>
    <row r="28" spans="1:37">
      <c r="A28" s="35" t="s">
        <v>104</v>
      </c>
      <c r="B28" s="26">
        <f>90%*B27</f>
        <v>448.2</v>
      </c>
      <c r="C28" s="45"/>
      <c r="D28" s="45"/>
      <c r="E28" s="45"/>
      <c r="F28" s="45"/>
      <c r="G28" s="39"/>
      <c r="M28" s="35" t="s">
        <v>102</v>
      </c>
      <c r="N28" s="26">
        <v>258</v>
      </c>
      <c r="O28" s="26"/>
      <c r="P28" s="26"/>
      <c r="Q28" s="26"/>
      <c r="R28" s="26"/>
      <c r="S28" s="37"/>
      <c r="V28" s="35" t="s">
        <v>102</v>
      </c>
      <c r="W28" s="26">
        <v>338</v>
      </c>
      <c r="X28" s="26"/>
      <c r="Y28" s="37"/>
      <c r="AA28" s="35" t="s">
        <v>102</v>
      </c>
      <c r="AB28" s="26">
        <v>247</v>
      </c>
      <c r="AC28" s="26"/>
      <c r="AD28" s="37"/>
      <c r="AG28" s="35" t="s">
        <v>102</v>
      </c>
      <c r="AH28" s="26">
        <v>294</v>
      </c>
      <c r="AI28" s="26"/>
      <c r="AJ28" s="37"/>
    </row>
    <row r="29" spans="1:37">
      <c r="A29" s="35" t="s">
        <v>167</v>
      </c>
      <c r="B29" s="45">
        <f>COUNTIF(B32:G36,"&gt;448")</f>
        <v>8</v>
      </c>
      <c r="C29" s="45"/>
      <c r="D29" s="45"/>
      <c r="E29" s="45"/>
      <c r="F29" s="45"/>
      <c r="G29" s="39"/>
      <c r="M29" s="35" t="s">
        <v>104</v>
      </c>
      <c r="N29" s="26">
        <f>90%*N28</f>
        <v>232.20000000000002</v>
      </c>
      <c r="O29" s="26"/>
      <c r="P29" s="26"/>
      <c r="Q29" s="26"/>
      <c r="R29" s="26"/>
      <c r="S29" s="37"/>
      <c r="V29" s="35" t="s">
        <v>104</v>
      </c>
      <c r="W29" s="26">
        <f>90%*W28</f>
        <v>304.2</v>
      </c>
      <c r="X29" s="26"/>
      <c r="Y29" s="37"/>
      <c r="AA29" s="35" t="s">
        <v>104</v>
      </c>
      <c r="AB29" s="26">
        <f>90%*AB28</f>
        <v>222.3</v>
      </c>
      <c r="AC29" s="26"/>
      <c r="AD29" s="37"/>
      <c r="AG29" s="35" t="s">
        <v>104</v>
      </c>
      <c r="AH29" s="26">
        <f>90%*AH28</f>
        <v>264.60000000000002</v>
      </c>
      <c r="AI29" s="26"/>
      <c r="AJ29" s="37"/>
    </row>
    <row r="30" spans="1:37">
      <c r="A30" s="35" t="s">
        <v>159</v>
      </c>
      <c r="B30" s="45"/>
      <c r="C30" s="45" t="s">
        <v>168</v>
      </c>
      <c r="D30" s="45"/>
      <c r="E30" s="45"/>
      <c r="F30" s="45" t="s">
        <v>169</v>
      </c>
      <c r="G30" s="39"/>
      <c r="M30" s="35" t="s">
        <v>106</v>
      </c>
      <c r="N30" s="26">
        <f>COUNTIF(N39:R43,"&gt;232.2")</f>
        <v>10</v>
      </c>
      <c r="O30" s="26"/>
      <c r="P30" s="26"/>
      <c r="Q30" s="26"/>
      <c r="R30" s="26"/>
      <c r="S30" s="37"/>
      <c r="V30" s="35" t="s">
        <v>106</v>
      </c>
      <c r="W30" s="26">
        <f>COUNTIF(W38:X43,"&gt;293.4")</f>
        <v>8</v>
      </c>
      <c r="X30" s="26"/>
      <c r="Y30" s="37"/>
      <c r="AA30" s="35" t="s">
        <v>106</v>
      </c>
      <c r="AB30" s="26">
        <f>COUNTIF(AB38:AC43,"&gt;222.3")</f>
        <v>5</v>
      </c>
      <c r="AC30" s="26"/>
      <c r="AD30" s="37"/>
      <c r="AG30" s="35" t="s">
        <v>106</v>
      </c>
      <c r="AH30" s="26">
        <f>COUNTIF(AH38:AI43,"&gt;264.6")</f>
        <v>4</v>
      </c>
      <c r="AI30" s="26"/>
      <c r="AJ30" s="37"/>
    </row>
    <row r="31" spans="1:37">
      <c r="A31" s="35"/>
      <c r="B31" s="45">
        <v>1</v>
      </c>
      <c r="C31" s="45">
        <v>2</v>
      </c>
      <c r="D31" s="45">
        <v>3</v>
      </c>
      <c r="E31" s="45">
        <v>4</v>
      </c>
      <c r="F31" s="45">
        <v>5</v>
      </c>
      <c r="G31" s="39"/>
      <c r="M31" s="35" t="s">
        <v>105</v>
      </c>
      <c r="N31" s="26"/>
      <c r="O31" s="26"/>
      <c r="P31" s="26"/>
      <c r="Q31" s="26"/>
      <c r="R31" s="26"/>
      <c r="S31" s="37"/>
      <c r="V31" s="35"/>
      <c r="W31" s="26"/>
      <c r="X31" s="26"/>
      <c r="Y31" s="37"/>
      <c r="AA31" s="35"/>
      <c r="AB31" s="26"/>
      <c r="AC31" s="26"/>
      <c r="AD31" s="37"/>
      <c r="AG31" s="35"/>
      <c r="AH31" s="26"/>
      <c r="AI31" s="26"/>
      <c r="AJ31" s="37"/>
    </row>
    <row r="32" spans="1:37">
      <c r="A32" s="35">
        <v>5</v>
      </c>
      <c r="B32" s="26">
        <v>388</v>
      </c>
      <c r="C32" s="26">
        <v>439</v>
      </c>
      <c r="D32" s="26">
        <v>441</v>
      </c>
      <c r="E32" s="26">
        <v>445</v>
      </c>
      <c r="F32" s="26">
        <v>440</v>
      </c>
      <c r="G32" s="39">
        <f>AVERAGE(B32:F32)</f>
        <v>430.6</v>
      </c>
      <c r="M32" s="38" t="s">
        <v>170</v>
      </c>
      <c r="N32" s="26"/>
      <c r="O32" s="26"/>
      <c r="P32" s="26"/>
      <c r="Q32" s="26"/>
      <c r="R32" s="26"/>
      <c r="S32" s="37"/>
      <c r="V32" s="35"/>
      <c r="W32" s="26"/>
      <c r="X32" s="26"/>
      <c r="Y32" s="37"/>
      <c r="AA32" s="35"/>
      <c r="AB32" s="26"/>
      <c r="AC32" s="26"/>
      <c r="AD32" s="37"/>
      <c r="AG32" s="35"/>
      <c r="AH32" s="26"/>
      <c r="AI32" s="26"/>
      <c r="AJ32" s="37"/>
    </row>
    <row r="33" spans="1:36">
      <c r="A33" s="35">
        <v>4</v>
      </c>
      <c r="B33" s="26">
        <v>471</v>
      </c>
      <c r="C33" s="26">
        <v>430</v>
      </c>
      <c r="D33" s="26">
        <v>393</v>
      </c>
      <c r="E33" s="26">
        <v>464</v>
      </c>
      <c r="F33" s="26">
        <v>487</v>
      </c>
      <c r="G33" s="39">
        <f>AVERAGE(B33:F33)</f>
        <v>449</v>
      </c>
      <c r="M33" s="35"/>
      <c r="N33" s="26"/>
      <c r="O33" s="26"/>
      <c r="P33" s="26"/>
      <c r="Q33" s="26"/>
      <c r="R33" s="26"/>
      <c r="S33" s="37"/>
      <c r="V33" s="54" t="s">
        <v>171</v>
      </c>
      <c r="W33" s="26"/>
      <c r="X33" s="26"/>
      <c r="Y33" s="37"/>
      <c r="AA33" s="35"/>
      <c r="AB33" s="58" t="s">
        <v>172</v>
      </c>
      <c r="AC33" s="26"/>
      <c r="AD33" s="37"/>
      <c r="AG33" s="35"/>
      <c r="AH33" s="26"/>
      <c r="AI33" s="26"/>
      <c r="AJ33" s="37"/>
    </row>
    <row r="34" spans="1:36">
      <c r="A34" s="35">
        <v>3</v>
      </c>
      <c r="B34" s="26">
        <v>494</v>
      </c>
      <c r="C34" s="26">
        <v>416</v>
      </c>
      <c r="D34" s="26">
        <v>396</v>
      </c>
      <c r="E34" s="26">
        <v>421</v>
      </c>
      <c r="F34" s="26">
        <v>498</v>
      </c>
      <c r="G34" s="39">
        <f>AVERAGE(B34:F34)</f>
        <v>445</v>
      </c>
      <c r="M34" s="35"/>
      <c r="N34" s="26"/>
      <c r="O34" s="26"/>
      <c r="P34" s="26"/>
      <c r="Q34" s="26"/>
      <c r="R34" s="26"/>
      <c r="S34" s="37"/>
      <c r="V34" s="35"/>
      <c r="W34" s="26"/>
      <c r="X34" s="26"/>
      <c r="Y34" s="37"/>
      <c r="AA34" s="35"/>
      <c r="AB34" s="26"/>
      <c r="AC34" s="26"/>
      <c r="AD34" s="37"/>
      <c r="AG34" s="35"/>
      <c r="AH34" s="57" t="s">
        <v>173</v>
      </c>
      <c r="AI34" s="26"/>
      <c r="AJ34" s="37"/>
    </row>
    <row r="35" spans="1:36">
      <c r="A35" s="35">
        <v>2</v>
      </c>
      <c r="B35" s="26">
        <v>478</v>
      </c>
      <c r="C35" s="26">
        <v>421</v>
      </c>
      <c r="D35" s="26">
        <v>426</v>
      </c>
      <c r="E35" s="26">
        <v>415</v>
      </c>
      <c r="F35" s="26">
        <v>480</v>
      </c>
      <c r="G35" s="39">
        <f>AVERAGE(B35:F35)</f>
        <v>444</v>
      </c>
      <c r="M35" s="35" t="s">
        <v>153</v>
      </c>
      <c r="N35" s="26"/>
      <c r="O35" s="26"/>
      <c r="P35" s="26">
        <f>42.61*9/5+32</f>
        <v>108.69800000000001</v>
      </c>
      <c r="Q35" s="26" t="s">
        <v>154</v>
      </c>
      <c r="R35" s="26"/>
      <c r="S35" s="37" t="s">
        <v>155</v>
      </c>
      <c r="V35" s="35"/>
      <c r="W35" s="26" t="s">
        <v>156</v>
      </c>
      <c r="X35" s="26"/>
      <c r="Y35" s="37"/>
      <c r="AA35" s="35"/>
      <c r="AB35" s="26" t="s">
        <v>157</v>
      </c>
      <c r="AC35" s="26"/>
      <c r="AD35" s="37"/>
      <c r="AG35" s="35"/>
      <c r="AH35" s="26" t="s">
        <v>113</v>
      </c>
      <c r="AI35" s="26"/>
      <c r="AJ35" s="37"/>
    </row>
    <row r="36" spans="1:36">
      <c r="A36" s="35">
        <v>1</v>
      </c>
      <c r="B36" s="26">
        <v>339</v>
      </c>
      <c r="C36" s="26">
        <v>412</v>
      </c>
      <c r="D36" s="26">
        <v>389</v>
      </c>
      <c r="E36" s="26">
        <v>400</v>
      </c>
      <c r="F36" s="26">
        <v>431</v>
      </c>
      <c r="G36" s="39">
        <f>AVERAGE(B36:F36)</f>
        <v>394.2</v>
      </c>
      <c r="M36" s="38"/>
      <c r="N36" s="26"/>
      <c r="O36" s="26"/>
      <c r="P36" s="26"/>
      <c r="Q36" s="26"/>
      <c r="R36" s="26"/>
      <c r="S36" s="37"/>
      <c r="V36" s="35"/>
      <c r="W36" s="26"/>
      <c r="X36" s="26"/>
      <c r="Y36" s="37"/>
      <c r="AA36" s="35"/>
      <c r="AB36" s="26"/>
      <c r="AC36" s="26"/>
      <c r="AD36" s="37"/>
      <c r="AG36" s="35"/>
      <c r="AH36" s="26"/>
      <c r="AI36" s="26"/>
      <c r="AJ36" s="37"/>
    </row>
    <row r="37" spans="1:36" ht="21">
      <c r="A37" s="35"/>
      <c r="B37" s="45">
        <f>AVERAGE(B32:B36)</f>
        <v>434</v>
      </c>
      <c r="C37" s="45">
        <f>AVERAGE(C32:C36)</f>
        <v>423.6</v>
      </c>
      <c r="D37" s="45">
        <f>AVERAGE(D32:D36)</f>
        <v>409</v>
      </c>
      <c r="E37" s="45">
        <f>AVERAGE(E32:E36)</f>
        <v>429</v>
      </c>
      <c r="F37" s="45">
        <f>AVERAGE(F32:F36)</f>
        <v>467.2</v>
      </c>
      <c r="G37" s="47">
        <f>AVERAGE(B32:F36)</f>
        <v>432.56</v>
      </c>
      <c r="M37" s="35" t="s">
        <v>159</v>
      </c>
      <c r="N37" s="26"/>
      <c r="O37" s="26" t="s">
        <v>162</v>
      </c>
      <c r="P37" s="26"/>
      <c r="Q37" s="26"/>
      <c r="R37" s="26" t="s">
        <v>174</v>
      </c>
      <c r="S37" s="37"/>
      <c r="V37" s="35"/>
      <c r="W37" s="26">
        <v>1</v>
      </c>
      <c r="X37" s="26">
        <v>2</v>
      </c>
      <c r="Y37" s="37"/>
      <c r="AA37" s="35"/>
      <c r="AB37" s="26">
        <v>1</v>
      </c>
      <c r="AC37" s="26">
        <v>2</v>
      </c>
      <c r="AD37" s="37"/>
      <c r="AG37" s="35"/>
      <c r="AH37" s="26">
        <v>1</v>
      </c>
      <c r="AI37" s="26">
        <v>2</v>
      </c>
      <c r="AJ37" s="37"/>
    </row>
    <row r="38" spans="1:36">
      <c r="A38" s="48" t="s">
        <v>175</v>
      </c>
      <c r="B38" s="43"/>
      <c r="C38" s="43"/>
      <c r="D38" s="43"/>
      <c r="E38" s="43"/>
      <c r="F38" s="43"/>
      <c r="G38" s="44"/>
      <c r="M38" s="35"/>
      <c r="N38" s="26">
        <v>1</v>
      </c>
      <c r="O38" s="26">
        <v>2</v>
      </c>
      <c r="P38" s="26">
        <v>3</v>
      </c>
      <c r="Q38" s="26">
        <v>4</v>
      </c>
      <c r="R38" s="26">
        <v>5</v>
      </c>
      <c r="S38" s="37"/>
      <c r="V38" s="35">
        <v>1</v>
      </c>
      <c r="W38" s="26">
        <v>238</v>
      </c>
      <c r="X38" s="26">
        <v>271</v>
      </c>
      <c r="Y38" s="37"/>
      <c r="AA38" s="35">
        <v>1</v>
      </c>
      <c r="AB38" s="26">
        <v>219</v>
      </c>
      <c r="AC38" s="26">
        <v>227</v>
      </c>
      <c r="AD38" s="37"/>
      <c r="AG38" s="35">
        <v>1</v>
      </c>
      <c r="AH38" s="26">
        <v>230</v>
      </c>
      <c r="AI38" s="26">
        <v>238</v>
      </c>
      <c r="AJ38" s="37"/>
    </row>
    <row r="39" spans="1:36">
      <c r="A39" s="35" t="s">
        <v>176</v>
      </c>
      <c r="B39" s="45"/>
      <c r="C39" s="45"/>
      <c r="D39" s="45"/>
      <c r="E39" s="45"/>
      <c r="F39" s="45"/>
      <c r="G39" s="39">
        <f>41.4*9/5+32</f>
        <v>106.52</v>
      </c>
      <c r="M39" s="35">
        <v>5</v>
      </c>
      <c r="N39" s="26">
        <v>186</v>
      </c>
      <c r="O39" s="26">
        <v>223</v>
      </c>
      <c r="P39" s="26">
        <v>222</v>
      </c>
      <c r="Q39" s="26">
        <v>233</v>
      </c>
      <c r="R39" s="26">
        <v>176</v>
      </c>
      <c r="S39" s="39">
        <f>AVERAGE(N39:R39)</f>
        <v>208</v>
      </c>
      <c r="T39" s="3"/>
      <c r="V39" s="35">
        <v>2</v>
      </c>
      <c r="W39" s="26">
        <v>241</v>
      </c>
      <c r="X39" s="26">
        <v>310</v>
      </c>
      <c r="Y39" s="37"/>
      <c r="AA39" s="35">
        <v>2</v>
      </c>
      <c r="AB39" s="26">
        <v>237</v>
      </c>
      <c r="AC39" s="26">
        <v>247</v>
      </c>
      <c r="AD39" s="37"/>
      <c r="AG39" s="35">
        <v>2</v>
      </c>
      <c r="AH39" s="26">
        <v>294</v>
      </c>
      <c r="AI39" s="26">
        <v>292</v>
      </c>
      <c r="AJ39" s="37"/>
    </row>
    <row r="40" spans="1:36">
      <c r="A40" s="35" t="s">
        <v>100</v>
      </c>
      <c r="B40" s="46">
        <v>423</v>
      </c>
      <c r="C40" s="45"/>
      <c r="D40" s="45"/>
      <c r="E40" s="45"/>
      <c r="F40" s="45"/>
      <c r="G40" s="39"/>
      <c r="M40" s="35">
        <v>4</v>
      </c>
      <c r="N40" s="26">
        <v>229</v>
      </c>
      <c r="O40" s="26">
        <v>235</v>
      </c>
      <c r="P40" s="26">
        <v>247</v>
      </c>
      <c r="Q40" s="26">
        <v>251</v>
      </c>
      <c r="R40" s="26">
        <v>234</v>
      </c>
      <c r="S40" s="39">
        <f>AVERAGE(N40:R40)</f>
        <v>239.2</v>
      </c>
      <c r="T40" s="3"/>
      <c r="V40" s="35">
        <v>3</v>
      </c>
      <c r="W40" s="26">
        <v>307</v>
      </c>
      <c r="X40" s="26">
        <v>317</v>
      </c>
      <c r="Y40" s="37"/>
      <c r="AA40" s="35">
        <v>3</v>
      </c>
      <c r="AB40" s="26">
        <v>213</v>
      </c>
      <c r="AC40" s="26">
        <v>227</v>
      </c>
      <c r="AD40" s="37"/>
      <c r="AG40" s="35">
        <v>3</v>
      </c>
      <c r="AH40" s="26">
        <v>292</v>
      </c>
      <c r="AI40" s="26">
        <v>270</v>
      </c>
      <c r="AJ40" s="37"/>
    </row>
    <row r="41" spans="1:36">
      <c r="A41" s="35" t="s">
        <v>101</v>
      </c>
      <c r="B41" s="45">
        <v>327</v>
      </c>
      <c r="C41" s="45"/>
      <c r="D41" s="45"/>
      <c r="E41" s="45"/>
      <c r="F41" s="45"/>
      <c r="G41" s="39"/>
      <c r="M41" s="35">
        <v>3</v>
      </c>
      <c r="N41" s="26">
        <v>224</v>
      </c>
      <c r="O41" s="26">
        <v>241</v>
      </c>
      <c r="P41" s="26">
        <v>258</v>
      </c>
      <c r="Q41" s="26">
        <v>237</v>
      </c>
      <c r="R41" s="26">
        <v>248</v>
      </c>
      <c r="S41" s="39">
        <f>AVERAGE(N41:R41)</f>
        <v>241.6</v>
      </c>
      <c r="T41" s="3"/>
      <c r="V41" s="35">
        <v>4</v>
      </c>
      <c r="W41" s="26">
        <v>319</v>
      </c>
      <c r="X41" s="26">
        <v>296</v>
      </c>
      <c r="Y41" s="37"/>
      <c r="AA41" s="35">
        <v>4</v>
      </c>
      <c r="AB41" s="26">
        <v>223</v>
      </c>
      <c r="AC41" s="26">
        <v>209</v>
      </c>
      <c r="AD41" s="37"/>
      <c r="AG41" s="35">
        <v>4</v>
      </c>
      <c r="AH41" s="26">
        <v>244</v>
      </c>
      <c r="AI41" s="26">
        <v>243</v>
      </c>
      <c r="AJ41" s="37"/>
    </row>
    <row r="42" spans="1:36">
      <c r="A42" s="35" t="s">
        <v>102</v>
      </c>
      <c r="B42" s="45">
        <v>477</v>
      </c>
      <c r="C42" s="45"/>
      <c r="D42" s="45"/>
      <c r="E42" s="45"/>
      <c r="F42" s="45"/>
      <c r="G42" s="39"/>
      <c r="M42" s="35">
        <v>2</v>
      </c>
      <c r="N42" s="26">
        <v>206</v>
      </c>
      <c r="O42" s="26">
        <v>232</v>
      </c>
      <c r="P42" s="26">
        <v>233</v>
      </c>
      <c r="Q42" s="26">
        <v>224</v>
      </c>
      <c r="R42" s="26">
        <v>196</v>
      </c>
      <c r="S42" s="39">
        <f>AVERAGE(N42:R42)</f>
        <v>218.2</v>
      </c>
      <c r="T42" s="3"/>
      <c r="V42" s="35">
        <v>5</v>
      </c>
      <c r="W42" s="26">
        <v>338</v>
      </c>
      <c r="X42" s="26">
        <v>295</v>
      </c>
      <c r="Y42" s="37"/>
      <c r="AA42" s="35">
        <v>5</v>
      </c>
      <c r="AB42" s="26">
        <v>213</v>
      </c>
      <c r="AC42" s="26">
        <v>191</v>
      </c>
      <c r="AD42" s="37"/>
      <c r="AG42" s="35">
        <v>5</v>
      </c>
      <c r="AH42" s="26">
        <v>248</v>
      </c>
      <c r="AI42" s="26">
        <v>256</v>
      </c>
      <c r="AJ42" s="37"/>
    </row>
    <row r="43" spans="1:36">
      <c r="A43" s="35" t="s">
        <v>104</v>
      </c>
      <c r="B43" s="26">
        <f>90%*B42</f>
        <v>429.3</v>
      </c>
      <c r="C43" s="45"/>
      <c r="D43" s="45"/>
      <c r="E43" s="45"/>
      <c r="F43" s="45"/>
      <c r="G43" s="39"/>
      <c r="M43" s="35">
        <v>1</v>
      </c>
      <c r="N43" s="26">
        <v>156</v>
      </c>
      <c r="O43" s="26">
        <v>173</v>
      </c>
      <c r="P43" s="26">
        <v>163</v>
      </c>
      <c r="Q43" s="26">
        <v>190</v>
      </c>
      <c r="R43" s="26">
        <v>158</v>
      </c>
      <c r="S43" s="39">
        <f>AVERAGE(N43:R43)</f>
        <v>168</v>
      </c>
      <c r="V43" s="40">
        <v>6</v>
      </c>
      <c r="W43" s="52">
        <v>318</v>
      </c>
      <c r="X43" s="52">
        <v>278</v>
      </c>
      <c r="Y43" s="53"/>
      <c r="AA43" s="35">
        <v>6</v>
      </c>
      <c r="AB43" s="26">
        <v>172</v>
      </c>
      <c r="AC43" s="26">
        <v>195</v>
      </c>
      <c r="AD43" s="37"/>
      <c r="AG43" s="40">
        <v>6</v>
      </c>
      <c r="AH43" s="52">
        <v>252</v>
      </c>
      <c r="AI43" s="52">
        <v>242</v>
      </c>
      <c r="AJ43" s="53"/>
    </row>
    <row r="44" spans="1:36" ht="21">
      <c r="A44" s="35" t="s">
        <v>167</v>
      </c>
      <c r="B44" s="45">
        <f>COUNTIF(B47:G51,"&gt;429")</f>
        <v>14</v>
      </c>
      <c r="C44" s="45"/>
      <c r="D44" s="45"/>
      <c r="E44" s="45"/>
      <c r="F44" s="45"/>
      <c r="G44" s="39"/>
      <c r="M44" s="40"/>
      <c r="N44" s="41">
        <f>AVERAGE(N39:N43)</f>
        <v>200.2</v>
      </c>
      <c r="O44" s="41">
        <f>AVERAGE(O39:O43)</f>
        <v>220.8</v>
      </c>
      <c r="P44" s="41">
        <f>AVERAGE(P39:P43)</f>
        <v>224.6</v>
      </c>
      <c r="Q44" s="41">
        <f>AVERAGE(Q39:Q43)</f>
        <v>227</v>
      </c>
      <c r="R44" s="41">
        <f>AVERAGE(R39:R43)</f>
        <v>202.4</v>
      </c>
      <c r="S44" s="42">
        <f>AVERAGE(N39:R43)</f>
        <v>215</v>
      </c>
      <c r="AA44" s="40"/>
      <c r="AB44" s="52"/>
      <c r="AC44" s="52"/>
      <c r="AD44" s="53"/>
    </row>
    <row r="45" spans="1:36">
      <c r="A45" s="35" t="s">
        <v>159</v>
      </c>
      <c r="B45" s="45"/>
      <c r="C45" s="45" t="s">
        <v>177</v>
      </c>
      <c r="D45" s="45"/>
      <c r="E45" s="45"/>
      <c r="F45" s="45" t="s">
        <v>178</v>
      </c>
      <c r="G45" s="39"/>
      <c r="AG45" s="32" t="s">
        <v>100</v>
      </c>
      <c r="AH45" s="51">
        <v>269</v>
      </c>
      <c r="AI45" s="33"/>
      <c r="AJ45" s="34"/>
    </row>
    <row r="46" spans="1:36">
      <c r="A46" s="35"/>
      <c r="B46" s="45">
        <v>1</v>
      </c>
      <c r="C46" s="45">
        <v>2</v>
      </c>
      <c r="D46" s="45">
        <v>3</v>
      </c>
      <c r="E46" s="45">
        <v>4</v>
      </c>
      <c r="F46" s="45">
        <v>5</v>
      </c>
      <c r="G46" s="39"/>
      <c r="AG46" s="35" t="s">
        <v>101</v>
      </c>
      <c r="AH46" s="26">
        <v>234</v>
      </c>
      <c r="AI46" s="26"/>
      <c r="AJ46" s="37"/>
    </row>
    <row r="47" spans="1:36">
      <c r="A47" s="35">
        <v>5</v>
      </c>
      <c r="B47" s="26">
        <v>425</v>
      </c>
      <c r="C47" s="26">
        <v>467</v>
      </c>
      <c r="D47" s="26">
        <v>467</v>
      </c>
      <c r="E47" s="26">
        <v>452</v>
      </c>
      <c r="F47" s="26">
        <v>440</v>
      </c>
      <c r="G47" s="39">
        <f>AVERAGE(B47:F47)</f>
        <v>450.2</v>
      </c>
      <c r="AG47" s="35" t="s">
        <v>102</v>
      </c>
      <c r="AH47" s="26">
        <v>308</v>
      </c>
      <c r="AI47" s="26"/>
      <c r="AJ47" s="37"/>
    </row>
    <row r="48" spans="1:36">
      <c r="A48" s="35">
        <v>4</v>
      </c>
      <c r="B48" s="26">
        <v>426</v>
      </c>
      <c r="C48" s="26">
        <v>430</v>
      </c>
      <c r="D48" s="26">
        <v>419</v>
      </c>
      <c r="E48" s="26">
        <v>396</v>
      </c>
      <c r="F48" s="26">
        <v>456</v>
      </c>
      <c r="G48" s="39">
        <f>AVERAGE(B48:F48)</f>
        <v>425.4</v>
      </c>
      <c r="AG48" s="35" t="s">
        <v>104</v>
      </c>
      <c r="AH48" s="26">
        <f>90%*AH47</f>
        <v>277.2</v>
      </c>
      <c r="AI48" s="26"/>
      <c r="AJ48" s="37"/>
    </row>
    <row r="49" spans="1:36">
      <c r="A49" s="35">
        <v>3</v>
      </c>
      <c r="B49" s="26">
        <v>477</v>
      </c>
      <c r="C49" s="26">
        <v>419</v>
      </c>
      <c r="D49" s="26">
        <v>413</v>
      </c>
      <c r="E49" s="26">
        <v>425</v>
      </c>
      <c r="F49" s="26">
        <v>466</v>
      </c>
      <c r="G49" s="39">
        <f>AVERAGE(B49:F49)</f>
        <v>440</v>
      </c>
      <c r="AG49" s="35" t="s">
        <v>106</v>
      </c>
      <c r="AH49" s="26">
        <f>COUNTIF(AH57:AI62,"&gt;277.2")</f>
        <v>4</v>
      </c>
      <c r="AI49" s="26"/>
      <c r="AJ49" s="37"/>
    </row>
    <row r="50" spans="1:36">
      <c r="A50" s="35">
        <v>2</v>
      </c>
      <c r="B50" s="26">
        <v>434</v>
      </c>
      <c r="C50" s="26">
        <v>402</v>
      </c>
      <c r="D50" s="26">
        <v>420</v>
      </c>
      <c r="E50" s="26">
        <v>458</v>
      </c>
      <c r="F50" s="26">
        <v>432</v>
      </c>
      <c r="G50" s="39">
        <f>AVERAGE(B50:F50)</f>
        <v>429.2</v>
      </c>
      <c r="AG50" s="35"/>
      <c r="AH50" s="26"/>
      <c r="AI50" s="26"/>
      <c r="AJ50" s="37"/>
    </row>
    <row r="51" spans="1:36">
      <c r="A51" s="35">
        <v>1</v>
      </c>
      <c r="B51" s="26">
        <v>327</v>
      </c>
      <c r="C51" s="26">
        <v>329</v>
      </c>
      <c r="D51" s="26">
        <v>419</v>
      </c>
      <c r="E51" s="26">
        <v>373</v>
      </c>
      <c r="F51" s="26">
        <v>398</v>
      </c>
      <c r="G51" s="39">
        <f>AVERAGE(B51:F51)</f>
        <v>369.2</v>
      </c>
      <c r="AG51" s="35"/>
      <c r="AH51" s="26"/>
      <c r="AI51" s="26"/>
      <c r="AJ51" s="37"/>
    </row>
    <row r="52" spans="1:36" ht="21">
      <c r="A52" s="40"/>
      <c r="B52" s="41">
        <f>AVERAGE(B47:B51)</f>
        <v>417.8</v>
      </c>
      <c r="C52" s="41">
        <f>AVERAGE(C47:C51)</f>
        <v>409.4</v>
      </c>
      <c r="D52" s="41">
        <f>AVERAGE(D47:D51)</f>
        <v>427.6</v>
      </c>
      <c r="E52" s="41">
        <f>AVERAGE(E47:E51)</f>
        <v>420.8</v>
      </c>
      <c r="F52" s="41">
        <f>AVERAGE(F47:F51)</f>
        <v>438.4</v>
      </c>
      <c r="G52" s="42">
        <f>AVERAGE(B47:F51)</f>
        <v>422.8</v>
      </c>
      <c r="AG52" s="35"/>
      <c r="AH52" s="26"/>
      <c r="AI52" s="26"/>
      <c r="AJ52" s="37"/>
    </row>
    <row r="53" spans="1:36">
      <c r="AG53" s="35"/>
      <c r="AH53" s="57" t="s">
        <v>179</v>
      </c>
      <c r="AI53" s="26"/>
      <c r="AJ53" s="37"/>
    </row>
    <row r="54" spans="1:36">
      <c r="AG54" s="35"/>
      <c r="AH54" s="26" t="s">
        <v>113</v>
      </c>
      <c r="AI54" s="26"/>
      <c r="AJ54" s="37"/>
    </row>
    <row r="55" spans="1:36">
      <c r="AG55" s="35"/>
      <c r="AH55" s="26"/>
      <c r="AI55" s="26"/>
      <c r="AJ55" s="37"/>
    </row>
    <row r="56" spans="1:36">
      <c r="AG56" s="35"/>
      <c r="AH56" s="26">
        <v>1</v>
      </c>
      <c r="AI56" s="26">
        <v>2</v>
      </c>
      <c r="AJ56" s="37"/>
    </row>
    <row r="57" spans="1:36">
      <c r="AG57" s="35">
        <v>1</v>
      </c>
      <c r="AH57" s="26">
        <v>234</v>
      </c>
      <c r="AI57" s="26">
        <v>260</v>
      </c>
      <c r="AJ57" s="37"/>
    </row>
    <row r="58" spans="1:36">
      <c r="AG58" s="35">
        <v>2</v>
      </c>
      <c r="AH58" s="26">
        <v>255</v>
      </c>
      <c r="AI58" s="26">
        <v>308</v>
      </c>
      <c r="AJ58" s="37"/>
    </row>
    <row r="59" spans="1:36">
      <c r="AG59" s="35">
        <v>3</v>
      </c>
      <c r="AH59" s="26">
        <v>276</v>
      </c>
      <c r="AI59" s="26">
        <v>282</v>
      </c>
      <c r="AJ59" s="37"/>
    </row>
    <row r="60" spans="1:36">
      <c r="AG60" s="35">
        <v>4</v>
      </c>
      <c r="AH60" s="26">
        <v>259</v>
      </c>
      <c r="AI60" s="26">
        <v>288</v>
      </c>
      <c r="AJ60" s="37"/>
    </row>
    <row r="61" spans="1:36">
      <c r="AG61" s="35">
        <v>5</v>
      </c>
      <c r="AH61" s="26">
        <v>295</v>
      </c>
      <c r="AI61" s="26">
        <v>248</v>
      </c>
      <c r="AJ61" s="37"/>
    </row>
    <row r="62" spans="1:36">
      <c r="AG62" s="40">
        <v>6</v>
      </c>
      <c r="AH62" s="52">
        <v>272</v>
      </c>
      <c r="AI62" s="52">
        <v>253</v>
      </c>
      <c r="AJ62" s="53"/>
    </row>
  </sheetData>
  <sortState xmlns:xlrd2="http://schemas.microsoft.com/office/spreadsheetml/2017/richdata2" ref="K17:L41">
    <sortCondition descending="1" ref="L17:L41"/>
  </sortState>
  <conditionalFormatting sqref="B22:G22 G17:G21 G32:G36 B37:G37">
    <cfRule type="colorScale" priority="26">
      <colorScale>
        <cfvo type="min"/>
        <cfvo type="percentile" val="50"/>
        <cfvo type="max"/>
        <color rgb="FFF8696B"/>
        <color rgb="FFFFEB84"/>
        <color rgb="FF63BE7B"/>
      </colorScale>
    </cfRule>
  </conditionalFormatting>
  <conditionalFormatting sqref="B32:G37">
    <cfRule type="colorScale" priority="25">
      <colorScale>
        <cfvo type="min"/>
        <cfvo type="percentile" val="50"/>
        <cfvo type="max"/>
        <color rgb="FFF8696B"/>
        <color rgb="FFFFEB84"/>
        <color rgb="FF63BE7B"/>
      </colorScale>
    </cfRule>
  </conditionalFormatting>
  <conditionalFormatting sqref="B17:G22">
    <cfRule type="colorScale" priority="24">
      <colorScale>
        <cfvo type="min"/>
        <cfvo type="percentile" val="50"/>
        <cfvo type="max"/>
        <color rgb="FFF8696B"/>
        <color rgb="FFFFEB84"/>
        <color rgb="FF63BE7B"/>
      </colorScale>
    </cfRule>
  </conditionalFormatting>
  <conditionalFormatting sqref="G47:G52">
    <cfRule type="colorScale" priority="23">
      <colorScale>
        <cfvo type="min"/>
        <cfvo type="percentile" val="50"/>
        <cfvo type="max"/>
        <color rgb="FFF8696B"/>
        <color rgb="FFFFEB84"/>
        <color rgb="FF63BE7B"/>
      </colorScale>
    </cfRule>
  </conditionalFormatting>
  <conditionalFormatting sqref="G47:G52">
    <cfRule type="colorScale" priority="22">
      <colorScale>
        <cfvo type="min"/>
        <cfvo type="percentile" val="50"/>
        <cfvo type="max"/>
        <color rgb="FFF8696B"/>
        <color rgb="FFFFEB84"/>
        <color rgb="FF63BE7B"/>
      </colorScale>
    </cfRule>
  </conditionalFormatting>
  <conditionalFormatting sqref="B52:F52">
    <cfRule type="colorScale" priority="21">
      <colorScale>
        <cfvo type="min"/>
        <cfvo type="percentile" val="50"/>
        <cfvo type="max"/>
        <color rgb="FFF8696B"/>
        <color rgb="FFFFEB84"/>
        <color rgb="FF63BE7B"/>
      </colorScale>
    </cfRule>
  </conditionalFormatting>
  <conditionalFormatting sqref="B52:F52">
    <cfRule type="colorScale" priority="20">
      <colorScale>
        <cfvo type="min"/>
        <cfvo type="percentile" val="50"/>
        <cfvo type="max"/>
        <color rgb="FFF8696B"/>
        <color rgb="FFFFEB84"/>
        <color rgb="FF63BE7B"/>
      </colorScale>
    </cfRule>
  </conditionalFormatting>
  <conditionalFormatting sqref="B17:G22 B32:G37 B47:G52">
    <cfRule type="colorScale" priority="19">
      <colorScale>
        <cfvo type="min"/>
        <cfvo type="percentile" val="50"/>
        <cfvo type="max"/>
        <color rgb="FFF8696B"/>
        <color rgb="FFFFEB84"/>
        <color rgb="FF63BE7B"/>
      </colorScale>
    </cfRule>
  </conditionalFormatting>
  <conditionalFormatting sqref="N22:T22 S17:T21">
    <cfRule type="colorScale" priority="18">
      <colorScale>
        <cfvo type="min"/>
        <cfvo type="percentile" val="50"/>
        <cfvo type="max"/>
        <color rgb="FFF8696B"/>
        <color rgb="FFFFEB84"/>
        <color rgb="FF63BE7B"/>
      </colorScale>
    </cfRule>
  </conditionalFormatting>
  <conditionalFormatting sqref="N22:T22 S17:T21">
    <cfRule type="colorScale" priority="17">
      <colorScale>
        <cfvo type="min"/>
        <cfvo type="percentile" val="50"/>
        <cfvo type="max"/>
        <color rgb="FFF8696B"/>
        <color rgb="FFFFEB84"/>
        <color rgb="FF63BE7B"/>
      </colorScale>
    </cfRule>
  </conditionalFormatting>
  <conditionalFormatting sqref="N22:T22 S17:T21">
    <cfRule type="colorScale" priority="16">
      <colorScale>
        <cfvo type="min"/>
        <cfvo type="percentile" val="50"/>
        <cfvo type="max"/>
        <color rgb="FFF8696B"/>
        <color rgb="FFFFEB84"/>
        <color rgb="FF63BE7B"/>
      </colorScale>
    </cfRule>
  </conditionalFormatting>
  <conditionalFormatting sqref="S39:T42 S43:S44">
    <cfRule type="colorScale" priority="15">
      <colorScale>
        <cfvo type="min"/>
        <cfvo type="percentile" val="50"/>
        <cfvo type="max"/>
        <color rgb="FFF8696B"/>
        <color rgb="FFFFEB84"/>
        <color rgb="FF63BE7B"/>
      </colorScale>
    </cfRule>
  </conditionalFormatting>
  <conditionalFormatting sqref="N44:R44">
    <cfRule type="colorScale" priority="12">
      <colorScale>
        <cfvo type="min"/>
        <cfvo type="percentile" val="50"/>
        <cfvo type="max"/>
        <color rgb="FFF8696B"/>
        <color rgb="FFFFEB84"/>
        <color rgb="FF63BE7B"/>
      </colorScale>
    </cfRule>
  </conditionalFormatting>
  <conditionalFormatting sqref="N44:R44">
    <cfRule type="colorScale" priority="11">
      <colorScale>
        <cfvo type="min"/>
        <cfvo type="percentile" val="50"/>
        <cfvo type="max"/>
        <color rgb="FFF8696B"/>
        <color rgb="FFFFEB84"/>
        <color rgb="FF63BE7B"/>
      </colorScale>
    </cfRule>
  </conditionalFormatting>
  <conditionalFormatting sqref="N44:R44">
    <cfRule type="colorScale" priority="10">
      <colorScale>
        <cfvo type="min"/>
        <cfvo type="percentile" val="50"/>
        <cfvo type="max"/>
        <color rgb="FFF8696B"/>
        <color rgb="FFFFEB84"/>
        <color rgb="FF63BE7B"/>
      </colorScale>
    </cfRule>
  </conditionalFormatting>
  <conditionalFormatting sqref="N17:T22 N39:T42 N43:S44">
    <cfRule type="colorScale" priority="9">
      <colorScale>
        <cfvo type="min"/>
        <cfvo type="percentile" val="50"/>
        <cfvo type="max"/>
        <color rgb="FFF8696B"/>
        <color rgb="FFFFEB84"/>
        <color rgb="FF63BE7B"/>
      </colorScale>
    </cfRule>
  </conditionalFormatting>
  <conditionalFormatting sqref="AB38:AC43">
    <cfRule type="colorScale" priority="8">
      <colorScale>
        <cfvo type="min"/>
        <cfvo type="percentile" val="50"/>
        <cfvo type="max"/>
        <color rgb="FFF8696B"/>
        <color rgb="FFFFEB84"/>
        <color rgb="FF63BE7B"/>
      </colorScale>
    </cfRule>
  </conditionalFormatting>
  <conditionalFormatting sqref="AB16:AC21 AB38:AC43">
    <cfRule type="colorScale" priority="7">
      <colorScale>
        <cfvo type="min"/>
        <cfvo type="percentile" val="50"/>
        <cfvo type="max"/>
        <color rgb="FFF8696B"/>
        <color rgb="FFFFEB84"/>
        <color rgb="FF63BE7B"/>
      </colorScale>
    </cfRule>
  </conditionalFormatting>
  <conditionalFormatting sqref="W16:X21 W38:X43">
    <cfRule type="colorScale" priority="6">
      <colorScale>
        <cfvo type="min"/>
        <cfvo type="percentile" val="50"/>
        <cfvo type="max"/>
        <color rgb="FFF8696B"/>
        <color rgb="FFFFEB84"/>
        <color rgb="FF63BE7B"/>
      </colorScale>
    </cfRule>
  </conditionalFormatting>
  <conditionalFormatting sqref="AH38:AI43">
    <cfRule type="colorScale" priority="5">
      <colorScale>
        <cfvo type="min"/>
        <cfvo type="percentile" val="50"/>
        <cfvo type="max"/>
        <color rgb="FFF8696B"/>
        <color rgb="FFFFEB84"/>
        <color rgb="FF63BE7B"/>
      </colorScale>
    </cfRule>
  </conditionalFormatting>
  <conditionalFormatting sqref="AH16:AI21 AH38:AI43">
    <cfRule type="colorScale" priority="4">
      <colorScale>
        <cfvo type="min"/>
        <cfvo type="percentile" val="50"/>
        <cfvo type="max"/>
        <color rgb="FFF8696B"/>
        <color rgb="FFFFEB84"/>
        <color rgb="FF63BE7B"/>
      </colorScale>
    </cfRule>
  </conditionalFormatting>
  <conditionalFormatting sqref="AH57:AI62">
    <cfRule type="colorScale" priority="3">
      <colorScale>
        <cfvo type="min"/>
        <cfvo type="percentile" val="50"/>
        <cfvo type="max"/>
        <color rgb="FFF8696B"/>
        <color rgb="FFFFEB84"/>
        <color rgb="FF63BE7B"/>
      </colorScale>
    </cfRule>
  </conditionalFormatting>
  <conditionalFormatting sqref="AH57:AI62">
    <cfRule type="colorScale" priority="2">
      <colorScale>
        <cfvo type="min"/>
        <cfvo type="percentile" val="50"/>
        <cfvo type="max"/>
        <color rgb="FFF8696B"/>
        <color rgb="FFFFEB84"/>
        <color rgb="FF63BE7B"/>
      </colorScale>
    </cfRule>
  </conditionalFormatting>
  <conditionalFormatting sqref="AH57:AI62 AH38:AI43 AH16:AI21">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83B5D-4B61-4EC7-9BD3-C06A14556FF1}">
  <dimension ref="A1:J946"/>
  <sheetViews>
    <sheetView topLeftCell="A390" workbookViewId="0">
      <selection activeCell="G389" sqref="G389"/>
    </sheetView>
  </sheetViews>
  <sheetFormatPr defaultRowHeight="15"/>
  <cols>
    <col min="1" max="1" width="15.28515625" customWidth="1"/>
    <col min="2" max="2" width="17.7109375" bestFit="1" customWidth="1"/>
  </cols>
  <sheetData>
    <row r="1" spans="1:6">
      <c r="A1" s="4" t="s">
        <v>180</v>
      </c>
      <c r="B1" s="4" t="s">
        <v>181</v>
      </c>
      <c r="C1" s="4"/>
      <c r="D1" s="4" t="s">
        <v>182</v>
      </c>
      <c r="E1" s="4"/>
    </row>
    <row r="2" spans="1:6">
      <c r="A2" s="4" t="s">
        <v>183</v>
      </c>
      <c r="B2" s="4" t="s">
        <v>184</v>
      </c>
      <c r="C2" s="4"/>
      <c r="D2" s="4" t="s">
        <v>185</v>
      </c>
      <c r="E2" s="4"/>
    </row>
    <row r="4" spans="1:6">
      <c r="A4" t="s">
        <v>186</v>
      </c>
      <c r="B4" t="s">
        <v>187</v>
      </c>
      <c r="C4" t="s">
        <v>93</v>
      </c>
    </row>
    <row r="5" spans="1:6">
      <c r="A5" t="s">
        <v>188</v>
      </c>
    </row>
    <row r="6" spans="1:6">
      <c r="A6" t="s">
        <v>189</v>
      </c>
      <c r="B6" t="s">
        <v>100</v>
      </c>
      <c r="C6" t="s">
        <v>102</v>
      </c>
      <c r="D6" t="s">
        <v>101</v>
      </c>
      <c r="E6" t="s">
        <v>190</v>
      </c>
      <c r="F6" t="s">
        <v>191</v>
      </c>
    </row>
    <row r="7" spans="1:6">
      <c r="A7">
        <v>25</v>
      </c>
      <c r="B7">
        <v>619</v>
      </c>
      <c r="C7">
        <v>860</v>
      </c>
      <c r="D7">
        <v>315</v>
      </c>
      <c r="E7" t="s">
        <v>192</v>
      </c>
      <c r="F7" t="s">
        <v>193</v>
      </c>
    </row>
    <row r="8" spans="1:6">
      <c r="A8">
        <v>25</v>
      </c>
      <c r="B8">
        <v>275.08</v>
      </c>
      <c r="C8">
        <v>382.22</v>
      </c>
      <c r="D8">
        <v>139.81</v>
      </c>
      <c r="E8" t="s">
        <v>95</v>
      </c>
      <c r="F8" t="s">
        <v>194</v>
      </c>
    </row>
    <row r="9" spans="1:6">
      <c r="A9" t="s">
        <v>195</v>
      </c>
    </row>
    <row r="10" spans="1:6">
      <c r="A10" t="s">
        <v>196</v>
      </c>
      <c r="B10" t="s">
        <v>197</v>
      </c>
      <c r="C10" t="s">
        <v>198</v>
      </c>
      <c r="D10" t="s">
        <v>199</v>
      </c>
      <c r="E10" t="s">
        <v>200</v>
      </c>
      <c r="F10" t="s">
        <v>201</v>
      </c>
    </row>
    <row r="11" spans="1:6">
      <c r="A11">
        <v>381</v>
      </c>
      <c r="B11">
        <v>169.27</v>
      </c>
      <c r="C11">
        <v>1</v>
      </c>
      <c r="D11">
        <v>95.8</v>
      </c>
      <c r="E11" s="29">
        <v>45326</v>
      </c>
      <c r="F11" t="s">
        <v>202</v>
      </c>
    </row>
    <row r="12" spans="1:6">
      <c r="A12">
        <v>439</v>
      </c>
      <c r="B12">
        <v>195.22</v>
      </c>
      <c r="C12">
        <v>1</v>
      </c>
      <c r="D12">
        <v>95.8</v>
      </c>
      <c r="E12" s="29">
        <v>45326</v>
      </c>
      <c r="F12" t="s">
        <v>203</v>
      </c>
    </row>
    <row r="13" spans="1:6">
      <c r="A13">
        <v>559</v>
      </c>
      <c r="B13">
        <v>248.51</v>
      </c>
      <c r="C13">
        <v>1</v>
      </c>
      <c r="D13">
        <v>95.8</v>
      </c>
      <c r="E13" s="29">
        <v>45326</v>
      </c>
      <c r="F13" t="s">
        <v>204</v>
      </c>
    </row>
    <row r="14" spans="1:6">
      <c r="A14">
        <v>668</v>
      </c>
      <c r="B14">
        <v>296.95999999999998</v>
      </c>
      <c r="C14">
        <v>1</v>
      </c>
      <c r="D14">
        <v>95.8</v>
      </c>
      <c r="E14" s="29">
        <v>45326</v>
      </c>
      <c r="F14" t="s">
        <v>205</v>
      </c>
    </row>
    <row r="15" spans="1:6">
      <c r="A15">
        <v>504</v>
      </c>
      <c r="B15">
        <v>224</v>
      </c>
      <c r="C15">
        <v>1</v>
      </c>
      <c r="D15">
        <v>95.8</v>
      </c>
      <c r="E15" s="29">
        <v>45326</v>
      </c>
      <c r="F15" t="s">
        <v>206</v>
      </c>
    </row>
    <row r="16" spans="1:6">
      <c r="A16">
        <v>315</v>
      </c>
      <c r="B16">
        <v>139.81</v>
      </c>
      <c r="C16">
        <v>1</v>
      </c>
      <c r="D16">
        <v>95.8</v>
      </c>
      <c r="E16" s="29">
        <v>45326</v>
      </c>
      <c r="F16" t="s">
        <v>207</v>
      </c>
    </row>
    <row r="17" spans="1:6">
      <c r="A17">
        <v>369</v>
      </c>
      <c r="B17">
        <v>163.93</v>
      </c>
      <c r="C17">
        <v>1</v>
      </c>
      <c r="D17">
        <v>95.8</v>
      </c>
      <c r="E17" s="29">
        <v>45326</v>
      </c>
      <c r="F17" t="s">
        <v>208</v>
      </c>
    </row>
    <row r="18" spans="1:6">
      <c r="A18">
        <v>511</v>
      </c>
      <c r="B18">
        <v>227.28</v>
      </c>
      <c r="C18">
        <v>1</v>
      </c>
      <c r="D18">
        <v>95.8</v>
      </c>
      <c r="E18" s="29">
        <v>45326</v>
      </c>
      <c r="F18" t="s">
        <v>209</v>
      </c>
    </row>
    <row r="19" spans="1:6">
      <c r="A19">
        <v>555</v>
      </c>
      <c r="B19">
        <v>246.52</v>
      </c>
      <c r="C19">
        <v>1</v>
      </c>
      <c r="D19">
        <v>95.8</v>
      </c>
      <c r="E19" s="29">
        <v>45326</v>
      </c>
      <c r="F19" t="s">
        <v>210</v>
      </c>
    </row>
    <row r="20" spans="1:6">
      <c r="A20">
        <v>429</v>
      </c>
      <c r="B20">
        <v>190.76</v>
      </c>
      <c r="C20">
        <v>1</v>
      </c>
      <c r="D20">
        <v>95.8</v>
      </c>
      <c r="E20" s="29">
        <v>45326</v>
      </c>
      <c r="F20" t="s">
        <v>211</v>
      </c>
    </row>
    <row r="21" spans="1:6">
      <c r="A21">
        <v>499</v>
      </c>
      <c r="B21">
        <v>221.77</v>
      </c>
      <c r="C21">
        <v>1</v>
      </c>
      <c r="D21">
        <v>95.8</v>
      </c>
      <c r="E21" s="29">
        <v>45326</v>
      </c>
      <c r="F21" t="s">
        <v>212</v>
      </c>
    </row>
    <row r="22" spans="1:6">
      <c r="A22">
        <v>540</v>
      </c>
      <c r="B22">
        <v>240.13</v>
      </c>
      <c r="C22">
        <v>1</v>
      </c>
      <c r="D22">
        <v>95.8</v>
      </c>
      <c r="E22" s="29">
        <v>45326</v>
      </c>
      <c r="F22" t="s">
        <v>213</v>
      </c>
    </row>
    <row r="23" spans="1:6">
      <c r="A23">
        <v>627</v>
      </c>
      <c r="B23">
        <v>278.86</v>
      </c>
      <c r="C23">
        <v>1</v>
      </c>
      <c r="D23">
        <v>95.8</v>
      </c>
      <c r="E23" s="29">
        <v>45326</v>
      </c>
      <c r="F23" t="s">
        <v>214</v>
      </c>
    </row>
    <row r="24" spans="1:6">
      <c r="A24">
        <v>762</v>
      </c>
      <c r="B24">
        <v>338.49</v>
      </c>
      <c r="C24">
        <v>1</v>
      </c>
      <c r="D24">
        <v>95.8</v>
      </c>
      <c r="E24" s="29">
        <v>45326</v>
      </c>
      <c r="F24" t="s">
        <v>215</v>
      </c>
    </row>
    <row r="25" spans="1:6">
      <c r="A25">
        <v>696</v>
      </c>
      <c r="B25">
        <v>309.52</v>
      </c>
      <c r="C25">
        <v>1</v>
      </c>
      <c r="D25">
        <v>95.8</v>
      </c>
      <c r="E25" s="29">
        <v>45326</v>
      </c>
      <c r="F25" t="s">
        <v>216</v>
      </c>
    </row>
    <row r="26" spans="1:6">
      <c r="A26">
        <v>612</v>
      </c>
      <c r="B26">
        <v>272.17</v>
      </c>
      <c r="C26">
        <v>1</v>
      </c>
      <c r="D26">
        <v>95.8</v>
      </c>
      <c r="E26" s="29">
        <v>45326</v>
      </c>
      <c r="F26" t="s">
        <v>217</v>
      </c>
    </row>
    <row r="27" spans="1:6">
      <c r="A27">
        <v>692</v>
      </c>
      <c r="B27">
        <v>307.54000000000002</v>
      </c>
      <c r="C27">
        <v>1</v>
      </c>
      <c r="D27">
        <v>95.8</v>
      </c>
      <c r="E27" s="29">
        <v>45326</v>
      </c>
      <c r="F27" t="s">
        <v>218</v>
      </c>
    </row>
    <row r="28" spans="1:6">
      <c r="A28">
        <v>750</v>
      </c>
      <c r="B28">
        <v>333.52</v>
      </c>
      <c r="C28">
        <v>1</v>
      </c>
      <c r="D28">
        <v>95.8</v>
      </c>
      <c r="E28" s="29">
        <v>45326</v>
      </c>
      <c r="F28" t="s">
        <v>219</v>
      </c>
    </row>
    <row r="29" spans="1:6">
      <c r="A29">
        <v>802</v>
      </c>
      <c r="B29">
        <v>356.64</v>
      </c>
      <c r="C29">
        <v>1</v>
      </c>
      <c r="D29">
        <v>95.8</v>
      </c>
      <c r="E29" s="29">
        <v>45326</v>
      </c>
      <c r="F29" t="s">
        <v>220</v>
      </c>
    </row>
    <row r="30" spans="1:6">
      <c r="A30">
        <v>791</v>
      </c>
      <c r="B30">
        <v>351.76</v>
      </c>
      <c r="C30">
        <v>1</v>
      </c>
      <c r="D30">
        <v>95.8</v>
      </c>
      <c r="E30" s="29">
        <v>45326</v>
      </c>
      <c r="F30" t="s">
        <v>221</v>
      </c>
    </row>
    <row r="31" spans="1:6">
      <c r="A31">
        <v>704</v>
      </c>
      <c r="B31">
        <v>312.95999999999998</v>
      </c>
      <c r="C31">
        <v>1</v>
      </c>
      <c r="D31">
        <v>95.8</v>
      </c>
      <c r="E31" s="29">
        <v>45326</v>
      </c>
      <c r="F31" t="s">
        <v>222</v>
      </c>
    </row>
    <row r="32" spans="1:6">
      <c r="A32">
        <v>828</v>
      </c>
      <c r="B32">
        <v>368.13</v>
      </c>
      <c r="C32">
        <v>1</v>
      </c>
      <c r="D32">
        <v>95.8</v>
      </c>
      <c r="E32" s="29">
        <v>45326</v>
      </c>
      <c r="F32" t="s">
        <v>223</v>
      </c>
    </row>
    <row r="33" spans="1:7">
      <c r="A33">
        <v>835</v>
      </c>
      <c r="B33">
        <v>371.3</v>
      </c>
      <c r="C33">
        <v>1</v>
      </c>
      <c r="D33">
        <v>95.8</v>
      </c>
      <c r="E33" s="29">
        <v>45326</v>
      </c>
      <c r="F33" t="s">
        <v>224</v>
      </c>
    </row>
    <row r="34" spans="1:7">
      <c r="A34">
        <v>860</v>
      </c>
      <c r="B34">
        <v>382.22</v>
      </c>
      <c r="C34">
        <v>1</v>
      </c>
      <c r="D34">
        <v>95.8</v>
      </c>
      <c r="E34" s="29">
        <v>45326</v>
      </c>
      <c r="F34" t="s">
        <v>225</v>
      </c>
    </row>
    <row r="35" spans="1:7">
      <c r="A35">
        <v>742</v>
      </c>
      <c r="B35">
        <v>329.82</v>
      </c>
      <c r="C35">
        <v>1</v>
      </c>
      <c r="D35">
        <v>95.8</v>
      </c>
      <c r="E35" s="29">
        <v>45326</v>
      </c>
      <c r="F35" t="s">
        <v>226</v>
      </c>
    </row>
    <row r="37" spans="1:7">
      <c r="C37" s="4"/>
    </row>
    <row r="46" spans="1:7">
      <c r="G46" s="29"/>
    </row>
    <row r="48" spans="1:7">
      <c r="A48" t="s">
        <v>186</v>
      </c>
      <c r="B48" t="s">
        <v>227</v>
      </c>
      <c r="C48" t="s">
        <v>93</v>
      </c>
    </row>
    <row r="49" spans="1:6">
      <c r="A49" t="s">
        <v>188</v>
      </c>
    </row>
    <row r="50" spans="1:6">
      <c r="A50" t="s">
        <v>189</v>
      </c>
      <c r="B50" t="s">
        <v>100</v>
      </c>
      <c r="C50" t="s">
        <v>102</v>
      </c>
      <c r="D50" t="s">
        <v>101</v>
      </c>
      <c r="E50" t="s">
        <v>190</v>
      </c>
      <c r="F50" t="s">
        <v>191</v>
      </c>
    </row>
    <row r="51" spans="1:6">
      <c r="A51">
        <v>25</v>
      </c>
      <c r="B51">
        <v>603</v>
      </c>
      <c r="C51">
        <v>898</v>
      </c>
      <c r="D51">
        <v>313</v>
      </c>
      <c r="E51" t="s">
        <v>192</v>
      </c>
      <c r="F51" t="s">
        <v>193</v>
      </c>
    </row>
    <row r="52" spans="1:6">
      <c r="A52">
        <v>25</v>
      </c>
      <c r="B52">
        <v>268.12</v>
      </c>
      <c r="C52">
        <v>399.26</v>
      </c>
      <c r="D52">
        <v>139.22</v>
      </c>
      <c r="E52" t="s">
        <v>95</v>
      </c>
      <c r="F52" t="s">
        <v>194</v>
      </c>
    </row>
    <row r="53" spans="1:6">
      <c r="A53" t="s">
        <v>195</v>
      </c>
    </row>
    <row r="54" spans="1:6">
      <c r="A54" t="s">
        <v>196</v>
      </c>
      <c r="B54" t="s">
        <v>197</v>
      </c>
      <c r="C54" t="s">
        <v>198</v>
      </c>
      <c r="D54" t="s">
        <v>199</v>
      </c>
      <c r="E54" t="s">
        <v>200</v>
      </c>
      <c r="F54" t="s">
        <v>201</v>
      </c>
    </row>
    <row r="55" spans="1:6">
      <c r="A55">
        <v>313</v>
      </c>
      <c r="B55">
        <v>139.22</v>
      </c>
      <c r="C55">
        <v>1</v>
      </c>
      <c r="D55">
        <v>109.4</v>
      </c>
      <c r="E55" s="29">
        <v>45326</v>
      </c>
      <c r="F55" t="s">
        <v>228</v>
      </c>
    </row>
    <row r="56" spans="1:6">
      <c r="A56">
        <v>359</v>
      </c>
      <c r="B56">
        <v>159.58000000000001</v>
      </c>
      <c r="C56">
        <v>1</v>
      </c>
      <c r="D56">
        <v>109.4</v>
      </c>
      <c r="E56" s="29">
        <v>45326</v>
      </c>
      <c r="F56" t="s">
        <v>229</v>
      </c>
    </row>
    <row r="57" spans="1:6">
      <c r="A57">
        <v>584</v>
      </c>
      <c r="B57">
        <v>259.51</v>
      </c>
      <c r="C57">
        <v>1</v>
      </c>
      <c r="D57">
        <v>109.4</v>
      </c>
      <c r="E57" s="29">
        <v>45326</v>
      </c>
      <c r="F57" t="s">
        <v>230</v>
      </c>
    </row>
    <row r="58" spans="1:6">
      <c r="A58">
        <v>500</v>
      </c>
      <c r="B58">
        <v>222.28</v>
      </c>
      <c r="C58">
        <v>1</v>
      </c>
      <c r="D58">
        <v>109.4</v>
      </c>
      <c r="E58" s="29">
        <v>45326</v>
      </c>
      <c r="F58" t="s">
        <v>231</v>
      </c>
    </row>
    <row r="59" spans="1:6">
      <c r="A59">
        <v>327</v>
      </c>
      <c r="B59">
        <v>145.21</v>
      </c>
      <c r="C59">
        <v>1</v>
      </c>
      <c r="D59">
        <v>109.4</v>
      </c>
      <c r="E59" s="29">
        <v>45326</v>
      </c>
      <c r="F59" t="s">
        <v>232</v>
      </c>
    </row>
    <row r="60" spans="1:6">
      <c r="A60">
        <v>350</v>
      </c>
      <c r="B60">
        <v>155.59</v>
      </c>
      <c r="C60">
        <v>1</v>
      </c>
      <c r="D60">
        <v>109.4</v>
      </c>
      <c r="E60" s="29">
        <v>45326</v>
      </c>
      <c r="F60" t="s">
        <v>233</v>
      </c>
    </row>
    <row r="61" spans="1:6">
      <c r="A61">
        <v>407</v>
      </c>
      <c r="B61">
        <v>180.96</v>
      </c>
      <c r="C61">
        <v>1</v>
      </c>
      <c r="D61">
        <v>109.4</v>
      </c>
      <c r="E61" s="29">
        <v>45326</v>
      </c>
      <c r="F61" t="s">
        <v>234</v>
      </c>
    </row>
    <row r="62" spans="1:6">
      <c r="A62">
        <v>587</v>
      </c>
      <c r="B62">
        <v>260.93</v>
      </c>
      <c r="C62">
        <v>1</v>
      </c>
      <c r="D62">
        <v>109.4</v>
      </c>
      <c r="E62" s="29">
        <v>45326</v>
      </c>
      <c r="F62" t="s">
        <v>235</v>
      </c>
    </row>
    <row r="63" spans="1:6">
      <c r="A63">
        <v>583</v>
      </c>
      <c r="B63">
        <v>259.06</v>
      </c>
      <c r="C63">
        <v>1</v>
      </c>
      <c r="D63">
        <v>109.4</v>
      </c>
      <c r="E63" s="29">
        <v>45326</v>
      </c>
      <c r="F63" t="s">
        <v>236</v>
      </c>
    </row>
    <row r="64" spans="1:6">
      <c r="A64">
        <v>441</v>
      </c>
      <c r="B64">
        <v>196.21</v>
      </c>
      <c r="C64">
        <v>1</v>
      </c>
      <c r="D64">
        <v>109.4</v>
      </c>
      <c r="E64" s="29">
        <v>45326</v>
      </c>
      <c r="F64" t="s">
        <v>237</v>
      </c>
    </row>
    <row r="65" spans="1:6">
      <c r="A65">
        <v>436</v>
      </c>
      <c r="B65">
        <v>193.74</v>
      </c>
      <c r="C65">
        <v>1</v>
      </c>
      <c r="D65">
        <v>109.4</v>
      </c>
      <c r="E65" s="29">
        <v>45326</v>
      </c>
      <c r="F65" t="s">
        <v>238</v>
      </c>
    </row>
    <row r="66" spans="1:6">
      <c r="A66">
        <v>486</v>
      </c>
      <c r="B66">
        <v>216.05</v>
      </c>
      <c r="C66">
        <v>1</v>
      </c>
      <c r="D66">
        <v>109.4</v>
      </c>
      <c r="E66" s="29">
        <v>45326</v>
      </c>
      <c r="F66" t="s">
        <v>239</v>
      </c>
    </row>
    <row r="67" spans="1:6">
      <c r="A67">
        <v>585</v>
      </c>
      <c r="B67">
        <v>260.08</v>
      </c>
      <c r="C67">
        <v>1</v>
      </c>
      <c r="D67">
        <v>109.4</v>
      </c>
      <c r="E67" s="29">
        <v>45326</v>
      </c>
      <c r="F67" t="s">
        <v>240</v>
      </c>
    </row>
    <row r="68" spans="1:6">
      <c r="A68">
        <v>730</v>
      </c>
      <c r="B68">
        <v>324.48</v>
      </c>
      <c r="C68">
        <v>1</v>
      </c>
      <c r="D68">
        <v>109.4</v>
      </c>
      <c r="E68" s="29">
        <v>45326</v>
      </c>
      <c r="F68" t="s">
        <v>241</v>
      </c>
    </row>
    <row r="69" spans="1:6">
      <c r="A69">
        <v>534</v>
      </c>
      <c r="B69">
        <v>237.33</v>
      </c>
      <c r="C69">
        <v>1</v>
      </c>
      <c r="D69">
        <v>109.4</v>
      </c>
      <c r="E69" s="29">
        <v>45326</v>
      </c>
      <c r="F69" t="s">
        <v>242</v>
      </c>
    </row>
    <row r="70" spans="1:6">
      <c r="A70">
        <v>600</v>
      </c>
      <c r="B70">
        <v>266.45</v>
      </c>
      <c r="C70">
        <v>1</v>
      </c>
      <c r="D70">
        <v>109.4</v>
      </c>
      <c r="E70" s="29">
        <v>45326</v>
      </c>
      <c r="F70" t="s">
        <v>243</v>
      </c>
    </row>
    <row r="71" spans="1:6">
      <c r="A71">
        <v>749</v>
      </c>
      <c r="B71">
        <v>332.96</v>
      </c>
      <c r="C71">
        <v>1</v>
      </c>
      <c r="D71">
        <v>109.4</v>
      </c>
      <c r="E71" s="29">
        <v>45326</v>
      </c>
      <c r="F71" t="s">
        <v>244</v>
      </c>
    </row>
    <row r="72" spans="1:6">
      <c r="A72">
        <v>744</v>
      </c>
      <c r="B72">
        <v>330.51</v>
      </c>
      <c r="C72">
        <v>1</v>
      </c>
      <c r="D72">
        <v>109.4</v>
      </c>
      <c r="E72" s="29">
        <v>45326</v>
      </c>
      <c r="F72" t="s">
        <v>245</v>
      </c>
    </row>
    <row r="73" spans="1:6">
      <c r="A73">
        <v>779</v>
      </c>
      <c r="B73">
        <v>346.19</v>
      </c>
      <c r="C73">
        <v>1</v>
      </c>
      <c r="D73">
        <v>109.4</v>
      </c>
      <c r="E73" s="29">
        <v>45326</v>
      </c>
      <c r="F73" t="s">
        <v>246</v>
      </c>
    </row>
    <row r="74" spans="1:6">
      <c r="A74">
        <v>707</v>
      </c>
      <c r="B74">
        <v>314.25</v>
      </c>
      <c r="C74">
        <v>1</v>
      </c>
      <c r="D74">
        <v>109.4</v>
      </c>
      <c r="E74" s="29">
        <v>45326</v>
      </c>
      <c r="F74" t="s">
        <v>247</v>
      </c>
    </row>
    <row r="75" spans="1:6">
      <c r="A75">
        <v>826</v>
      </c>
      <c r="B75">
        <v>367.25</v>
      </c>
      <c r="C75">
        <v>1</v>
      </c>
      <c r="D75">
        <v>109.4</v>
      </c>
      <c r="E75" s="29">
        <v>45326</v>
      </c>
      <c r="F75" t="s">
        <v>248</v>
      </c>
    </row>
    <row r="76" spans="1:6">
      <c r="A76">
        <v>814</v>
      </c>
      <c r="B76">
        <v>361.99</v>
      </c>
      <c r="C76">
        <v>1</v>
      </c>
      <c r="D76">
        <v>109.4</v>
      </c>
      <c r="E76" s="29">
        <v>45326</v>
      </c>
      <c r="F76" t="s">
        <v>249</v>
      </c>
    </row>
    <row r="77" spans="1:6">
      <c r="A77">
        <v>870</v>
      </c>
      <c r="B77">
        <v>386.64</v>
      </c>
      <c r="C77">
        <v>1</v>
      </c>
      <c r="D77">
        <v>109.4</v>
      </c>
      <c r="E77" s="29">
        <v>45326</v>
      </c>
      <c r="F77" t="s">
        <v>250</v>
      </c>
    </row>
    <row r="78" spans="1:6">
      <c r="A78">
        <v>898</v>
      </c>
      <c r="B78">
        <v>399.26</v>
      </c>
      <c r="C78">
        <v>1</v>
      </c>
      <c r="D78">
        <v>109.4</v>
      </c>
      <c r="E78" s="29">
        <v>45326</v>
      </c>
      <c r="F78" t="s">
        <v>251</v>
      </c>
    </row>
    <row r="79" spans="1:6">
      <c r="A79">
        <v>871</v>
      </c>
      <c r="B79">
        <v>387.16</v>
      </c>
      <c r="C79">
        <v>1</v>
      </c>
      <c r="D79">
        <v>109.4</v>
      </c>
      <c r="E79" s="29">
        <v>45326</v>
      </c>
      <c r="F79" t="s">
        <v>252</v>
      </c>
    </row>
    <row r="80" spans="1:6">
      <c r="A80" t="s">
        <v>253</v>
      </c>
    </row>
    <row r="81" spans="1:9">
      <c r="A81" s="49" t="s">
        <v>186</v>
      </c>
      <c r="B81" s="49" t="s">
        <v>254</v>
      </c>
      <c r="C81" s="49"/>
      <c r="D81" s="49"/>
      <c r="E81" s="49"/>
      <c r="F81" s="49"/>
      <c r="G81" s="49"/>
      <c r="H81" s="49"/>
      <c r="I81" s="49"/>
    </row>
    <row r="82" spans="1:9">
      <c r="A82" s="49" t="s">
        <v>188</v>
      </c>
      <c r="B82" s="49"/>
      <c r="C82" s="49"/>
      <c r="D82" s="49"/>
      <c r="E82" s="49"/>
      <c r="F82" s="49"/>
      <c r="G82" s="49"/>
      <c r="H82" s="49"/>
      <c r="I82" s="49"/>
    </row>
    <row r="83" spans="1:9">
      <c r="A83" s="49" t="s">
        <v>189</v>
      </c>
      <c r="B83" s="49" t="s">
        <v>100</v>
      </c>
      <c r="C83" s="49" t="s">
        <v>102</v>
      </c>
      <c r="D83" s="49" t="s">
        <v>101</v>
      </c>
      <c r="E83" s="49" t="s">
        <v>190</v>
      </c>
      <c r="F83" s="49" t="s">
        <v>191</v>
      </c>
      <c r="G83" s="49"/>
      <c r="H83" s="49"/>
      <c r="I83" s="49"/>
    </row>
    <row r="84" spans="1:9">
      <c r="A84" s="49">
        <v>3</v>
      </c>
      <c r="B84" s="49">
        <v>-2.0000000000000002E-5</v>
      </c>
      <c r="C84" s="49">
        <v>0</v>
      </c>
      <c r="D84" s="49">
        <v>-4.0000000000000003E-5</v>
      </c>
      <c r="E84" s="49" t="s">
        <v>255</v>
      </c>
      <c r="F84" s="49" t="s">
        <v>256</v>
      </c>
      <c r="G84" s="49"/>
      <c r="H84" s="49"/>
      <c r="I84" s="49"/>
    </row>
    <row r="85" spans="1:9">
      <c r="A85" s="49">
        <v>3</v>
      </c>
      <c r="B85" s="49">
        <v>406.8</v>
      </c>
      <c r="C85" s="49">
        <v>406.9</v>
      </c>
      <c r="D85" s="49">
        <v>406.8</v>
      </c>
      <c r="E85" s="49" t="s">
        <v>255</v>
      </c>
      <c r="F85" s="49" t="s">
        <v>257</v>
      </c>
      <c r="G85" s="49"/>
      <c r="H85" s="49"/>
      <c r="I85" s="49"/>
    </row>
    <row r="86" spans="1:9">
      <c r="A86" s="49">
        <v>3</v>
      </c>
      <c r="B86" s="49">
        <v>-7</v>
      </c>
      <c r="C86" s="49">
        <v>0</v>
      </c>
      <c r="D86" s="49">
        <v>-20</v>
      </c>
      <c r="E86" s="49" t="s">
        <v>192</v>
      </c>
      <c r="F86" s="49" t="s">
        <v>193</v>
      </c>
      <c r="G86" s="49"/>
      <c r="H86" s="49"/>
      <c r="I86" s="49"/>
    </row>
    <row r="87" spans="1:9">
      <c r="A87" s="49">
        <v>3</v>
      </c>
      <c r="B87" s="49">
        <v>-3.04</v>
      </c>
      <c r="C87" s="49">
        <v>0</v>
      </c>
      <c r="D87" s="49">
        <v>-9.11</v>
      </c>
      <c r="E87" s="49" t="s">
        <v>95</v>
      </c>
      <c r="F87" s="49" t="s">
        <v>194</v>
      </c>
      <c r="G87" s="49"/>
      <c r="H87" s="49"/>
      <c r="I87" s="49"/>
    </row>
    <row r="88" spans="1:9">
      <c r="A88" s="49" t="s">
        <v>195</v>
      </c>
      <c r="B88" s="49"/>
      <c r="C88" s="49"/>
      <c r="D88" s="49"/>
      <c r="E88" s="49"/>
      <c r="F88" s="49"/>
      <c r="G88" s="49"/>
      <c r="H88" s="49"/>
      <c r="I88" s="49"/>
    </row>
    <row r="89" spans="1:9">
      <c r="A89" s="49" t="s">
        <v>256</v>
      </c>
      <c r="B89" s="49" t="s">
        <v>257</v>
      </c>
      <c r="C89" s="49" t="s">
        <v>196</v>
      </c>
      <c r="D89" s="49" t="s">
        <v>197</v>
      </c>
      <c r="E89" s="49" t="s">
        <v>198</v>
      </c>
      <c r="F89" s="49" t="s">
        <v>199</v>
      </c>
      <c r="G89" s="49" t="s">
        <v>200</v>
      </c>
      <c r="H89" s="49" t="s">
        <v>201</v>
      </c>
      <c r="I89" s="49"/>
    </row>
    <row r="90" spans="1:9">
      <c r="A90" s="49">
        <v>-4.0000000000000003E-5</v>
      </c>
      <c r="B90" s="49">
        <v>406.8</v>
      </c>
      <c r="C90" s="49">
        <v>-20</v>
      </c>
      <c r="D90" s="49">
        <v>-9.11</v>
      </c>
      <c r="E90" s="49">
        <v>1</v>
      </c>
      <c r="F90" s="49">
        <v>109.4</v>
      </c>
      <c r="G90" s="50">
        <v>45326</v>
      </c>
      <c r="H90" s="49" t="s">
        <v>258</v>
      </c>
      <c r="I90" s="49"/>
    </row>
    <row r="91" spans="1:9">
      <c r="A91" s="49">
        <v>-3.0000000000000001E-5</v>
      </c>
      <c r="B91" s="49">
        <v>406.9</v>
      </c>
      <c r="C91" s="49">
        <v>0</v>
      </c>
      <c r="D91" s="49">
        <v>0</v>
      </c>
      <c r="E91" s="49">
        <v>1</v>
      </c>
      <c r="F91" s="49">
        <v>109.4</v>
      </c>
      <c r="G91" s="50">
        <v>45326</v>
      </c>
      <c r="H91" s="49" t="s">
        <v>259</v>
      </c>
      <c r="I91" s="49"/>
    </row>
    <row r="92" spans="1:9">
      <c r="A92" s="49">
        <v>0</v>
      </c>
      <c r="B92" s="49">
        <v>406.8</v>
      </c>
      <c r="C92" s="49">
        <v>0</v>
      </c>
      <c r="D92" s="49">
        <v>0</v>
      </c>
      <c r="E92" s="49">
        <v>1</v>
      </c>
      <c r="F92" s="49">
        <v>109.4</v>
      </c>
      <c r="G92" s="50">
        <v>45326</v>
      </c>
      <c r="H92" s="49" t="s">
        <v>260</v>
      </c>
      <c r="I92" s="49"/>
    </row>
    <row r="93" spans="1:9">
      <c r="A93" s="49"/>
      <c r="B93" s="49"/>
      <c r="C93" s="49"/>
      <c r="D93" s="49"/>
      <c r="E93" s="49"/>
      <c r="F93" s="49"/>
      <c r="G93" s="49"/>
      <c r="H93" s="49"/>
      <c r="I93" s="49"/>
    </row>
    <row r="94" spans="1:9">
      <c r="A94" s="49" t="s">
        <v>186</v>
      </c>
      <c r="B94" s="49" t="s">
        <v>261</v>
      </c>
      <c r="C94" s="49"/>
      <c r="D94" s="49"/>
      <c r="E94" s="49"/>
      <c r="F94" s="49"/>
      <c r="G94" s="49"/>
      <c r="H94" s="49"/>
      <c r="I94" s="49"/>
    </row>
    <row r="95" spans="1:9">
      <c r="A95" s="49" t="s">
        <v>188</v>
      </c>
      <c r="B95" s="49"/>
      <c r="C95" s="49"/>
      <c r="D95" s="49"/>
      <c r="E95" s="49"/>
      <c r="F95" s="49"/>
      <c r="G95" s="49"/>
      <c r="H95" s="49"/>
      <c r="I95" s="49"/>
    </row>
    <row r="96" spans="1:9">
      <c r="A96" s="49" t="s">
        <v>189</v>
      </c>
      <c r="B96" s="49" t="s">
        <v>100</v>
      </c>
      <c r="C96" s="49" t="s">
        <v>102</v>
      </c>
      <c r="D96" s="49" t="s">
        <v>101</v>
      </c>
      <c r="E96" s="49" t="s">
        <v>190</v>
      </c>
      <c r="F96" s="49" t="s">
        <v>191</v>
      </c>
      <c r="G96" s="49"/>
      <c r="H96" s="49"/>
      <c r="I96" s="49"/>
    </row>
    <row r="97" spans="1:9">
      <c r="A97" s="49">
        <v>11</v>
      </c>
      <c r="B97" s="49">
        <v>1.103E-2</v>
      </c>
      <c r="C97" s="49">
        <v>1.821E-2</v>
      </c>
      <c r="D97" s="49">
        <v>7.4400000000000004E-3</v>
      </c>
      <c r="E97" s="49" t="s">
        <v>255</v>
      </c>
      <c r="F97" s="49" t="s">
        <v>256</v>
      </c>
      <c r="G97" s="49"/>
      <c r="H97" s="49"/>
      <c r="I97" s="49"/>
    </row>
    <row r="98" spans="1:9">
      <c r="A98" s="49">
        <v>11</v>
      </c>
      <c r="B98" s="49">
        <v>407.2</v>
      </c>
      <c r="C98" s="49">
        <v>407.3</v>
      </c>
      <c r="D98" s="49">
        <v>407.2</v>
      </c>
      <c r="E98" s="49" t="s">
        <v>255</v>
      </c>
      <c r="F98" s="49" t="s">
        <v>257</v>
      </c>
      <c r="G98" s="49"/>
      <c r="H98" s="49"/>
      <c r="I98" s="49"/>
    </row>
    <row r="99" spans="1:9">
      <c r="A99" s="49">
        <v>11</v>
      </c>
      <c r="B99" s="49">
        <v>431</v>
      </c>
      <c r="C99" s="49">
        <v>560</v>
      </c>
      <c r="D99" s="49">
        <v>355</v>
      </c>
      <c r="E99" s="49" t="s">
        <v>192</v>
      </c>
      <c r="F99" s="49" t="s">
        <v>193</v>
      </c>
      <c r="G99" s="49"/>
      <c r="H99" s="49"/>
      <c r="I99" s="49"/>
    </row>
    <row r="100" spans="1:9">
      <c r="A100" s="49">
        <v>11</v>
      </c>
      <c r="B100" s="49">
        <v>191.47</v>
      </c>
      <c r="C100" s="49">
        <v>248.91</v>
      </c>
      <c r="D100" s="49">
        <v>157.6</v>
      </c>
      <c r="E100" s="49" t="s">
        <v>95</v>
      </c>
      <c r="F100" s="49" t="s">
        <v>194</v>
      </c>
      <c r="G100" s="49"/>
      <c r="H100" s="49"/>
      <c r="I100" s="49"/>
    </row>
    <row r="101" spans="1:9">
      <c r="A101" s="49" t="s">
        <v>195</v>
      </c>
      <c r="B101" s="49"/>
      <c r="C101" s="49"/>
      <c r="D101" s="49"/>
      <c r="E101" s="49"/>
      <c r="F101" s="49"/>
      <c r="G101" s="49"/>
      <c r="H101" s="49"/>
      <c r="I101" s="49"/>
    </row>
    <row r="102" spans="1:9">
      <c r="A102" s="49" t="s">
        <v>256</v>
      </c>
      <c r="B102" s="49" t="s">
        <v>257</v>
      </c>
      <c r="C102" s="49" t="s">
        <v>196</v>
      </c>
      <c r="D102" s="49" t="s">
        <v>197</v>
      </c>
      <c r="E102" s="49" t="s">
        <v>198</v>
      </c>
      <c r="F102" s="49" t="s">
        <v>199</v>
      </c>
      <c r="G102" s="49" t="s">
        <v>200</v>
      </c>
      <c r="H102" s="49" t="s">
        <v>201</v>
      </c>
      <c r="I102" s="49"/>
    </row>
    <row r="103" spans="1:9">
      <c r="A103" s="49">
        <v>1.5980000000000001E-2</v>
      </c>
      <c r="B103" s="49">
        <v>407.3</v>
      </c>
      <c r="C103" s="49">
        <v>525</v>
      </c>
      <c r="D103" s="49">
        <v>233.16</v>
      </c>
      <c r="E103" s="49">
        <v>1</v>
      </c>
      <c r="F103" s="49">
        <v>109.4</v>
      </c>
      <c r="G103" s="50">
        <v>45326</v>
      </c>
      <c r="H103" s="49" t="s">
        <v>262</v>
      </c>
      <c r="I103" s="49"/>
    </row>
    <row r="104" spans="1:9">
      <c r="A104" s="49">
        <v>9.9799999999999993E-3</v>
      </c>
      <c r="B104" s="49">
        <v>407.2</v>
      </c>
      <c r="C104" s="49">
        <v>415</v>
      </c>
      <c r="D104" s="49">
        <v>184.34</v>
      </c>
      <c r="E104" s="49">
        <v>1</v>
      </c>
      <c r="F104" s="49">
        <v>109.4</v>
      </c>
      <c r="G104" s="50">
        <v>45326</v>
      </c>
      <c r="H104" s="49" t="s">
        <v>263</v>
      </c>
      <c r="I104" s="49"/>
    </row>
    <row r="105" spans="1:9">
      <c r="A105" s="49">
        <v>1.1390000000000001E-2</v>
      </c>
      <c r="B105" s="49">
        <v>407.3</v>
      </c>
      <c r="C105" s="49">
        <v>442</v>
      </c>
      <c r="D105" s="49">
        <v>196.39</v>
      </c>
      <c r="E105" s="49">
        <v>1</v>
      </c>
      <c r="F105" s="49">
        <v>109.4</v>
      </c>
      <c r="G105" s="50">
        <v>45326</v>
      </c>
      <c r="H105" s="49" t="s">
        <v>264</v>
      </c>
      <c r="I105" s="49"/>
    </row>
    <row r="106" spans="1:9">
      <c r="A106" s="49">
        <v>7.4400000000000004E-3</v>
      </c>
      <c r="B106" s="49">
        <v>407.3</v>
      </c>
      <c r="C106" s="49">
        <v>355</v>
      </c>
      <c r="D106" s="49">
        <v>157.6</v>
      </c>
      <c r="E106" s="49">
        <v>1</v>
      </c>
      <c r="F106" s="49">
        <v>109.4</v>
      </c>
      <c r="G106" s="50">
        <v>45326</v>
      </c>
      <c r="H106" s="49" t="s">
        <v>265</v>
      </c>
      <c r="I106" s="49"/>
    </row>
    <row r="107" spans="1:9">
      <c r="A107" s="49">
        <v>1.051E-2</v>
      </c>
      <c r="B107" s="49">
        <v>407.2</v>
      </c>
      <c r="C107" s="49">
        <v>425</v>
      </c>
      <c r="D107" s="49">
        <v>188.94</v>
      </c>
      <c r="E107" s="49">
        <v>1</v>
      </c>
      <c r="F107" s="49">
        <v>109.4</v>
      </c>
      <c r="G107" s="50">
        <v>45326</v>
      </c>
      <c r="H107" s="49" t="s">
        <v>266</v>
      </c>
      <c r="I107" s="49"/>
    </row>
    <row r="108" spans="1:9">
      <c r="A108" s="49">
        <v>7.7400000000000004E-3</v>
      </c>
      <c r="B108" s="49">
        <v>407.2</v>
      </c>
      <c r="C108" s="49">
        <v>365</v>
      </c>
      <c r="D108" s="49">
        <v>162.41999999999999</v>
      </c>
      <c r="E108" s="49">
        <v>1</v>
      </c>
      <c r="F108" s="49">
        <v>109.4</v>
      </c>
      <c r="G108" s="50">
        <v>45326</v>
      </c>
      <c r="H108" s="49" t="s">
        <v>267</v>
      </c>
      <c r="I108" s="49"/>
    </row>
    <row r="109" spans="1:9">
      <c r="A109" s="49">
        <v>9.5700000000000004E-3</v>
      </c>
      <c r="B109" s="49">
        <v>407.2</v>
      </c>
      <c r="C109" s="49">
        <v>403</v>
      </c>
      <c r="D109" s="49">
        <v>179.06</v>
      </c>
      <c r="E109" s="49">
        <v>1</v>
      </c>
      <c r="F109" s="49">
        <v>109.4</v>
      </c>
      <c r="G109" s="50">
        <v>45326</v>
      </c>
      <c r="H109" s="49" t="s">
        <v>268</v>
      </c>
      <c r="I109" s="49"/>
    </row>
    <row r="110" spans="1:9">
      <c r="A110" s="49">
        <v>1.1339999999999999E-2</v>
      </c>
      <c r="B110" s="49">
        <v>407.3</v>
      </c>
      <c r="C110" s="49">
        <v>440</v>
      </c>
      <c r="D110" s="49">
        <v>195.57</v>
      </c>
      <c r="E110" s="49">
        <v>1</v>
      </c>
      <c r="F110" s="49">
        <v>109.4</v>
      </c>
      <c r="G110" s="50">
        <v>45326</v>
      </c>
      <c r="H110" s="49" t="s">
        <v>269</v>
      </c>
      <c r="I110" s="49"/>
    </row>
    <row r="111" spans="1:9">
      <c r="A111" s="49">
        <v>8.3099999999999997E-3</v>
      </c>
      <c r="B111" s="49">
        <v>407.3</v>
      </c>
      <c r="C111" s="49">
        <v>377</v>
      </c>
      <c r="D111" s="49">
        <v>167.77</v>
      </c>
      <c r="E111" s="49">
        <v>1</v>
      </c>
      <c r="F111" s="49">
        <v>109.4</v>
      </c>
      <c r="G111" s="50">
        <v>45326</v>
      </c>
      <c r="H111" s="49" t="s">
        <v>270</v>
      </c>
      <c r="I111" s="49"/>
    </row>
    <row r="112" spans="1:9">
      <c r="A112" s="49">
        <v>1.0829999999999999E-2</v>
      </c>
      <c r="B112" s="49">
        <v>407.2</v>
      </c>
      <c r="C112" s="49">
        <v>432</v>
      </c>
      <c r="D112" s="49">
        <v>191.96</v>
      </c>
      <c r="E112" s="49">
        <v>1</v>
      </c>
      <c r="F112" s="49">
        <v>109.4</v>
      </c>
      <c r="G112" s="50">
        <v>45326</v>
      </c>
      <c r="H112" s="49" t="s">
        <v>271</v>
      </c>
      <c r="I112" s="49"/>
    </row>
    <row r="113" spans="1:9">
      <c r="A113" s="49">
        <v>1.821E-2</v>
      </c>
      <c r="B113" s="49">
        <v>407.2</v>
      </c>
      <c r="C113" s="49">
        <v>560</v>
      </c>
      <c r="D113" s="49">
        <v>248.91</v>
      </c>
      <c r="E113" s="49">
        <v>1</v>
      </c>
      <c r="F113" s="49">
        <v>109.4</v>
      </c>
      <c r="G113" s="50">
        <v>45326</v>
      </c>
      <c r="H113" s="49" t="s">
        <v>272</v>
      </c>
      <c r="I113" s="49"/>
    </row>
    <row r="114" spans="1:9">
      <c r="A114" s="49"/>
      <c r="B114" s="49"/>
      <c r="C114" s="49"/>
      <c r="D114" s="49"/>
      <c r="E114" s="49"/>
      <c r="F114" s="49"/>
      <c r="G114" s="49"/>
      <c r="H114" s="49"/>
      <c r="I114" s="49"/>
    </row>
    <row r="115" spans="1:9">
      <c r="A115" s="49" t="s">
        <v>186</v>
      </c>
      <c r="B115" s="49" t="s">
        <v>273</v>
      </c>
      <c r="C115" s="49"/>
      <c r="D115" s="49"/>
      <c r="E115" s="49"/>
      <c r="F115" s="49"/>
      <c r="G115" s="49"/>
      <c r="H115" s="49"/>
      <c r="I115" s="49"/>
    </row>
    <row r="116" spans="1:9">
      <c r="A116" s="49" t="s">
        <v>188</v>
      </c>
      <c r="B116" s="49"/>
      <c r="C116" s="49"/>
      <c r="D116" s="49"/>
      <c r="E116" s="49"/>
      <c r="F116" s="49"/>
      <c r="G116" s="49"/>
      <c r="H116" s="49"/>
      <c r="I116" s="49"/>
    </row>
    <row r="117" spans="1:9">
      <c r="A117" s="49" t="s">
        <v>189</v>
      </c>
      <c r="B117" s="49" t="s">
        <v>100</v>
      </c>
      <c r="C117" s="49" t="s">
        <v>102</v>
      </c>
      <c r="D117" s="49" t="s">
        <v>101</v>
      </c>
      <c r="E117" s="49" t="s">
        <v>190</v>
      </c>
      <c r="F117" s="49" t="s">
        <v>191</v>
      </c>
      <c r="G117" s="49"/>
      <c r="H117" s="49"/>
      <c r="I117" s="49"/>
    </row>
    <row r="118" spans="1:9">
      <c r="A118" s="49">
        <v>6</v>
      </c>
      <c r="B118" s="49">
        <v>1.6719999999999999E-2</v>
      </c>
      <c r="C118" s="49">
        <v>1.992E-2</v>
      </c>
      <c r="D118" s="49">
        <v>1.49E-2</v>
      </c>
      <c r="E118" s="49" t="s">
        <v>255</v>
      </c>
      <c r="F118" s="49" t="s">
        <v>256</v>
      </c>
      <c r="G118" s="49"/>
      <c r="H118" s="49"/>
      <c r="I118" s="49"/>
    </row>
    <row r="119" spans="1:9">
      <c r="A119" s="49">
        <v>6</v>
      </c>
      <c r="B119" s="49">
        <v>407.3</v>
      </c>
      <c r="C119" s="49">
        <v>407.3</v>
      </c>
      <c r="D119" s="49">
        <v>407.2</v>
      </c>
      <c r="E119" s="49" t="s">
        <v>255</v>
      </c>
      <c r="F119" s="49" t="s">
        <v>257</v>
      </c>
      <c r="G119" s="49"/>
      <c r="H119" s="49"/>
      <c r="I119" s="49"/>
    </row>
    <row r="120" spans="1:9">
      <c r="A120" s="49">
        <v>6</v>
      </c>
      <c r="B120" s="49">
        <v>533</v>
      </c>
      <c r="C120" s="49">
        <v>584</v>
      </c>
      <c r="D120" s="49">
        <v>499</v>
      </c>
      <c r="E120" s="49" t="s">
        <v>192</v>
      </c>
      <c r="F120" s="49" t="s">
        <v>193</v>
      </c>
      <c r="G120" s="49"/>
      <c r="H120" s="49"/>
      <c r="I120" s="49"/>
    </row>
    <row r="121" spans="1:9">
      <c r="A121" s="49">
        <v>6</v>
      </c>
      <c r="B121" s="49">
        <v>236.8</v>
      </c>
      <c r="C121" s="49">
        <v>259.42</v>
      </c>
      <c r="D121" s="49">
        <v>221.71</v>
      </c>
      <c r="E121" s="49" t="s">
        <v>95</v>
      </c>
      <c r="F121" s="49" t="s">
        <v>194</v>
      </c>
      <c r="G121" s="49"/>
      <c r="H121" s="49"/>
      <c r="I121" s="49"/>
    </row>
    <row r="122" spans="1:9">
      <c r="A122" s="49" t="s">
        <v>195</v>
      </c>
      <c r="B122" s="49"/>
      <c r="C122" s="49"/>
      <c r="D122" s="49"/>
      <c r="E122" s="49"/>
      <c r="F122" s="49"/>
      <c r="G122" s="49"/>
      <c r="H122" s="49"/>
      <c r="I122" s="49"/>
    </row>
    <row r="123" spans="1:9">
      <c r="A123" s="49" t="s">
        <v>256</v>
      </c>
      <c r="B123" s="49" t="s">
        <v>257</v>
      </c>
      <c r="C123" s="49" t="s">
        <v>196</v>
      </c>
      <c r="D123" s="49" t="s">
        <v>197</v>
      </c>
      <c r="E123" s="49" t="s">
        <v>198</v>
      </c>
      <c r="F123" s="49" t="s">
        <v>199</v>
      </c>
      <c r="G123" s="49" t="s">
        <v>200</v>
      </c>
      <c r="H123" s="49" t="s">
        <v>201</v>
      </c>
      <c r="I123" s="49"/>
    </row>
    <row r="124" spans="1:9">
      <c r="A124" s="49">
        <v>1.617E-2</v>
      </c>
      <c r="B124" s="49">
        <v>407.3</v>
      </c>
      <c r="C124" s="49">
        <v>517</v>
      </c>
      <c r="D124" s="49">
        <v>229.83</v>
      </c>
      <c r="E124" s="49">
        <v>1</v>
      </c>
      <c r="F124" s="49">
        <v>109.4</v>
      </c>
      <c r="G124" s="50">
        <v>45326</v>
      </c>
      <c r="H124" s="49" t="s">
        <v>274</v>
      </c>
      <c r="I124" s="49"/>
    </row>
    <row r="125" spans="1:9">
      <c r="A125" s="49">
        <v>1.7950000000000001E-2</v>
      </c>
      <c r="B125" s="49">
        <v>407.3</v>
      </c>
      <c r="C125" s="49">
        <v>556</v>
      </c>
      <c r="D125" s="49">
        <v>247.29</v>
      </c>
      <c r="E125" s="49">
        <v>1</v>
      </c>
      <c r="F125" s="49">
        <v>109.4</v>
      </c>
      <c r="G125" s="50">
        <v>45326</v>
      </c>
      <c r="H125" s="49" t="s">
        <v>275</v>
      </c>
      <c r="I125" s="49"/>
    </row>
    <row r="126" spans="1:9">
      <c r="A126" s="49">
        <v>1.49E-2</v>
      </c>
      <c r="B126" s="49">
        <v>407.3</v>
      </c>
      <c r="C126" s="49">
        <v>499</v>
      </c>
      <c r="D126" s="49">
        <v>221.71</v>
      </c>
      <c r="E126" s="49">
        <v>1</v>
      </c>
      <c r="F126" s="49">
        <v>109.4</v>
      </c>
      <c r="G126" s="50">
        <v>45326</v>
      </c>
      <c r="H126" s="49" t="s">
        <v>276</v>
      </c>
      <c r="I126" s="49"/>
    </row>
    <row r="127" spans="1:9">
      <c r="A127" s="49">
        <v>1.992E-2</v>
      </c>
      <c r="B127" s="49">
        <v>407.3</v>
      </c>
      <c r="C127" s="49">
        <v>584</v>
      </c>
      <c r="D127" s="49">
        <v>259.42</v>
      </c>
      <c r="E127" s="49">
        <v>1</v>
      </c>
      <c r="F127" s="49">
        <v>109.4</v>
      </c>
      <c r="G127" s="50">
        <v>45326</v>
      </c>
      <c r="H127" s="49" t="s">
        <v>277</v>
      </c>
      <c r="I127" s="49"/>
    </row>
    <row r="128" spans="1:9">
      <c r="A128" s="49">
        <v>1.55E-2</v>
      </c>
      <c r="B128" s="49">
        <v>407.2</v>
      </c>
      <c r="C128" s="49">
        <v>517</v>
      </c>
      <c r="D128" s="49">
        <v>229.81</v>
      </c>
      <c r="E128" s="49">
        <v>1</v>
      </c>
      <c r="F128" s="49">
        <v>109.4</v>
      </c>
      <c r="G128" s="50">
        <v>45326</v>
      </c>
      <c r="H128" s="49" t="s">
        <v>278</v>
      </c>
      <c r="I128" s="49"/>
    </row>
    <row r="129" spans="1:9">
      <c r="A129" s="49">
        <v>1.5900000000000001E-2</v>
      </c>
      <c r="B129" s="49">
        <v>407.3</v>
      </c>
      <c r="C129" s="49">
        <v>524</v>
      </c>
      <c r="D129" s="49">
        <v>232.74</v>
      </c>
      <c r="E129" s="49">
        <v>1</v>
      </c>
      <c r="F129" s="49">
        <v>109.4</v>
      </c>
      <c r="G129" s="50">
        <v>45326</v>
      </c>
      <c r="H129" s="49" t="s">
        <v>279</v>
      </c>
      <c r="I129" s="49"/>
    </row>
    <row r="130" spans="1:9">
      <c r="A130" s="49"/>
      <c r="B130" s="49"/>
      <c r="C130" s="49"/>
      <c r="D130" s="49"/>
      <c r="E130" s="49"/>
      <c r="F130" s="49"/>
      <c r="G130" s="49"/>
      <c r="H130" s="49"/>
      <c r="I130" s="49"/>
    </row>
    <row r="131" spans="1:9">
      <c r="A131" s="49" t="s">
        <v>186</v>
      </c>
      <c r="B131" s="49" t="s">
        <v>280</v>
      </c>
      <c r="C131" s="49"/>
      <c r="D131" s="49"/>
      <c r="E131" s="49"/>
      <c r="F131" s="49"/>
      <c r="G131" s="49"/>
      <c r="H131" s="49"/>
      <c r="I131" s="49"/>
    </row>
    <row r="132" spans="1:9">
      <c r="A132" s="49" t="s">
        <v>188</v>
      </c>
      <c r="B132" s="49"/>
      <c r="C132" s="49"/>
      <c r="D132" s="49"/>
      <c r="E132" s="49"/>
      <c r="F132" s="49"/>
      <c r="G132" s="49"/>
      <c r="H132" s="49"/>
      <c r="I132" s="49"/>
    </row>
    <row r="133" spans="1:9">
      <c r="A133" s="49" t="s">
        <v>189</v>
      </c>
      <c r="B133" s="49" t="s">
        <v>100</v>
      </c>
      <c r="C133" s="49" t="s">
        <v>102</v>
      </c>
      <c r="D133" s="49" t="s">
        <v>101</v>
      </c>
      <c r="E133" s="49" t="s">
        <v>190</v>
      </c>
      <c r="F133" s="49" t="s">
        <v>191</v>
      </c>
      <c r="G133" s="49"/>
      <c r="H133" s="49"/>
      <c r="I133" s="49"/>
    </row>
    <row r="134" spans="1:9">
      <c r="A134" s="49">
        <v>11</v>
      </c>
      <c r="B134" s="49">
        <v>2.2720000000000001E-2</v>
      </c>
      <c r="C134" s="49">
        <v>2.6859999999999998E-2</v>
      </c>
      <c r="D134" s="49">
        <v>1.9099999999999999E-2</v>
      </c>
      <c r="E134" s="49" t="s">
        <v>255</v>
      </c>
      <c r="F134" s="49" t="s">
        <v>256</v>
      </c>
      <c r="G134" s="49"/>
      <c r="H134" s="49"/>
      <c r="I134" s="49"/>
    </row>
    <row r="135" spans="1:9">
      <c r="A135" s="49">
        <v>11</v>
      </c>
      <c r="B135" s="49">
        <v>407.2</v>
      </c>
      <c r="C135" s="49">
        <v>407.3</v>
      </c>
      <c r="D135" s="49">
        <v>407.2</v>
      </c>
      <c r="E135" s="49" t="s">
        <v>255</v>
      </c>
      <c r="F135" s="49" t="s">
        <v>257</v>
      </c>
      <c r="G135" s="49"/>
      <c r="H135" s="49"/>
      <c r="I135" s="49"/>
    </row>
    <row r="136" spans="1:9">
      <c r="A136" s="49">
        <v>11</v>
      </c>
      <c r="B136" s="49">
        <v>625</v>
      </c>
      <c r="C136" s="49">
        <v>680</v>
      </c>
      <c r="D136" s="49">
        <v>574</v>
      </c>
      <c r="E136" s="49" t="s">
        <v>192</v>
      </c>
      <c r="F136" s="49" t="s">
        <v>193</v>
      </c>
      <c r="G136" s="49"/>
      <c r="H136" s="49"/>
      <c r="I136" s="49"/>
    </row>
    <row r="137" spans="1:9">
      <c r="A137" s="49">
        <v>11</v>
      </c>
      <c r="B137" s="49">
        <v>277.58999999999997</v>
      </c>
      <c r="C137" s="49">
        <v>302.32</v>
      </c>
      <c r="D137" s="49">
        <v>255.06</v>
      </c>
      <c r="E137" s="49" t="s">
        <v>95</v>
      </c>
      <c r="F137" s="49" t="s">
        <v>194</v>
      </c>
      <c r="G137" s="49"/>
      <c r="H137" s="49"/>
      <c r="I137" s="49"/>
    </row>
    <row r="138" spans="1:9">
      <c r="A138" s="49" t="s">
        <v>195</v>
      </c>
      <c r="B138" s="49"/>
      <c r="C138" s="49"/>
      <c r="D138" s="49"/>
      <c r="E138" s="49"/>
      <c r="F138" s="49"/>
      <c r="G138" s="49"/>
      <c r="H138" s="49"/>
      <c r="I138" s="49"/>
    </row>
    <row r="139" spans="1:9">
      <c r="A139" s="49" t="s">
        <v>256</v>
      </c>
      <c r="B139" s="49" t="s">
        <v>257</v>
      </c>
      <c r="C139" s="49" t="s">
        <v>196</v>
      </c>
      <c r="D139" s="49" t="s">
        <v>197</v>
      </c>
      <c r="E139" s="49" t="s">
        <v>198</v>
      </c>
      <c r="F139" s="49" t="s">
        <v>199</v>
      </c>
      <c r="G139" s="49" t="s">
        <v>200</v>
      </c>
      <c r="H139" s="49" t="s">
        <v>201</v>
      </c>
      <c r="I139" s="49"/>
    </row>
    <row r="140" spans="1:9">
      <c r="A140" s="49">
        <v>2.6370000000000001E-2</v>
      </c>
      <c r="B140" s="49">
        <v>407.3</v>
      </c>
      <c r="C140" s="49">
        <v>674</v>
      </c>
      <c r="D140" s="49">
        <v>299.66000000000003</v>
      </c>
      <c r="E140" s="49">
        <v>1</v>
      </c>
      <c r="F140" s="49">
        <v>109.4</v>
      </c>
      <c r="G140" s="50">
        <v>45326</v>
      </c>
      <c r="H140" s="49" t="s">
        <v>281</v>
      </c>
      <c r="I140" s="49"/>
    </row>
    <row r="141" spans="1:9">
      <c r="A141" s="49">
        <v>2.41E-2</v>
      </c>
      <c r="B141" s="49">
        <v>407.2</v>
      </c>
      <c r="C141" s="49">
        <v>645</v>
      </c>
      <c r="D141" s="49">
        <v>286.51</v>
      </c>
      <c r="E141" s="49">
        <v>1</v>
      </c>
      <c r="F141" s="49">
        <v>109.4</v>
      </c>
      <c r="G141" s="50">
        <v>45326</v>
      </c>
      <c r="H141" s="49" t="s">
        <v>282</v>
      </c>
      <c r="I141" s="49"/>
    </row>
    <row r="142" spans="1:9">
      <c r="A142" s="49">
        <v>2.0230000000000001E-2</v>
      </c>
      <c r="B142" s="49">
        <v>407.2</v>
      </c>
      <c r="C142" s="49">
        <v>589</v>
      </c>
      <c r="D142" s="49">
        <v>261.89999999999998</v>
      </c>
      <c r="E142" s="49">
        <v>1</v>
      </c>
      <c r="F142" s="49">
        <v>109.4</v>
      </c>
      <c r="G142" s="50">
        <v>45326</v>
      </c>
      <c r="H142" s="49" t="s">
        <v>283</v>
      </c>
      <c r="I142" s="49"/>
    </row>
    <row r="143" spans="1:9">
      <c r="A143" s="49">
        <v>2.12E-2</v>
      </c>
      <c r="B143" s="49">
        <v>407.2</v>
      </c>
      <c r="C143" s="49">
        <v>605</v>
      </c>
      <c r="D143" s="49">
        <v>268.69</v>
      </c>
      <c r="E143" s="49">
        <v>1</v>
      </c>
      <c r="F143" s="49">
        <v>109.4</v>
      </c>
      <c r="G143" s="50">
        <v>45326</v>
      </c>
      <c r="H143" s="49" t="s">
        <v>284</v>
      </c>
      <c r="I143" s="49"/>
    </row>
    <row r="144" spans="1:9">
      <c r="A144" s="49">
        <v>1.9099999999999999E-2</v>
      </c>
      <c r="B144" s="49">
        <v>407.3</v>
      </c>
      <c r="C144" s="49">
        <v>574</v>
      </c>
      <c r="D144" s="49">
        <v>255.06</v>
      </c>
      <c r="E144" s="49">
        <v>1</v>
      </c>
      <c r="F144" s="49">
        <v>109.4</v>
      </c>
      <c r="G144" s="50">
        <v>45326</v>
      </c>
      <c r="H144" s="49" t="s">
        <v>285</v>
      </c>
      <c r="I144" s="49"/>
    </row>
    <row r="145" spans="1:9">
      <c r="A145" s="49">
        <v>2.18E-2</v>
      </c>
      <c r="B145" s="49">
        <v>407.2</v>
      </c>
      <c r="C145" s="49">
        <v>612</v>
      </c>
      <c r="D145" s="49">
        <v>272.08</v>
      </c>
      <c r="E145" s="49">
        <v>1</v>
      </c>
      <c r="F145" s="49">
        <v>109.4</v>
      </c>
      <c r="G145" s="50">
        <v>45326</v>
      </c>
      <c r="H145" s="49" t="s">
        <v>286</v>
      </c>
      <c r="I145" s="49"/>
    </row>
    <row r="146" spans="1:9">
      <c r="A146" s="49">
        <v>2.239E-2</v>
      </c>
      <c r="B146" s="49">
        <v>407.3</v>
      </c>
      <c r="C146" s="49">
        <v>621</v>
      </c>
      <c r="D146" s="49">
        <v>276.17</v>
      </c>
      <c r="E146" s="49">
        <v>1</v>
      </c>
      <c r="F146" s="49">
        <v>109.4</v>
      </c>
      <c r="G146" s="50">
        <v>45326</v>
      </c>
      <c r="H146" s="49" t="s">
        <v>287</v>
      </c>
      <c r="I146" s="49"/>
    </row>
    <row r="147" spans="1:9">
      <c r="A147" s="49">
        <v>2.265E-2</v>
      </c>
      <c r="B147" s="49">
        <v>407.3</v>
      </c>
      <c r="C147" s="49">
        <v>625</v>
      </c>
      <c r="D147" s="49">
        <v>277.75</v>
      </c>
      <c r="E147" s="49">
        <v>1</v>
      </c>
      <c r="F147" s="49">
        <v>109.4</v>
      </c>
      <c r="G147" s="50">
        <v>45326</v>
      </c>
      <c r="H147" s="49" t="s">
        <v>288</v>
      </c>
      <c r="I147" s="49"/>
    </row>
    <row r="148" spans="1:9">
      <c r="A148" s="49">
        <v>2.6859999999999998E-2</v>
      </c>
      <c r="B148" s="49">
        <v>407.3</v>
      </c>
      <c r="C148" s="49">
        <v>680</v>
      </c>
      <c r="D148" s="49">
        <v>302.32</v>
      </c>
      <c r="E148" s="49">
        <v>1</v>
      </c>
      <c r="F148" s="49">
        <v>109.4</v>
      </c>
      <c r="G148" s="50">
        <v>45326</v>
      </c>
      <c r="H148" s="49" t="s">
        <v>289</v>
      </c>
      <c r="I148" s="49"/>
    </row>
    <row r="149" spans="1:9">
      <c r="A149" s="49">
        <v>2.1700000000000001E-2</v>
      </c>
      <c r="B149" s="49">
        <v>407.2</v>
      </c>
      <c r="C149" s="49">
        <v>610</v>
      </c>
      <c r="D149" s="49">
        <v>270.92</v>
      </c>
      <c r="E149" s="49">
        <v>1</v>
      </c>
      <c r="F149" s="49">
        <v>109.4</v>
      </c>
      <c r="G149" s="50">
        <v>45326</v>
      </c>
      <c r="H149" s="49" t="s">
        <v>290</v>
      </c>
      <c r="I149" s="49"/>
    </row>
    <row r="150" spans="1:9">
      <c r="A150" s="49">
        <v>2.3470000000000001E-2</v>
      </c>
      <c r="B150" s="49">
        <v>407.3</v>
      </c>
      <c r="C150" s="49">
        <v>635</v>
      </c>
      <c r="D150" s="49">
        <v>282.39999999999998</v>
      </c>
      <c r="E150" s="49">
        <v>1</v>
      </c>
      <c r="F150" s="49">
        <v>109.4</v>
      </c>
      <c r="G150" s="50">
        <v>45326</v>
      </c>
      <c r="H150" s="49" t="s">
        <v>291</v>
      </c>
      <c r="I150" s="49"/>
    </row>
    <row r="152" spans="1:9">
      <c r="A152" t="s">
        <v>186</v>
      </c>
      <c r="B152" t="s">
        <v>292</v>
      </c>
      <c r="C152" t="s">
        <v>93</v>
      </c>
    </row>
    <row r="153" spans="1:9">
      <c r="A153" t="s">
        <v>188</v>
      </c>
    </row>
    <row r="154" spans="1:9">
      <c r="A154" t="s">
        <v>189</v>
      </c>
      <c r="B154" t="s">
        <v>100</v>
      </c>
      <c r="C154" t="s">
        <v>102</v>
      </c>
      <c r="D154" t="s">
        <v>101</v>
      </c>
      <c r="E154" t="s">
        <v>190</v>
      </c>
      <c r="F154" t="s">
        <v>191</v>
      </c>
    </row>
    <row r="155" spans="1:9">
      <c r="A155">
        <v>25</v>
      </c>
      <c r="B155">
        <v>586</v>
      </c>
      <c r="C155">
        <v>913</v>
      </c>
      <c r="D155">
        <v>248</v>
      </c>
      <c r="E155" t="s">
        <v>192</v>
      </c>
      <c r="F155" t="s">
        <v>193</v>
      </c>
    </row>
    <row r="156" spans="1:9">
      <c r="A156">
        <v>25</v>
      </c>
      <c r="B156">
        <v>260.58999999999997</v>
      </c>
      <c r="C156">
        <v>405.69</v>
      </c>
      <c r="D156">
        <v>110.28</v>
      </c>
      <c r="E156" t="s">
        <v>95</v>
      </c>
      <c r="F156" t="s">
        <v>194</v>
      </c>
    </row>
    <row r="157" spans="1:9">
      <c r="A157" t="s">
        <v>195</v>
      </c>
    </row>
    <row r="158" spans="1:9">
      <c r="A158" t="s">
        <v>196</v>
      </c>
      <c r="B158" t="s">
        <v>197</v>
      </c>
      <c r="C158" t="s">
        <v>198</v>
      </c>
      <c r="D158" t="s">
        <v>199</v>
      </c>
      <c r="E158" t="s">
        <v>200</v>
      </c>
      <c r="F158" t="s">
        <v>201</v>
      </c>
    </row>
    <row r="159" spans="1:9">
      <c r="A159">
        <v>248</v>
      </c>
      <c r="B159">
        <v>110.28</v>
      </c>
      <c r="C159">
        <v>1</v>
      </c>
      <c r="D159">
        <v>105.1</v>
      </c>
      <c r="E159" s="29">
        <v>45326</v>
      </c>
      <c r="F159" t="s">
        <v>293</v>
      </c>
    </row>
    <row r="160" spans="1:9">
      <c r="A160">
        <v>367</v>
      </c>
      <c r="B160">
        <v>163.03</v>
      </c>
      <c r="C160">
        <v>1</v>
      </c>
      <c r="D160">
        <v>105.1</v>
      </c>
      <c r="E160" s="29">
        <v>45326</v>
      </c>
      <c r="F160" t="s">
        <v>294</v>
      </c>
    </row>
    <row r="161" spans="1:6">
      <c r="A161">
        <v>404</v>
      </c>
      <c r="B161">
        <v>179.65</v>
      </c>
      <c r="C161">
        <v>1</v>
      </c>
      <c r="D161">
        <v>105.1</v>
      </c>
      <c r="E161" s="29">
        <v>45326</v>
      </c>
      <c r="F161" t="s">
        <v>295</v>
      </c>
    </row>
    <row r="162" spans="1:6">
      <c r="A162">
        <v>537</v>
      </c>
      <c r="B162">
        <v>238.57</v>
      </c>
      <c r="C162">
        <v>1</v>
      </c>
      <c r="D162">
        <v>105.1</v>
      </c>
      <c r="E162" s="29">
        <v>45326</v>
      </c>
      <c r="F162" t="s">
        <v>296</v>
      </c>
    </row>
    <row r="163" spans="1:6">
      <c r="A163">
        <v>439</v>
      </c>
      <c r="B163">
        <v>195.3</v>
      </c>
      <c r="C163">
        <v>1</v>
      </c>
      <c r="D163">
        <v>105.1</v>
      </c>
      <c r="E163" s="29">
        <v>45326</v>
      </c>
      <c r="F163" t="s">
        <v>297</v>
      </c>
    </row>
    <row r="164" spans="1:6">
      <c r="A164">
        <v>280</v>
      </c>
      <c r="B164">
        <v>124.47</v>
      </c>
      <c r="C164">
        <v>1</v>
      </c>
      <c r="D164">
        <v>105.1</v>
      </c>
      <c r="E164" s="29">
        <v>45326</v>
      </c>
      <c r="F164" t="s">
        <v>298</v>
      </c>
    </row>
    <row r="165" spans="1:6">
      <c r="A165">
        <v>395</v>
      </c>
      <c r="B165">
        <v>175.55</v>
      </c>
      <c r="C165">
        <v>1</v>
      </c>
      <c r="D165">
        <v>105.1</v>
      </c>
      <c r="E165" s="29">
        <v>45326</v>
      </c>
      <c r="F165" t="s">
        <v>299</v>
      </c>
    </row>
    <row r="166" spans="1:6">
      <c r="A166">
        <v>500</v>
      </c>
      <c r="B166">
        <v>222.09</v>
      </c>
      <c r="C166">
        <v>1</v>
      </c>
      <c r="D166">
        <v>105.1</v>
      </c>
      <c r="E166" s="29">
        <v>45326</v>
      </c>
      <c r="F166" t="s">
        <v>300</v>
      </c>
    </row>
    <row r="167" spans="1:6">
      <c r="A167">
        <v>681</v>
      </c>
      <c r="B167">
        <v>302.89</v>
      </c>
      <c r="C167">
        <v>1</v>
      </c>
      <c r="D167">
        <v>105.1</v>
      </c>
      <c r="E167" s="29">
        <v>45326</v>
      </c>
      <c r="F167" t="s">
        <v>301</v>
      </c>
    </row>
    <row r="168" spans="1:6">
      <c r="A168">
        <v>573</v>
      </c>
      <c r="B168">
        <v>254.58</v>
      </c>
      <c r="C168">
        <v>1</v>
      </c>
      <c r="D168">
        <v>105.1</v>
      </c>
      <c r="E168" s="29">
        <v>45326</v>
      </c>
      <c r="F168" t="s">
        <v>302</v>
      </c>
    </row>
    <row r="169" spans="1:6">
      <c r="A169">
        <v>394</v>
      </c>
      <c r="B169">
        <v>174.96</v>
      </c>
      <c r="C169">
        <v>1</v>
      </c>
      <c r="D169">
        <v>105.1</v>
      </c>
      <c r="E169" s="29">
        <v>45326</v>
      </c>
      <c r="F169" t="s">
        <v>303</v>
      </c>
    </row>
    <row r="170" spans="1:6">
      <c r="A170">
        <v>415</v>
      </c>
      <c r="B170">
        <v>184.28</v>
      </c>
      <c r="C170">
        <v>1</v>
      </c>
      <c r="D170">
        <v>105.1</v>
      </c>
      <c r="E170" s="29">
        <v>45326</v>
      </c>
      <c r="F170" t="s">
        <v>304</v>
      </c>
    </row>
    <row r="171" spans="1:6">
      <c r="A171">
        <v>565</v>
      </c>
      <c r="B171">
        <v>250.99</v>
      </c>
      <c r="C171">
        <v>1</v>
      </c>
      <c r="D171">
        <v>105.1</v>
      </c>
      <c r="E171" s="29">
        <v>45326</v>
      </c>
      <c r="F171" t="s">
        <v>305</v>
      </c>
    </row>
    <row r="172" spans="1:6">
      <c r="A172">
        <v>704</v>
      </c>
      <c r="B172">
        <v>313.01</v>
      </c>
      <c r="C172">
        <v>1</v>
      </c>
      <c r="D172">
        <v>105.1</v>
      </c>
      <c r="E172" s="29">
        <v>45326</v>
      </c>
      <c r="F172" t="s">
        <v>306</v>
      </c>
    </row>
    <row r="173" spans="1:6">
      <c r="A173">
        <v>573</v>
      </c>
      <c r="B173">
        <v>254.46</v>
      </c>
      <c r="C173">
        <v>1</v>
      </c>
      <c r="D173">
        <v>105.1</v>
      </c>
      <c r="E173" s="29">
        <v>45326</v>
      </c>
      <c r="F173" t="s">
        <v>307</v>
      </c>
    </row>
    <row r="174" spans="1:6">
      <c r="A174">
        <v>654</v>
      </c>
      <c r="B174">
        <v>290.56</v>
      </c>
      <c r="C174">
        <v>1</v>
      </c>
      <c r="D174">
        <v>105.1</v>
      </c>
      <c r="E174" s="29">
        <v>45326</v>
      </c>
      <c r="F174" t="s">
        <v>308</v>
      </c>
    </row>
    <row r="175" spans="1:6">
      <c r="A175">
        <v>706</v>
      </c>
      <c r="B175">
        <v>313.83999999999997</v>
      </c>
      <c r="C175">
        <v>1</v>
      </c>
      <c r="D175">
        <v>105.1</v>
      </c>
      <c r="E175" s="29">
        <v>45326</v>
      </c>
      <c r="F175" t="s">
        <v>309</v>
      </c>
    </row>
    <row r="176" spans="1:6">
      <c r="A176">
        <v>741</v>
      </c>
      <c r="B176">
        <v>329.46</v>
      </c>
      <c r="C176">
        <v>1</v>
      </c>
      <c r="D176">
        <v>105.1</v>
      </c>
      <c r="E176" s="29">
        <v>45326</v>
      </c>
      <c r="F176" t="s">
        <v>310</v>
      </c>
    </row>
    <row r="177" spans="1:6">
      <c r="A177">
        <v>792</v>
      </c>
      <c r="B177">
        <v>352.07</v>
      </c>
      <c r="C177">
        <v>1</v>
      </c>
      <c r="D177">
        <v>105.1</v>
      </c>
      <c r="E177" s="29">
        <v>45326</v>
      </c>
      <c r="F177" t="s">
        <v>311</v>
      </c>
    </row>
    <row r="178" spans="1:6">
      <c r="A178">
        <v>797</v>
      </c>
      <c r="B178">
        <v>354.28</v>
      </c>
      <c r="C178">
        <v>1</v>
      </c>
      <c r="D178">
        <v>105.1</v>
      </c>
      <c r="E178" s="29">
        <v>45326</v>
      </c>
      <c r="F178" t="s">
        <v>312</v>
      </c>
    </row>
    <row r="179" spans="1:6">
      <c r="A179">
        <v>691</v>
      </c>
      <c r="B179">
        <v>307.04000000000002</v>
      </c>
      <c r="C179">
        <v>1</v>
      </c>
      <c r="D179">
        <v>105.1</v>
      </c>
      <c r="E179" s="29">
        <v>45326</v>
      </c>
      <c r="F179" t="s">
        <v>313</v>
      </c>
    </row>
    <row r="180" spans="1:6">
      <c r="A180">
        <v>744</v>
      </c>
      <c r="B180">
        <v>330.46</v>
      </c>
      <c r="C180">
        <v>1</v>
      </c>
      <c r="D180">
        <v>105.1</v>
      </c>
      <c r="E180" s="29">
        <v>45326</v>
      </c>
      <c r="F180" t="s">
        <v>314</v>
      </c>
    </row>
    <row r="181" spans="1:6">
      <c r="A181">
        <v>808</v>
      </c>
      <c r="B181">
        <v>359.26</v>
      </c>
      <c r="C181">
        <v>1</v>
      </c>
      <c r="D181">
        <v>105.1</v>
      </c>
      <c r="E181" s="29">
        <v>45326</v>
      </c>
      <c r="F181" t="s">
        <v>315</v>
      </c>
    </row>
    <row r="182" spans="1:6">
      <c r="A182">
        <v>913</v>
      </c>
      <c r="B182">
        <v>405.69</v>
      </c>
      <c r="C182">
        <v>1</v>
      </c>
      <c r="D182">
        <v>105.1</v>
      </c>
      <c r="E182" s="29">
        <v>45326</v>
      </c>
      <c r="F182" t="s">
        <v>316</v>
      </c>
    </row>
    <row r="183" spans="1:6">
      <c r="A183">
        <v>738</v>
      </c>
      <c r="B183">
        <v>327.96</v>
      </c>
      <c r="C183">
        <v>1</v>
      </c>
      <c r="D183">
        <v>105.1</v>
      </c>
      <c r="E183" s="29">
        <v>45326</v>
      </c>
      <c r="F183" t="s">
        <v>317</v>
      </c>
    </row>
    <row r="185" spans="1:6">
      <c r="A185" t="s">
        <v>186</v>
      </c>
      <c r="B185" t="s">
        <v>318</v>
      </c>
      <c r="C185" t="s">
        <v>319</v>
      </c>
    </row>
    <row r="186" spans="1:6">
      <c r="A186" t="s">
        <v>188</v>
      </c>
    </row>
    <row r="187" spans="1:6">
      <c r="A187" t="s">
        <v>189</v>
      </c>
      <c r="B187" t="s">
        <v>100</v>
      </c>
      <c r="C187" t="s">
        <v>102</v>
      </c>
      <c r="D187" t="s">
        <v>101</v>
      </c>
      <c r="E187" t="s">
        <v>190</v>
      </c>
      <c r="F187" t="s">
        <v>191</v>
      </c>
    </row>
    <row r="188" spans="1:6">
      <c r="A188">
        <v>10</v>
      </c>
      <c r="B188">
        <v>5.5960000000000003E-2</v>
      </c>
      <c r="C188">
        <v>6.4560000000000006E-2</v>
      </c>
      <c r="D188">
        <v>4.9529999999999998E-2</v>
      </c>
      <c r="E188" t="s">
        <v>255</v>
      </c>
      <c r="F188" t="s">
        <v>256</v>
      </c>
    </row>
    <row r="189" spans="1:6">
      <c r="A189">
        <v>10</v>
      </c>
      <c r="B189">
        <v>407.2</v>
      </c>
      <c r="C189">
        <v>407.2</v>
      </c>
      <c r="D189">
        <v>407.1</v>
      </c>
      <c r="E189" t="s">
        <v>255</v>
      </c>
      <c r="F189" t="s">
        <v>257</v>
      </c>
    </row>
    <row r="190" spans="1:6">
      <c r="A190">
        <v>10</v>
      </c>
      <c r="B190">
        <v>978</v>
      </c>
      <c r="C190">
        <v>1051</v>
      </c>
      <c r="D190">
        <v>921</v>
      </c>
      <c r="E190" t="s">
        <v>192</v>
      </c>
      <c r="F190" t="s">
        <v>193</v>
      </c>
    </row>
    <row r="191" spans="1:6">
      <c r="A191">
        <v>10</v>
      </c>
      <c r="B191">
        <v>434.6</v>
      </c>
      <c r="C191">
        <v>467.19</v>
      </c>
      <c r="D191">
        <v>409.14</v>
      </c>
      <c r="E191" t="s">
        <v>95</v>
      </c>
      <c r="F191" t="s">
        <v>194</v>
      </c>
    </row>
    <row r="192" spans="1:6">
      <c r="A192" t="s">
        <v>195</v>
      </c>
    </row>
    <row r="193" spans="1:8">
      <c r="A193" t="s">
        <v>256</v>
      </c>
      <c r="B193" t="s">
        <v>257</v>
      </c>
      <c r="C193" t="s">
        <v>196</v>
      </c>
      <c r="D193" t="s">
        <v>197</v>
      </c>
      <c r="E193" t="s">
        <v>198</v>
      </c>
      <c r="F193" t="s">
        <v>199</v>
      </c>
      <c r="G193" t="s">
        <v>200</v>
      </c>
      <c r="H193" t="s">
        <v>201</v>
      </c>
    </row>
    <row r="194" spans="1:8">
      <c r="A194">
        <v>5.466E-2</v>
      </c>
      <c r="B194">
        <v>407.1</v>
      </c>
      <c r="C194">
        <v>966</v>
      </c>
      <c r="D194">
        <v>429.54</v>
      </c>
      <c r="E194">
        <v>1</v>
      </c>
      <c r="F194">
        <v>105.1</v>
      </c>
      <c r="G194" s="29">
        <v>45326</v>
      </c>
      <c r="H194" t="s">
        <v>320</v>
      </c>
    </row>
    <row r="195" spans="1:8">
      <c r="A195">
        <v>4.9529999999999998E-2</v>
      </c>
      <c r="B195">
        <v>407.2</v>
      </c>
      <c r="C195">
        <v>921</v>
      </c>
      <c r="D195">
        <v>409.14</v>
      </c>
      <c r="E195">
        <v>1</v>
      </c>
      <c r="F195">
        <v>105.1</v>
      </c>
      <c r="G195" s="29">
        <v>45326</v>
      </c>
      <c r="H195" t="s">
        <v>321</v>
      </c>
    </row>
    <row r="196" spans="1:8">
      <c r="A196">
        <v>5.8689999999999999E-2</v>
      </c>
      <c r="B196">
        <v>407.2</v>
      </c>
      <c r="C196">
        <v>1002</v>
      </c>
      <c r="D196">
        <v>445.27</v>
      </c>
      <c r="E196">
        <v>1</v>
      </c>
      <c r="F196">
        <v>105.1</v>
      </c>
      <c r="G196" s="29">
        <v>45326</v>
      </c>
      <c r="H196" t="s">
        <v>322</v>
      </c>
    </row>
    <row r="197" spans="1:8">
      <c r="A197">
        <v>6.4560000000000006E-2</v>
      </c>
      <c r="B197">
        <v>407.1</v>
      </c>
      <c r="C197">
        <v>1051</v>
      </c>
      <c r="D197">
        <v>467.19</v>
      </c>
      <c r="E197">
        <v>1</v>
      </c>
      <c r="F197">
        <v>105.1</v>
      </c>
      <c r="G197" s="29">
        <v>45326</v>
      </c>
      <c r="H197" t="s">
        <v>323</v>
      </c>
    </row>
    <row r="198" spans="1:8">
      <c r="A198">
        <v>5.5169999999999997E-2</v>
      </c>
      <c r="B198">
        <v>407.1</v>
      </c>
      <c r="C198">
        <v>971</v>
      </c>
      <c r="D198">
        <v>431.45</v>
      </c>
      <c r="E198">
        <v>1</v>
      </c>
      <c r="F198">
        <v>105.1</v>
      </c>
      <c r="G198" s="29">
        <v>45326</v>
      </c>
      <c r="H198" t="s">
        <v>324</v>
      </c>
    </row>
    <row r="199" spans="1:8">
      <c r="A199">
        <v>5.6370000000000003E-2</v>
      </c>
      <c r="B199">
        <v>407.2</v>
      </c>
      <c r="C199">
        <v>982</v>
      </c>
      <c r="D199">
        <v>436.41</v>
      </c>
      <c r="E199">
        <v>1</v>
      </c>
      <c r="F199">
        <v>105.1</v>
      </c>
      <c r="G199" s="29">
        <v>45326</v>
      </c>
      <c r="H199" t="s">
        <v>325</v>
      </c>
    </row>
    <row r="200" spans="1:8">
      <c r="A200">
        <v>5.4019999999999999E-2</v>
      </c>
      <c r="B200">
        <v>407.2</v>
      </c>
      <c r="C200">
        <v>962</v>
      </c>
      <c r="D200">
        <v>427.38</v>
      </c>
      <c r="E200">
        <v>1</v>
      </c>
      <c r="F200">
        <v>105.1</v>
      </c>
      <c r="G200" s="29">
        <v>45326</v>
      </c>
      <c r="H200" t="s">
        <v>326</v>
      </c>
    </row>
    <row r="201" spans="1:8">
      <c r="A201">
        <v>5.4679999999999999E-2</v>
      </c>
      <c r="B201">
        <v>407.2</v>
      </c>
      <c r="C201">
        <v>967</v>
      </c>
      <c r="D201">
        <v>429.88</v>
      </c>
      <c r="E201">
        <v>1</v>
      </c>
      <c r="F201">
        <v>105.1</v>
      </c>
      <c r="G201" s="29">
        <v>45326</v>
      </c>
      <c r="H201" t="s">
        <v>327</v>
      </c>
    </row>
    <row r="202" spans="1:8">
      <c r="A202">
        <v>5.602E-2</v>
      </c>
      <c r="B202">
        <v>407.2</v>
      </c>
      <c r="C202">
        <v>979</v>
      </c>
      <c r="D202">
        <v>435.1</v>
      </c>
      <c r="E202">
        <v>1</v>
      </c>
      <c r="F202">
        <v>105.1</v>
      </c>
      <c r="G202" s="29">
        <v>45326</v>
      </c>
      <c r="H202" t="s">
        <v>328</v>
      </c>
    </row>
    <row r="203" spans="1:8">
      <c r="A203">
        <v>5.5879999999999999E-2</v>
      </c>
      <c r="B203">
        <v>407.2</v>
      </c>
      <c r="C203">
        <v>978</v>
      </c>
      <c r="D203">
        <v>434.66</v>
      </c>
      <c r="E203">
        <v>1</v>
      </c>
      <c r="F203">
        <v>105.1</v>
      </c>
      <c r="G203" s="29">
        <v>45326</v>
      </c>
      <c r="H203" t="s">
        <v>329</v>
      </c>
    </row>
    <row r="205" spans="1:8">
      <c r="A205" s="62" t="s">
        <v>186</v>
      </c>
      <c r="B205" s="62" t="s">
        <v>330</v>
      </c>
      <c r="C205" s="64" t="s">
        <v>331</v>
      </c>
      <c r="D205" s="62"/>
      <c r="E205" s="62"/>
      <c r="F205" s="62"/>
      <c r="G205" s="62"/>
    </row>
    <row r="206" spans="1:8">
      <c r="A206" s="62" t="s">
        <v>188</v>
      </c>
      <c r="B206" s="62"/>
      <c r="C206" s="62"/>
      <c r="D206" s="62"/>
      <c r="E206" s="62"/>
      <c r="F206" s="62"/>
      <c r="G206" s="62"/>
    </row>
    <row r="207" spans="1:8">
      <c r="A207" s="62" t="s">
        <v>189</v>
      </c>
      <c r="B207" s="62" t="s">
        <v>100</v>
      </c>
      <c r="C207" s="62" t="s">
        <v>102</v>
      </c>
      <c r="D207" s="62" t="s">
        <v>101</v>
      </c>
      <c r="E207" s="62" t="s">
        <v>190</v>
      </c>
      <c r="F207" s="62" t="s">
        <v>191</v>
      </c>
      <c r="G207" s="62"/>
    </row>
    <row r="208" spans="1:8">
      <c r="A208" s="62">
        <v>18</v>
      </c>
      <c r="B208" s="62">
        <v>0.38949</v>
      </c>
      <c r="C208" s="62">
        <v>0.39578999999999998</v>
      </c>
      <c r="D208" s="62">
        <v>0.38</v>
      </c>
      <c r="E208" s="62" t="s">
        <v>255</v>
      </c>
      <c r="F208" s="62" t="s">
        <v>256</v>
      </c>
      <c r="G208" s="62"/>
    </row>
    <row r="209" spans="1:7">
      <c r="A209" s="62">
        <v>18</v>
      </c>
      <c r="B209" s="62">
        <v>406.2</v>
      </c>
      <c r="C209" s="62">
        <v>406.2</v>
      </c>
      <c r="D209" s="62">
        <v>406.1</v>
      </c>
      <c r="E209" s="62" t="s">
        <v>255</v>
      </c>
      <c r="F209" s="62" t="s">
        <v>257</v>
      </c>
      <c r="G209" s="62"/>
    </row>
    <row r="210" spans="1:7">
      <c r="A210" s="62" t="s">
        <v>195</v>
      </c>
      <c r="B210" s="62"/>
      <c r="C210" s="62"/>
      <c r="D210" s="62"/>
      <c r="E210" s="62"/>
      <c r="F210" s="62"/>
      <c r="G210" s="62"/>
    </row>
    <row r="211" spans="1:7">
      <c r="A211" s="62" t="s">
        <v>256</v>
      </c>
      <c r="B211" s="62" t="s">
        <v>257</v>
      </c>
      <c r="C211" s="62" t="s">
        <v>200</v>
      </c>
      <c r="D211" s="62" t="s">
        <v>201</v>
      </c>
      <c r="E211" s="62"/>
      <c r="F211" s="62"/>
      <c r="G211" s="62"/>
    </row>
    <row r="212" spans="1:7">
      <c r="A212" s="62">
        <v>0.38761000000000001</v>
      </c>
      <c r="B212" s="62">
        <v>406.2</v>
      </c>
      <c r="C212" s="63">
        <v>45326</v>
      </c>
      <c r="D212" s="62" t="s">
        <v>332</v>
      </c>
      <c r="E212" s="62"/>
      <c r="F212" s="62"/>
      <c r="G212" s="62"/>
    </row>
    <row r="213" spans="1:7">
      <c r="A213" s="62">
        <v>0.38591999999999999</v>
      </c>
      <c r="B213" s="62">
        <v>406.2</v>
      </c>
      <c r="C213" s="63">
        <v>45326</v>
      </c>
      <c r="D213" s="62" t="s">
        <v>333</v>
      </c>
      <c r="E213" s="62"/>
      <c r="F213" s="62"/>
      <c r="G213" s="62"/>
    </row>
    <row r="214" spans="1:7">
      <c r="A214" s="62">
        <v>0.3881</v>
      </c>
      <c r="B214" s="62">
        <v>406.2</v>
      </c>
      <c r="C214" s="63">
        <v>45326</v>
      </c>
      <c r="D214" s="62" t="s">
        <v>334</v>
      </c>
      <c r="E214" s="62"/>
      <c r="F214" s="62"/>
      <c r="G214" s="62"/>
    </row>
    <row r="215" spans="1:7">
      <c r="A215" s="62">
        <v>0.38690000000000002</v>
      </c>
      <c r="B215" s="62">
        <v>406.1</v>
      </c>
      <c r="C215" s="63">
        <v>45326</v>
      </c>
      <c r="D215" s="62" t="s">
        <v>335</v>
      </c>
      <c r="E215" s="62"/>
      <c r="F215" s="62"/>
      <c r="G215" s="62"/>
    </row>
    <row r="216" spans="1:7">
      <c r="A216" s="62">
        <v>0.38988</v>
      </c>
      <c r="B216" s="62">
        <v>406.2</v>
      </c>
      <c r="C216" s="63">
        <v>45326</v>
      </c>
      <c r="D216" s="62" t="s">
        <v>336</v>
      </c>
      <c r="E216" s="62"/>
      <c r="F216" s="62"/>
      <c r="G216" s="62"/>
    </row>
    <row r="217" spans="1:7">
      <c r="A217" s="62">
        <v>0.38956000000000002</v>
      </c>
      <c r="B217" s="62">
        <v>406.2</v>
      </c>
      <c r="C217" s="63">
        <v>45326</v>
      </c>
      <c r="D217" s="62" t="s">
        <v>337</v>
      </c>
      <c r="E217" s="62"/>
      <c r="F217" s="62"/>
      <c r="G217" s="62"/>
    </row>
    <row r="218" spans="1:7">
      <c r="A218" s="62">
        <v>0.39369999999999999</v>
      </c>
      <c r="B218" s="62">
        <v>406.2</v>
      </c>
      <c r="C218" s="63">
        <v>45326</v>
      </c>
      <c r="D218" s="62" t="s">
        <v>338</v>
      </c>
      <c r="E218" s="62"/>
      <c r="F218" s="62"/>
      <c r="G218" s="62"/>
    </row>
    <row r="219" spans="1:7">
      <c r="A219" s="62">
        <v>0.38685999999999998</v>
      </c>
      <c r="B219" s="62">
        <v>406.2</v>
      </c>
      <c r="C219" s="63">
        <v>45326</v>
      </c>
      <c r="D219" s="62" t="s">
        <v>339</v>
      </c>
      <c r="E219" s="62"/>
      <c r="F219" s="62"/>
      <c r="G219" s="62"/>
    </row>
    <row r="220" spans="1:7">
      <c r="A220" s="62">
        <v>0.39382</v>
      </c>
      <c r="B220" s="62">
        <v>406.2</v>
      </c>
      <c r="C220" s="63">
        <v>45326</v>
      </c>
      <c r="D220" s="62" t="s">
        <v>340</v>
      </c>
      <c r="E220" s="62"/>
      <c r="F220" s="62"/>
      <c r="G220" s="62"/>
    </row>
    <row r="221" spans="1:7">
      <c r="A221" s="62">
        <v>0.39417000000000002</v>
      </c>
      <c r="B221" s="62">
        <v>406.2</v>
      </c>
      <c r="C221" s="63">
        <v>45326</v>
      </c>
      <c r="D221" s="62" t="s">
        <v>341</v>
      </c>
      <c r="E221" s="62"/>
      <c r="F221" s="62"/>
      <c r="G221" s="62"/>
    </row>
    <row r="222" spans="1:7">
      <c r="A222" s="62">
        <v>0.39388000000000001</v>
      </c>
      <c r="B222" s="62">
        <v>406.2</v>
      </c>
      <c r="C222" s="63">
        <v>45326</v>
      </c>
      <c r="D222" s="62" t="s">
        <v>342</v>
      </c>
      <c r="E222" s="62"/>
      <c r="F222" s="62"/>
      <c r="G222" s="62"/>
    </row>
    <row r="223" spans="1:7">
      <c r="A223" s="62">
        <v>0.39378999999999997</v>
      </c>
      <c r="B223" s="62">
        <v>406.2</v>
      </c>
      <c r="C223" s="63">
        <v>45326</v>
      </c>
      <c r="D223" s="62" t="s">
        <v>343</v>
      </c>
      <c r="E223" s="62"/>
      <c r="F223" s="62"/>
      <c r="G223" s="62"/>
    </row>
    <row r="224" spans="1:7">
      <c r="A224" s="62">
        <v>0.39038</v>
      </c>
      <c r="B224" s="62">
        <v>406.2</v>
      </c>
      <c r="C224" s="63">
        <v>45326</v>
      </c>
      <c r="D224" s="62" t="s">
        <v>344</v>
      </c>
      <c r="E224" s="62"/>
      <c r="F224" s="62"/>
      <c r="G224" s="62"/>
    </row>
    <row r="225" spans="1:7">
      <c r="A225" s="62">
        <v>0.39578999999999998</v>
      </c>
      <c r="B225" s="62">
        <v>406.2</v>
      </c>
      <c r="C225" s="63">
        <v>45326</v>
      </c>
      <c r="D225" s="62" t="s">
        <v>345</v>
      </c>
      <c r="E225" s="62"/>
      <c r="F225" s="62"/>
      <c r="G225" s="62"/>
    </row>
    <row r="226" spans="1:7">
      <c r="A226" s="62">
        <v>0.38784999999999997</v>
      </c>
      <c r="B226" s="62">
        <v>406.2</v>
      </c>
      <c r="C226" s="63">
        <v>45326</v>
      </c>
      <c r="D226" s="62" t="s">
        <v>346</v>
      </c>
      <c r="E226" s="62"/>
      <c r="F226" s="62"/>
      <c r="G226" s="62"/>
    </row>
    <row r="227" spans="1:7">
      <c r="A227" s="62">
        <v>0.39106999999999997</v>
      </c>
      <c r="B227" s="62">
        <v>406.2</v>
      </c>
      <c r="C227" s="63">
        <v>45326</v>
      </c>
      <c r="D227" s="62" t="s">
        <v>347</v>
      </c>
      <c r="E227" s="62"/>
      <c r="F227" s="62"/>
      <c r="G227" s="62"/>
    </row>
    <row r="228" spans="1:7">
      <c r="A228" s="62">
        <v>0.38</v>
      </c>
      <c r="B228" s="62">
        <v>406.1</v>
      </c>
      <c r="C228" s="63">
        <v>45326</v>
      </c>
      <c r="D228" s="62" t="s">
        <v>348</v>
      </c>
      <c r="E228" s="62"/>
      <c r="F228" s="62"/>
      <c r="G228" s="62"/>
    </row>
    <row r="229" spans="1:7">
      <c r="A229" s="62">
        <v>0.38157999999999997</v>
      </c>
      <c r="B229" s="62">
        <v>406.1</v>
      </c>
      <c r="C229" s="63">
        <v>45326</v>
      </c>
      <c r="D229" s="62" t="s">
        <v>349</v>
      </c>
      <c r="E229" s="62"/>
      <c r="F229" s="62"/>
      <c r="G229" s="62"/>
    </row>
    <row r="230" spans="1:7">
      <c r="A230" s="62"/>
      <c r="B230" s="62"/>
      <c r="C230" s="62"/>
      <c r="D230" s="62"/>
      <c r="E230" s="62"/>
      <c r="F230" s="62"/>
      <c r="G230" s="62"/>
    </row>
    <row r="231" spans="1:7">
      <c r="A231" s="62" t="s">
        <v>186</v>
      </c>
      <c r="B231" s="62" t="s">
        <v>350</v>
      </c>
      <c r="C231" s="64" t="s">
        <v>331</v>
      </c>
      <c r="D231" s="62"/>
      <c r="E231" s="62"/>
      <c r="F231" s="62"/>
      <c r="G231" s="62"/>
    </row>
    <row r="232" spans="1:7">
      <c r="A232" s="62" t="s">
        <v>188</v>
      </c>
      <c r="B232" s="62"/>
      <c r="C232" s="62"/>
      <c r="D232" s="62"/>
      <c r="E232" s="62"/>
      <c r="F232" s="62"/>
      <c r="G232" s="62"/>
    </row>
    <row r="233" spans="1:7">
      <c r="A233" s="62" t="s">
        <v>189</v>
      </c>
      <c r="B233" s="62" t="s">
        <v>100</v>
      </c>
      <c r="C233" s="62" t="s">
        <v>102</v>
      </c>
      <c r="D233" s="62" t="s">
        <v>101</v>
      </c>
      <c r="E233" s="62" t="s">
        <v>190</v>
      </c>
      <c r="F233" s="62" t="s">
        <v>191</v>
      </c>
      <c r="G233" s="62"/>
    </row>
    <row r="234" spans="1:7">
      <c r="A234" s="62">
        <v>5</v>
      </c>
      <c r="B234" s="62">
        <v>0.38873000000000002</v>
      </c>
      <c r="C234" s="62">
        <v>0.39182</v>
      </c>
      <c r="D234" s="62">
        <v>0.38457999999999998</v>
      </c>
      <c r="E234" s="62" t="s">
        <v>255</v>
      </c>
      <c r="F234" s="62" t="s">
        <v>256</v>
      </c>
      <c r="G234" s="62"/>
    </row>
    <row r="235" spans="1:7">
      <c r="A235" s="62">
        <v>5</v>
      </c>
      <c r="B235" s="62">
        <v>406.1</v>
      </c>
      <c r="C235" s="62">
        <v>406.2</v>
      </c>
      <c r="D235" s="62">
        <v>406.1</v>
      </c>
      <c r="E235" s="62" t="s">
        <v>255</v>
      </c>
      <c r="F235" s="62" t="s">
        <v>257</v>
      </c>
      <c r="G235" s="62"/>
    </row>
    <row r="236" spans="1:7">
      <c r="A236" s="62" t="s">
        <v>195</v>
      </c>
      <c r="B236" s="62"/>
      <c r="C236" s="62"/>
      <c r="D236" s="62"/>
      <c r="E236" s="62"/>
      <c r="F236" s="62"/>
      <c r="G236" s="62"/>
    </row>
    <row r="237" spans="1:7">
      <c r="A237" s="62" t="s">
        <v>256</v>
      </c>
      <c r="B237" s="62" t="s">
        <v>257</v>
      </c>
      <c r="C237" s="62" t="s">
        <v>200</v>
      </c>
      <c r="D237" s="62" t="s">
        <v>201</v>
      </c>
      <c r="E237" s="62"/>
      <c r="F237" s="62"/>
      <c r="G237" s="62"/>
    </row>
    <row r="238" spans="1:7">
      <c r="A238" s="62">
        <v>0.3881</v>
      </c>
      <c r="B238" s="62">
        <v>406.2</v>
      </c>
      <c r="C238" s="63">
        <v>45326</v>
      </c>
      <c r="D238" s="62" t="s">
        <v>351</v>
      </c>
      <c r="E238" s="62"/>
      <c r="F238" s="62"/>
      <c r="G238" s="62"/>
    </row>
    <row r="239" spans="1:7">
      <c r="A239" s="62">
        <v>0.39055000000000001</v>
      </c>
      <c r="B239" s="62">
        <v>406.1</v>
      </c>
      <c r="C239" s="63">
        <v>45326</v>
      </c>
      <c r="D239" s="62" t="s">
        <v>352</v>
      </c>
      <c r="E239" s="62"/>
      <c r="F239" s="62"/>
      <c r="G239" s="62"/>
    </row>
    <row r="240" spans="1:7">
      <c r="A240" s="62">
        <v>0.38457999999999998</v>
      </c>
      <c r="B240" s="62">
        <v>406.2</v>
      </c>
      <c r="C240" s="63">
        <v>45326</v>
      </c>
      <c r="D240" s="62" t="s">
        <v>353</v>
      </c>
      <c r="E240" s="62"/>
      <c r="F240" s="62"/>
      <c r="G240" s="62"/>
    </row>
    <row r="241" spans="1:7">
      <c r="A241" s="62">
        <v>0.38858999999999999</v>
      </c>
      <c r="B241" s="62">
        <v>406.1</v>
      </c>
      <c r="C241" s="63">
        <v>45326</v>
      </c>
      <c r="D241" s="62" t="s">
        <v>354</v>
      </c>
      <c r="E241" s="62"/>
      <c r="F241" s="62"/>
      <c r="G241" s="62"/>
    </row>
    <row r="242" spans="1:7">
      <c r="A242" s="62">
        <v>0.39182</v>
      </c>
      <c r="B242" s="62">
        <v>406.1</v>
      </c>
      <c r="C242" s="63">
        <v>45326</v>
      </c>
      <c r="D242" s="62" t="s">
        <v>355</v>
      </c>
      <c r="E242" s="62"/>
      <c r="F242" s="62"/>
      <c r="G242" s="62"/>
    </row>
    <row r="243" spans="1:7">
      <c r="A243" s="62"/>
      <c r="B243" s="62"/>
      <c r="C243" s="62"/>
      <c r="D243" s="62"/>
      <c r="E243" s="62"/>
      <c r="F243" s="62"/>
      <c r="G243" s="62"/>
    </row>
    <row r="244" spans="1:7">
      <c r="A244" s="62" t="s">
        <v>186</v>
      </c>
      <c r="B244" s="62" t="s">
        <v>356</v>
      </c>
      <c r="C244" s="64" t="s">
        <v>357</v>
      </c>
      <c r="D244" s="62"/>
      <c r="E244" s="62"/>
      <c r="F244" s="62"/>
      <c r="G244" s="62"/>
    </row>
    <row r="245" spans="1:7">
      <c r="A245" s="62" t="s">
        <v>188</v>
      </c>
      <c r="B245" s="62"/>
      <c r="C245" s="62"/>
      <c r="D245" s="62"/>
      <c r="E245" s="62"/>
      <c r="F245" s="62"/>
      <c r="G245" s="62"/>
    </row>
    <row r="246" spans="1:7">
      <c r="A246" s="62" t="s">
        <v>189</v>
      </c>
      <c r="B246" s="62" t="s">
        <v>100</v>
      </c>
      <c r="C246" s="62" t="s">
        <v>102</v>
      </c>
      <c r="D246" s="62" t="s">
        <v>101</v>
      </c>
      <c r="E246" s="62" t="s">
        <v>190</v>
      </c>
      <c r="F246" s="62" t="s">
        <v>191</v>
      </c>
      <c r="G246" s="62"/>
    </row>
    <row r="247" spans="1:7">
      <c r="A247" s="62">
        <v>10</v>
      </c>
      <c r="B247" s="62">
        <v>0.31384000000000001</v>
      </c>
      <c r="C247" s="62">
        <v>0.31835999999999998</v>
      </c>
      <c r="D247" s="62">
        <v>0.30153999999999997</v>
      </c>
      <c r="E247" s="62" t="s">
        <v>255</v>
      </c>
      <c r="F247" s="62" t="s">
        <v>256</v>
      </c>
      <c r="G247" s="62"/>
    </row>
    <row r="248" spans="1:7">
      <c r="A248" s="62">
        <v>10</v>
      </c>
      <c r="B248" s="62">
        <v>406.2</v>
      </c>
      <c r="C248" s="62">
        <v>406.3</v>
      </c>
      <c r="D248" s="62">
        <v>406.1</v>
      </c>
      <c r="E248" s="62" t="s">
        <v>255</v>
      </c>
      <c r="F248" s="62" t="s">
        <v>257</v>
      </c>
      <c r="G248" s="62"/>
    </row>
    <row r="249" spans="1:7">
      <c r="A249" s="62" t="s">
        <v>195</v>
      </c>
      <c r="B249" s="62"/>
      <c r="C249" s="62"/>
      <c r="D249" s="62"/>
      <c r="E249" s="62"/>
      <c r="F249" s="62"/>
      <c r="G249" s="62"/>
    </row>
    <row r="250" spans="1:7">
      <c r="A250" s="62" t="s">
        <v>256</v>
      </c>
      <c r="B250" s="62" t="s">
        <v>257</v>
      </c>
      <c r="C250" s="62" t="s">
        <v>200</v>
      </c>
      <c r="D250" s="62" t="s">
        <v>201</v>
      </c>
      <c r="E250" s="62"/>
      <c r="F250" s="62"/>
      <c r="G250" s="62"/>
    </row>
    <row r="251" spans="1:7">
      <c r="A251" s="62">
        <v>0.31835999999999998</v>
      </c>
      <c r="B251" s="62">
        <v>406.2</v>
      </c>
      <c r="C251" s="63">
        <v>45326</v>
      </c>
      <c r="D251" s="62" t="s">
        <v>358</v>
      </c>
      <c r="E251" s="62"/>
      <c r="F251" s="62"/>
      <c r="G251" s="62"/>
    </row>
    <row r="252" spans="1:7">
      <c r="A252" s="62">
        <v>0.30153999999999997</v>
      </c>
      <c r="B252" s="62">
        <v>406.2</v>
      </c>
      <c r="C252" s="63">
        <v>45326</v>
      </c>
      <c r="D252" s="62" t="s">
        <v>359</v>
      </c>
      <c r="E252" s="62"/>
      <c r="F252" s="62"/>
      <c r="G252" s="62"/>
    </row>
    <row r="253" spans="1:7">
      <c r="A253" s="62">
        <v>0.31774999999999998</v>
      </c>
      <c r="B253" s="62">
        <v>406.2</v>
      </c>
      <c r="C253" s="63">
        <v>45326</v>
      </c>
      <c r="D253" s="62" t="s">
        <v>360</v>
      </c>
      <c r="E253" s="62"/>
      <c r="F253" s="62"/>
      <c r="G253" s="62"/>
    </row>
    <row r="254" spans="1:7">
      <c r="A254" s="62">
        <v>0.31484000000000001</v>
      </c>
      <c r="B254" s="62">
        <v>406.2</v>
      </c>
      <c r="C254" s="63">
        <v>45326</v>
      </c>
      <c r="D254" s="62" t="s">
        <v>361</v>
      </c>
      <c r="E254" s="62"/>
      <c r="F254" s="62"/>
      <c r="G254" s="62"/>
    </row>
    <row r="255" spans="1:7">
      <c r="A255" s="62">
        <v>0.31476999999999999</v>
      </c>
      <c r="B255" s="62">
        <v>406.3</v>
      </c>
      <c r="C255" s="63">
        <v>45326</v>
      </c>
      <c r="D255" s="62" t="s">
        <v>362</v>
      </c>
      <c r="E255" s="62"/>
      <c r="F255" s="62"/>
      <c r="G255" s="62"/>
    </row>
    <row r="256" spans="1:7">
      <c r="A256" s="62">
        <v>0.31217</v>
      </c>
      <c r="B256" s="62">
        <v>406.3</v>
      </c>
      <c r="C256" s="63">
        <v>45326</v>
      </c>
      <c r="D256" s="62" t="s">
        <v>363</v>
      </c>
      <c r="E256" s="62"/>
      <c r="F256" s="62"/>
      <c r="G256" s="62"/>
    </row>
    <row r="257" spans="1:7">
      <c r="A257" s="62">
        <v>0.31512000000000001</v>
      </c>
      <c r="B257" s="62">
        <v>406.1</v>
      </c>
      <c r="C257" s="63">
        <v>45326</v>
      </c>
      <c r="D257" s="62" t="s">
        <v>364</v>
      </c>
      <c r="E257" s="62"/>
      <c r="F257" s="62"/>
      <c r="G257" s="62"/>
    </row>
    <row r="258" spans="1:7">
      <c r="A258" s="62">
        <v>0.31469999999999998</v>
      </c>
      <c r="B258" s="62">
        <v>406.2</v>
      </c>
      <c r="C258" s="63">
        <v>45326</v>
      </c>
      <c r="D258" s="62" t="s">
        <v>365</v>
      </c>
      <c r="E258" s="62"/>
      <c r="F258" s="62"/>
      <c r="G258" s="62"/>
    </row>
    <row r="259" spans="1:7">
      <c r="A259" s="62">
        <v>0.31519000000000003</v>
      </c>
      <c r="B259" s="62">
        <v>406.1</v>
      </c>
      <c r="C259" s="63">
        <v>45326</v>
      </c>
      <c r="D259" s="62" t="s">
        <v>366</v>
      </c>
      <c r="E259" s="62"/>
      <c r="F259" s="62"/>
      <c r="G259" s="62"/>
    </row>
    <row r="260" spans="1:7">
      <c r="A260" s="62">
        <v>0.31397999999999998</v>
      </c>
      <c r="B260" s="62">
        <v>406.1</v>
      </c>
      <c r="C260" s="63">
        <v>45326</v>
      </c>
      <c r="D260" s="62" t="s">
        <v>367</v>
      </c>
      <c r="E260" s="62"/>
      <c r="F260" s="62"/>
      <c r="G260" s="62"/>
    </row>
    <row r="262" spans="1:7">
      <c r="A262" t="s">
        <v>186</v>
      </c>
      <c r="B262" t="s">
        <v>368</v>
      </c>
      <c r="C262" t="s">
        <v>369</v>
      </c>
    </row>
    <row r="263" spans="1:7">
      <c r="A263" t="s">
        <v>188</v>
      </c>
    </row>
    <row r="264" spans="1:7">
      <c r="A264" t="s">
        <v>189</v>
      </c>
      <c r="B264" t="s">
        <v>100</v>
      </c>
      <c r="C264" t="s">
        <v>102</v>
      </c>
      <c r="D264" t="s">
        <v>101</v>
      </c>
      <c r="E264" t="s">
        <v>190</v>
      </c>
      <c r="F264" t="s">
        <v>191</v>
      </c>
    </row>
    <row r="265" spans="1:7">
      <c r="A265">
        <v>10</v>
      </c>
      <c r="B265">
        <v>3.909E-2</v>
      </c>
      <c r="C265">
        <v>4.3549999999999998E-2</v>
      </c>
      <c r="D265">
        <v>3.4619999999999998E-2</v>
      </c>
      <c r="E265" t="s">
        <v>255</v>
      </c>
      <c r="F265" t="s">
        <v>256</v>
      </c>
    </row>
    <row r="266" spans="1:7">
      <c r="A266">
        <v>10</v>
      </c>
      <c r="B266">
        <v>406.3</v>
      </c>
      <c r="C266">
        <v>406.3</v>
      </c>
      <c r="D266">
        <v>406.3</v>
      </c>
      <c r="E266" t="s">
        <v>255</v>
      </c>
      <c r="F266" t="s">
        <v>257</v>
      </c>
    </row>
    <row r="267" spans="1:7">
      <c r="A267" t="s">
        <v>195</v>
      </c>
    </row>
    <row r="268" spans="1:7">
      <c r="A268" t="s">
        <v>256</v>
      </c>
      <c r="B268" t="s">
        <v>257</v>
      </c>
      <c r="C268" t="s">
        <v>200</v>
      </c>
      <c r="D268" t="s">
        <v>201</v>
      </c>
    </row>
    <row r="269" spans="1:7">
      <c r="A269">
        <v>3.7420000000000002E-2</v>
      </c>
      <c r="B269">
        <v>406.3</v>
      </c>
      <c r="C269" s="29">
        <v>45326</v>
      </c>
      <c r="D269" t="s">
        <v>370</v>
      </c>
    </row>
    <row r="270" spans="1:7">
      <c r="A270">
        <v>4.3549999999999998E-2</v>
      </c>
      <c r="B270">
        <v>406.3</v>
      </c>
      <c r="C270" s="29">
        <v>45326</v>
      </c>
      <c r="D270" t="s">
        <v>371</v>
      </c>
    </row>
    <row r="271" spans="1:7">
      <c r="A271">
        <v>3.773E-2</v>
      </c>
      <c r="B271">
        <v>406.3</v>
      </c>
      <c r="C271" s="29">
        <v>45326</v>
      </c>
      <c r="D271" t="s">
        <v>372</v>
      </c>
    </row>
    <row r="272" spans="1:7">
      <c r="A272">
        <v>3.524E-2</v>
      </c>
      <c r="B272">
        <v>406.3</v>
      </c>
      <c r="C272" s="29">
        <v>45326</v>
      </c>
      <c r="D272" t="s">
        <v>373</v>
      </c>
    </row>
    <row r="273" spans="1:6">
      <c r="A273">
        <v>3.875E-2</v>
      </c>
      <c r="B273">
        <v>406.3</v>
      </c>
      <c r="C273" s="29">
        <v>45326</v>
      </c>
      <c r="D273" t="s">
        <v>374</v>
      </c>
    </row>
    <row r="274" spans="1:6">
      <c r="A274">
        <v>4.2689999999999999E-2</v>
      </c>
      <c r="B274">
        <v>406.3</v>
      </c>
      <c r="C274" s="29">
        <v>45326</v>
      </c>
      <c r="D274" t="s">
        <v>375</v>
      </c>
    </row>
    <row r="275" spans="1:6">
      <c r="A275">
        <v>4.1320000000000003E-2</v>
      </c>
      <c r="B275">
        <v>406.3</v>
      </c>
      <c r="C275" s="29">
        <v>45326</v>
      </c>
      <c r="D275" t="s">
        <v>376</v>
      </c>
    </row>
    <row r="276" spans="1:6">
      <c r="A276">
        <v>3.4619999999999998E-2</v>
      </c>
      <c r="B276">
        <v>406.3</v>
      </c>
      <c r="C276" s="29">
        <v>45326</v>
      </c>
      <c r="D276" t="s">
        <v>377</v>
      </c>
    </row>
    <row r="277" spans="1:6">
      <c r="A277">
        <v>3.6380000000000003E-2</v>
      </c>
      <c r="B277">
        <v>406.3</v>
      </c>
      <c r="C277" s="29">
        <v>45326</v>
      </c>
      <c r="D277" t="s">
        <v>378</v>
      </c>
    </row>
    <row r="278" spans="1:6">
      <c r="A278">
        <v>4.3189999999999999E-2</v>
      </c>
      <c r="B278">
        <v>406.3</v>
      </c>
      <c r="C278" s="29">
        <v>45326</v>
      </c>
      <c r="D278" t="s">
        <v>379</v>
      </c>
    </row>
    <row r="280" spans="1:6">
      <c r="A280" t="s">
        <v>186</v>
      </c>
      <c r="B280" t="s">
        <v>380</v>
      </c>
      <c r="C280" t="s">
        <v>381</v>
      </c>
    </row>
    <row r="281" spans="1:6">
      <c r="A281" t="s">
        <v>188</v>
      </c>
    </row>
    <row r="282" spans="1:6">
      <c r="A282" t="s">
        <v>189</v>
      </c>
      <c r="B282" t="s">
        <v>100</v>
      </c>
      <c r="C282" t="s">
        <v>102</v>
      </c>
      <c r="D282" t="s">
        <v>101</v>
      </c>
      <c r="E282" t="s">
        <v>190</v>
      </c>
      <c r="F282" t="s">
        <v>191</v>
      </c>
    </row>
    <row r="283" spans="1:6">
      <c r="A283">
        <v>25</v>
      </c>
      <c r="B283">
        <v>414</v>
      </c>
      <c r="C283">
        <v>490</v>
      </c>
      <c r="D283">
        <v>285</v>
      </c>
      <c r="E283" t="s">
        <v>192</v>
      </c>
      <c r="F283" t="s">
        <v>193</v>
      </c>
    </row>
    <row r="284" spans="1:6">
      <c r="A284">
        <v>25</v>
      </c>
      <c r="B284">
        <v>230.12</v>
      </c>
      <c r="C284">
        <v>272</v>
      </c>
      <c r="D284">
        <v>158.16</v>
      </c>
      <c r="E284" t="s">
        <v>95</v>
      </c>
      <c r="F284" t="s">
        <v>382</v>
      </c>
    </row>
    <row r="285" spans="1:6">
      <c r="A285" t="s">
        <v>195</v>
      </c>
    </row>
    <row r="286" spans="1:6">
      <c r="A286" t="s">
        <v>196</v>
      </c>
      <c r="B286" t="s">
        <v>197</v>
      </c>
      <c r="C286" t="s">
        <v>198</v>
      </c>
      <c r="D286" t="s">
        <v>199</v>
      </c>
      <c r="E286" t="s">
        <v>200</v>
      </c>
      <c r="F286" t="s">
        <v>201</v>
      </c>
    </row>
    <row r="287" spans="1:6">
      <c r="A287">
        <v>285</v>
      </c>
      <c r="B287">
        <v>158.16</v>
      </c>
      <c r="C287">
        <v>1</v>
      </c>
      <c r="D287">
        <v>105.1</v>
      </c>
      <c r="E287" s="29">
        <v>45326</v>
      </c>
      <c r="F287" t="s">
        <v>383</v>
      </c>
    </row>
    <row r="288" spans="1:6">
      <c r="A288">
        <v>438</v>
      </c>
      <c r="B288">
        <v>243.48</v>
      </c>
      <c r="C288">
        <v>1</v>
      </c>
      <c r="D288">
        <v>105.1</v>
      </c>
      <c r="E288" s="29">
        <v>45326</v>
      </c>
      <c r="F288" t="s">
        <v>384</v>
      </c>
    </row>
    <row r="289" spans="1:6">
      <c r="A289">
        <v>389</v>
      </c>
      <c r="B289">
        <v>215.93</v>
      </c>
      <c r="C289">
        <v>1</v>
      </c>
      <c r="D289">
        <v>105.1</v>
      </c>
      <c r="E289" s="29">
        <v>45326</v>
      </c>
      <c r="F289" t="s">
        <v>385</v>
      </c>
    </row>
    <row r="290" spans="1:6">
      <c r="A290">
        <v>384</v>
      </c>
      <c r="B290">
        <v>213.53</v>
      </c>
      <c r="C290">
        <v>1</v>
      </c>
      <c r="D290">
        <v>105.1</v>
      </c>
      <c r="E290" s="29">
        <v>45326</v>
      </c>
      <c r="F290" t="s">
        <v>386</v>
      </c>
    </row>
    <row r="291" spans="1:6">
      <c r="A291">
        <v>382</v>
      </c>
      <c r="B291">
        <v>212.22</v>
      </c>
      <c r="C291">
        <v>1</v>
      </c>
      <c r="D291">
        <v>105.1</v>
      </c>
      <c r="E291" s="29">
        <v>45326</v>
      </c>
      <c r="F291" t="s">
        <v>387</v>
      </c>
    </row>
    <row r="292" spans="1:6">
      <c r="A292">
        <v>379</v>
      </c>
      <c r="B292">
        <v>210.65</v>
      </c>
      <c r="C292">
        <v>1</v>
      </c>
      <c r="D292">
        <v>105.1</v>
      </c>
      <c r="E292" s="29">
        <v>45326</v>
      </c>
      <c r="F292" t="s">
        <v>388</v>
      </c>
    </row>
    <row r="293" spans="1:6">
      <c r="A293">
        <v>490</v>
      </c>
      <c r="B293">
        <v>272</v>
      </c>
      <c r="C293">
        <v>1</v>
      </c>
      <c r="D293">
        <v>105.1</v>
      </c>
      <c r="E293" s="29">
        <v>45326</v>
      </c>
      <c r="F293" t="s">
        <v>389</v>
      </c>
    </row>
    <row r="294" spans="1:6">
      <c r="A294">
        <v>433</v>
      </c>
      <c r="B294">
        <v>240.65</v>
      </c>
      <c r="C294">
        <v>1</v>
      </c>
      <c r="D294">
        <v>105.1</v>
      </c>
      <c r="E294" s="29">
        <v>45326</v>
      </c>
      <c r="F294" t="s">
        <v>390</v>
      </c>
    </row>
    <row r="295" spans="1:6">
      <c r="A295">
        <v>457</v>
      </c>
      <c r="B295">
        <v>254.02</v>
      </c>
      <c r="C295">
        <v>1</v>
      </c>
      <c r="D295">
        <v>105.1</v>
      </c>
      <c r="E295" s="29">
        <v>45326</v>
      </c>
      <c r="F295" t="s">
        <v>391</v>
      </c>
    </row>
    <row r="296" spans="1:6">
      <c r="A296">
        <v>430</v>
      </c>
      <c r="B296">
        <v>238.98</v>
      </c>
      <c r="C296">
        <v>1</v>
      </c>
      <c r="D296">
        <v>105.1</v>
      </c>
      <c r="E296" s="29">
        <v>45326</v>
      </c>
      <c r="F296" t="s">
        <v>392</v>
      </c>
    </row>
    <row r="297" spans="1:6">
      <c r="A297">
        <v>324</v>
      </c>
      <c r="B297">
        <v>180</v>
      </c>
      <c r="C297">
        <v>1</v>
      </c>
      <c r="D297">
        <v>105.1</v>
      </c>
      <c r="E297" s="29">
        <v>45326</v>
      </c>
      <c r="F297" t="s">
        <v>393</v>
      </c>
    </row>
    <row r="298" spans="1:6">
      <c r="A298">
        <v>445</v>
      </c>
      <c r="B298">
        <v>247.33</v>
      </c>
      <c r="C298">
        <v>1</v>
      </c>
      <c r="D298">
        <v>105.1</v>
      </c>
      <c r="E298" s="29">
        <v>45326</v>
      </c>
      <c r="F298" t="s">
        <v>394</v>
      </c>
    </row>
    <row r="299" spans="1:6">
      <c r="A299">
        <v>430</v>
      </c>
      <c r="B299">
        <v>239.04</v>
      </c>
      <c r="C299">
        <v>1</v>
      </c>
      <c r="D299">
        <v>105.1</v>
      </c>
      <c r="E299" s="29">
        <v>45326</v>
      </c>
      <c r="F299" t="s">
        <v>395</v>
      </c>
    </row>
    <row r="300" spans="1:6">
      <c r="A300">
        <v>431</v>
      </c>
      <c r="B300">
        <v>239.22</v>
      </c>
      <c r="C300">
        <v>1</v>
      </c>
      <c r="D300">
        <v>105.1</v>
      </c>
      <c r="E300" s="29">
        <v>45326</v>
      </c>
      <c r="F300" t="s">
        <v>396</v>
      </c>
    </row>
    <row r="301" spans="1:6">
      <c r="A301">
        <v>442</v>
      </c>
      <c r="B301">
        <v>245.56</v>
      </c>
      <c r="C301">
        <v>1</v>
      </c>
      <c r="D301">
        <v>105.1</v>
      </c>
      <c r="E301" s="29">
        <v>45326</v>
      </c>
      <c r="F301" t="s">
        <v>397</v>
      </c>
    </row>
    <row r="302" spans="1:6">
      <c r="A302">
        <v>380</v>
      </c>
      <c r="B302">
        <v>211.32</v>
      </c>
      <c r="C302">
        <v>1</v>
      </c>
      <c r="D302">
        <v>105.1</v>
      </c>
      <c r="E302" s="29">
        <v>45326</v>
      </c>
      <c r="F302" t="s">
        <v>398</v>
      </c>
    </row>
    <row r="303" spans="1:6">
      <c r="A303">
        <v>435</v>
      </c>
      <c r="B303">
        <v>241.86</v>
      </c>
      <c r="C303">
        <v>1</v>
      </c>
      <c r="D303">
        <v>105.1</v>
      </c>
      <c r="E303" s="29">
        <v>45326</v>
      </c>
      <c r="F303" t="s">
        <v>399</v>
      </c>
    </row>
    <row r="304" spans="1:6">
      <c r="A304">
        <v>411</v>
      </c>
      <c r="B304">
        <v>228.29</v>
      </c>
      <c r="C304">
        <v>1</v>
      </c>
      <c r="D304">
        <v>105.1</v>
      </c>
      <c r="E304" s="29">
        <v>45326</v>
      </c>
      <c r="F304" t="s">
        <v>400</v>
      </c>
    </row>
    <row r="305" spans="1:6">
      <c r="A305">
        <v>463</v>
      </c>
      <c r="B305">
        <v>257.3</v>
      </c>
      <c r="C305">
        <v>1</v>
      </c>
      <c r="D305">
        <v>105.1</v>
      </c>
      <c r="E305" s="29">
        <v>45326</v>
      </c>
      <c r="F305" t="s">
        <v>401</v>
      </c>
    </row>
    <row r="306" spans="1:6">
      <c r="A306">
        <v>445</v>
      </c>
      <c r="B306">
        <v>247.49</v>
      </c>
      <c r="C306">
        <v>1</v>
      </c>
      <c r="D306">
        <v>105.1</v>
      </c>
      <c r="E306" s="29">
        <v>45326</v>
      </c>
      <c r="F306" t="s">
        <v>402</v>
      </c>
    </row>
    <row r="307" spans="1:6">
      <c r="A307">
        <v>421</v>
      </c>
      <c r="B307">
        <v>234.06</v>
      </c>
      <c r="C307">
        <v>1</v>
      </c>
      <c r="D307">
        <v>105.1</v>
      </c>
      <c r="E307" s="29">
        <v>45326</v>
      </c>
      <c r="F307" t="s">
        <v>403</v>
      </c>
    </row>
    <row r="308" spans="1:6">
      <c r="A308">
        <v>402</v>
      </c>
      <c r="B308">
        <v>223.4</v>
      </c>
      <c r="C308">
        <v>1</v>
      </c>
      <c r="D308">
        <v>105.1</v>
      </c>
      <c r="E308" s="29">
        <v>45326</v>
      </c>
      <c r="F308" t="s">
        <v>404</v>
      </c>
    </row>
    <row r="309" spans="1:6">
      <c r="A309">
        <v>420</v>
      </c>
      <c r="B309">
        <v>233.2</v>
      </c>
      <c r="C309">
        <v>1</v>
      </c>
      <c r="D309">
        <v>105.1</v>
      </c>
      <c r="E309" s="29">
        <v>45326</v>
      </c>
      <c r="F309" t="s">
        <v>405</v>
      </c>
    </row>
    <row r="310" spans="1:6">
      <c r="A310">
        <v>434</v>
      </c>
      <c r="B310">
        <v>241.2</v>
      </c>
      <c r="C310">
        <v>1</v>
      </c>
      <c r="D310">
        <v>105.1</v>
      </c>
      <c r="E310" s="29">
        <v>45326</v>
      </c>
      <c r="F310" t="s">
        <v>406</v>
      </c>
    </row>
    <row r="311" spans="1:6">
      <c r="A311">
        <v>403</v>
      </c>
      <c r="B311">
        <v>224.03</v>
      </c>
      <c r="C311">
        <v>1</v>
      </c>
      <c r="D311">
        <v>105.1</v>
      </c>
      <c r="E311" s="29">
        <v>45326</v>
      </c>
      <c r="F311" t="s">
        <v>407</v>
      </c>
    </row>
    <row r="313" spans="1:6">
      <c r="A313" t="s">
        <v>186</v>
      </c>
      <c r="B313" t="s">
        <v>408</v>
      </c>
      <c r="C313" t="s">
        <v>381</v>
      </c>
    </row>
    <row r="314" spans="1:6">
      <c r="A314" t="s">
        <v>188</v>
      </c>
    </row>
    <row r="315" spans="1:6">
      <c r="A315" t="s">
        <v>189</v>
      </c>
      <c r="B315" t="s">
        <v>100</v>
      </c>
      <c r="C315" t="s">
        <v>102</v>
      </c>
      <c r="D315" t="s">
        <v>101</v>
      </c>
      <c r="E315" t="s">
        <v>190</v>
      </c>
      <c r="F315" t="s">
        <v>191</v>
      </c>
    </row>
    <row r="316" spans="1:6">
      <c r="A316">
        <v>25</v>
      </c>
      <c r="B316">
        <v>433</v>
      </c>
      <c r="C316">
        <v>498</v>
      </c>
      <c r="D316">
        <v>339</v>
      </c>
      <c r="E316" t="s">
        <v>192</v>
      </c>
      <c r="F316" t="s">
        <v>193</v>
      </c>
    </row>
    <row r="317" spans="1:6">
      <c r="A317">
        <v>25</v>
      </c>
      <c r="B317">
        <v>240.34</v>
      </c>
      <c r="C317">
        <v>276.58999999999997</v>
      </c>
      <c r="D317">
        <v>188.53</v>
      </c>
      <c r="E317" t="s">
        <v>95</v>
      </c>
      <c r="F317" t="s">
        <v>382</v>
      </c>
    </row>
    <row r="318" spans="1:6">
      <c r="A318" t="s">
        <v>195</v>
      </c>
    </row>
    <row r="319" spans="1:6">
      <c r="A319" t="s">
        <v>196</v>
      </c>
      <c r="B319" t="s">
        <v>197</v>
      </c>
      <c r="C319" t="s">
        <v>198</v>
      </c>
      <c r="D319" t="s">
        <v>199</v>
      </c>
      <c r="E319" t="s">
        <v>200</v>
      </c>
      <c r="F319" t="s">
        <v>201</v>
      </c>
    </row>
    <row r="320" spans="1:6">
      <c r="A320">
        <v>339</v>
      </c>
      <c r="B320">
        <v>188.53</v>
      </c>
      <c r="C320">
        <v>1</v>
      </c>
      <c r="D320">
        <v>110.8</v>
      </c>
      <c r="E320" s="29">
        <v>45326</v>
      </c>
      <c r="F320" t="s">
        <v>409</v>
      </c>
    </row>
    <row r="321" spans="1:6">
      <c r="A321">
        <v>478</v>
      </c>
      <c r="B321">
        <v>265.67</v>
      </c>
      <c r="C321">
        <v>1</v>
      </c>
      <c r="D321">
        <v>110.8</v>
      </c>
      <c r="E321" s="29">
        <v>45326</v>
      </c>
      <c r="F321" t="s">
        <v>410</v>
      </c>
    </row>
    <row r="322" spans="1:6">
      <c r="A322">
        <v>494</v>
      </c>
      <c r="B322">
        <v>274.33999999999997</v>
      </c>
      <c r="C322">
        <v>1</v>
      </c>
      <c r="D322">
        <v>110.8</v>
      </c>
      <c r="E322" s="29">
        <v>45326</v>
      </c>
      <c r="F322" t="s">
        <v>411</v>
      </c>
    </row>
    <row r="323" spans="1:6">
      <c r="A323">
        <v>471</v>
      </c>
      <c r="B323">
        <v>261.82</v>
      </c>
      <c r="C323">
        <v>1</v>
      </c>
      <c r="D323">
        <v>110.8</v>
      </c>
      <c r="E323" s="29">
        <v>45326</v>
      </c>
      <c r="F323" t="s">
        <v>412</v>
      </c>
    </row>
    <row r="324" spans="1:6">
      <c r="A324">
        <v>388</v>
      </c>
      <c r="B324">
        <v>215.32</v>
      </c>
      <c r="C324">
        <v>1</v>
      </c>
      <c r="D324">
        <v>110.8</v>
      </c>
      <c r="E324" s="29">
        <v>45326</v>
      </c>
      <c r="F324" t="s">
        <v>413</v>
      </c>
    </row>
    <row r="325" spans="1:6">
      <c r="A325">
        <v>412</v>
      </c>
      <c r="B325">
        <v>228.81</v>
      </c>
      <c r="C325">
        <v>1</v>
      </c>
      <c r="D325">
        <v>110.8</v>
      </c>
      <c r="E325" s="29">
        <v>45326</v>
      </c>
      <c r="F325" t="s">
        <v>414</v>
      </c>
    </row>
    <row r="326" spans="1:6">
      <c r="A326">
        <v>421</v>
      </c>
      <c r="B326">
        <v>234.01</v>
      </c>
      <c r="C326">
        <v>1</v>
      </c>
      <c r="D326">
        <v>110.8</v>
      </c>
      <c r="E326" s="29">
        <v>45326</v>
      </c>
      <c r="F326" t="s">
        <v>415</v>
      </c>
    </row>
    <row r="327" spans="1:6">
      <c r="A327">
        <v>416</v>
      </c>
      <c r="B327">
        <v>231.1</v>
      </c>
      <c r="C327">
        <v>1</v>
      </c>
      <c r="D327">
        <v>110.8</v>
      </c>
      <c r="E327" s="29">
        <v>45326</v>
      </c>
      <c r="F327" t="s">
        <v>416</v>
      </c>
    </row>
    <row r="328" spans="1:6">
      <c r="A328">
        <v>430</v>
      </c>
      <c r="B328">
        <v>238.98</v>
      </c>
      <c r="C328">
        <v>1</v>
      </c>
      <c r="D328">
        <v>110.8</v>
      </c>
      <c r="E328" s="29">
        <v>45326</v>
      </c>
      <c r="F328" t="s">
        <v>417</v>
      </c>
    </row>
    <row r="329" spans="1:6">
      <c r="A329">
        <v>439</v>
      </c>
      <c r="B329">
        <v>244.1</v>
      </c>
      <c r="C329">
        <v>1</v>
      </c>
      <c r="D329">
        <v>110.8</v>
      </c>
      <c r="E329" s="29">
        <v>45326</v>
      </c>
      <c r="F329" t="s">
        <v>418</v>
      </c>
    </row>
    <row r="330" spans="1:6">
      <c r="A330">
        <v>389</v>
      </c>
      <c r="B330">
        <v>216.06</v>
      </c>
      <c r="C330">
        <v>1</v>
      </c>
      <c r="D330">
        <v>110.8</v>
      </c>
      <c r="E330" s="29">
        <v>45326</v>
      </c>
      <c r="F330" t="s">
        <v>419</v>
      </c>
    </row>
    <row r="331" spans="1:6">
      <c r="A331">
        <v>426</v>
      </c>
      <c r="B331">
        <v>236.84</v>
      </c>
      <c r="C331">
        <v>1</v>
      </c>
      <c r="D331">
        <v>110.8</v>
      </c>
      <c r="E331" s="29">
        <v>45326</v>
      </c>
      <c r="F331" t="s">
        <v>420</v>
      </c>
    </row>
    <row r="332" spans="1:6">
      <c r="A332">
        <v>396</v>
      </c>
      <c r="B332">
        <v>220.27</v>
      </c>
      <c r="C332">
        <v>1</v>
      </c>
      <c r="D332">
        <v>110.8</v>
      </c>
      <c r="E332" s="29">
        <v>45326</v>
      </c>
      <c r="F332" t="s">
        <v>421</v>
      </c>
    </row>
    <row r="333" spans="1:6">
      <c r="A333">
        <v>393</v>
      </c>
      <c r="B333">
        <v>218.07</v>
      </c>
      <c r="C333">
        <v>1</v>
      </c>
      <c r="D333">
        <v>110.8</v>
      </c>
      <c r="E333" s="29">
        <v>45326</v>
      </c>
      <c r="F333" t="s">
        <v>422</v>
      </c>
    </row>
    <row r="334" spans="1:6">
      <c r="A334">
        <v>441</v>
      </c>
      <c r="B334">
        <v>244.76</v>
      </c>
      <c r="C334">
        <v>1</v>
      </c>
      <c r="D334">
        <v>110.8</v>
      </c>
      <c r="E334" s="29">
        <v>45326</v>
      </c>
      <c r="F334" t="s">
        <v>423</v>
      </c>
    </row>
    <row r="335" spans="1:6">
      <c r="A335">
        <v>400</v>
      </c>
      <c r="B335">
        <v>222.33</v>
      </c>
      <c r="C335">
        <v>1</v>
      </c>
      <c r="D335">
        <v>110.8</v>
      </c>
      <c r="E335" s="29">
        <v>45326</v>
      </c>
      <c r="F335" t="s">
        <v>424</v>
      </c>
    </row>
    <row r="336" spans="1:6">
      <c r="A336">
        <v>415</v>
      </c>
      <c r="B336">
        <v>230.38</v>
      </c>
      <c r="C336">
        <v>1</v>
      </c>
      <c r="D336">
        <v>110.8</v>
      </c>
      <c r="E336" s="29">
        <v>45326</v>
      </c>
      <c r="F336" t="s">
        <v>425</v>
      </c>
    </row>
    <row r="337" spans="1:10">
      <c r="A337">
        <v>421</v>
      </c>
      <c r="B337">
        <v>233.77</v>
      </c>
      <c r="C337">
        <v>1</v>
      </c>
      <c r="D337">
        <v>110.8</v>
      </c>
      <c r="E337" s="29">
        <v>45326</v>
      </c>
      <c r="F337" t="s">
        <v>426</v>
      </c>
    </row>
    <row r="338" spans="1:10">
      <c r="A338">
        <v>464</v>
      </c>
      <c r="B338">
        <v>257.89999999999998</v>
      </c>
      <c r="C338">
        <v>1</v>
      </c>
      <c r="D338">
        <v>110.8</v>
      </c>
      <c r="E338" s="29">
        <v>45326</v>
      </c>
      <c r="F338" t="s">
        <v>427</v>
      </c>
    </row>
    <row r="339" spans="1:10">
      <c r="A339">
        <v>445</v>
      </c>
      <c r="B339">
        <v>247.23</v>
      </c>
      <c r="C339">
        <v>1</v>
      </c>
      <c r="D339">
        <v>110.8</v>
      </c>
      <c r="E339" s="29">
        <v>45326</v>
      </c>
      <c r="F339" t="s">
        <v>428</v>
      </c>
    </row>
    <row r="340" spans="1:10">
      <c r="A340">
        <v>431</v>
      </c>
      <c r="B340">
        <v>239.37</v>
      </c>
      <c r="C340">
        <v>1</v>
      </c>
      <c r="D340">
        <v>110.8</v>
      </c>
      <c r="E340" s="29">
        <v>45326</v>
      </c>
      <c r="F340" t="s">
        <v>429</v>
      </c>
    </row>
    <row r="341" spans="1:10">
      <c r="A341">
        <v>480</v>
      </c>
      <c r="B341">
        <v>266.77</v>
      </c>
      <c r="C341">
        <v>1</v>
      </c>
      <c r="D341">
        <v>110.8</v>
      </c>
      <c r="E341" s="29">
        <v>45326</v>
      </c>
      <c r="F341" t="s">
        <v>430</v>
      </c>
    </row>
    <row r="342" spans="1:10">
      <c r="A342">
        <v>498</v>
      </c>
      <c r="B342">
        <v>276.58999999999997</v>
      </c>
      <c r="C342">
        <v>1</v>
      </c>
      <c r="D342">
        <v>110.8</v>
      </c>
      <c r="E342" s="29">
        <v>45326</v>
      </c>
      <c r="F342" t="s">
        <v>431</v>
      </c>
    </row>
    <row r="343" spans="1:10">
      <c r="A343">
        <v>487</v>
      </c>
      <c r="B343">
        <v>270.73</v>
      </c>
      <c r="C343">
        <v>1</v>
      </c>
      <c r="D343">
        <v>110.8</v>
      </c>
      <c r="E343" s="29">
        <v>45326</v>
      </c>
      <c r="F343" t="s">
        <v>432</v>
      </c>
    </row>
    <row r="344" spans="1:10">
      <c r="A344">
        <v>440</v>
      </c>
      <c r="B344">
        <v>244.7</v>
      </c>
      <c r="C344">
        <v>1</v>
      </c>
      <c r="D344">
        <v>110.8</v>
      </c>
      <c r="E344" s="29">
        <v>45326</v>
      </c>
      <c r="F344" t="s">
        <v>433</v>
      </c>
    </row>
    <row r="346" spans="1:10">
      <c r="A346" s="49" t="s">
        <v>186</v>
      </c>
      <c r="B346" s="49" t="s">
        <v>434</v>
      </c>
      <c r="C346" s="49" t="s">
        <v>435</v>
      </c>
      <c r="D346" s="49"/>
      <c r="E346" s="49"/>
      <c r="F346" s="49"/>
      <c r="G346" s="49"/>
      <c r="H346" s="49"/>
      <c r="I346" s="49"/>
      <c r="J346" s="49"/>
    </row>
    <row r="347" spans="1:10">
      <c r="A347" s="49" t="s">
        <v>188</v>
      </c>
      <c r="B347" s="49"/>
      <c r="C347" s="49"/>
      <c r="D347" s="49"/>
      <c r="E347" s="49"/>
      <c r="F347" s="49"/>
      <c r="G347" s="49"/>
      <c r="H347" s="49"/>
      <c r="I347" s="49"/>
      <c r="J347" s="49"/>
    </row>
    <row r="348" spans="1:10">
      <c r="A348" s="49" t="s">
        <v>189</v>
      </c>
      <c r="B348" s="49" t="s">
        <v>100</v>
      </c>
      <c r="C348" s="49" t="s">
        <v>102</v>
      </c>
      <c r="D348" s="49" t="s">
        <v>101</v>
      </c>
      <c r="E348" s="49" t="s">
        <v>190</v>
      </c>
      <c r="F348" s="49" t="s">
        <v>191</v>
      </c>
      <c r="G348" s="49"/>
      <c r="H348" s="49"/>
      <c r="I348" s="49"/>
      <c r="J348" s="49"/>
    </row>
    <row r="349" spans="1:10">
      <c r="A349" s="49">
        <v>3</v>
      </c>
      <c r="B349" s="49">
        <v>1.0059999999999999E-2</v>
      </c>
      <c r="C349" s="49">
        <v>1.256E-2</v>
      </c>
      <c r="D349" s="49">
        <v>8.3400000000000002E-3</v>
      </c>
      <c r="E349" s="49" t="s">
        <v>255</v>
      </c>
      <c r="F349" s="49" t="s">
        <v>256</v>
      </c>
      <c r="G349" s="49"/>
      <c r="H349" s="49"/>
      <c r="I349" s="49"/>
      <c r="J349" s="49"/>
    </row>
    <row r="350" spans="1:10">
      <c r="A350" s="49">
        <v>3</v>
      </c>
      <c r="B350" s="49">
        <v>406</v>
      </c>
      <c r="C350" s="49">
        <v>406</v>
      </c>
      <c r="D350" s="49">
        <v>405.9</v>
      </c>
      <c r="E350" s="49" t="s">
        <v>255</v>
      </c>
      <c r="F350" s="49" t="s">
        <v>257</v>
      </c>
      <c r="G350" s="49"/>
      <c r="H350" s="49"/>
      <c r="I350" s="49"/>
      <c r="J350" s="49"/>
    </row>
    <row r="351" spans="1:10">
      <c r="A351" s="49">
        <v>3</v>
      </c>
      <c r="B351" s="49">
        <v>416</v>
      </c>
      <c r="C351" s="49">
        <v>467</v>
      </c>
      <c r="D351" s="49">
        <v>380</v>
      </c>
      <c r="E351" s="49" t="s">
        <v>192</v>
      </c>
      <c r="F351" s="49" t="s">
        <v>193</v>
      </c>
      <c r="G351" s="49"/>
      <c r="H351" s="49"/>
      <c r="I351" s="49"/>
      <c r="J351" s="49"/>
    </row>
    <row r="352" spans="1:10">
      <c r="A352" s="49">
        <v>3</v>
      </c>
      <c r="B352" s="49">
        <v>230.94</v>
      </c>
      <c r="C352" s="49">
        <v>259.20999999999998</v>
      </c>
      <c r="D352" s="49">
        <v>211.27</v>
      </c>
      <c r="E352" s="49" t="s">
        <v>95</v>
      </c>
      <c r="F352" s="49" t="s">
        <v>382</v>
      </c>
      <c r="G352" s="49"/>
      <c r="H352" s="49"/>
      <c r="I352" s="49"/>
      <c r="J352" s="49"/>
    </row>
    <row r="353" spans="1:10">
      <c r="A353" s="49" t="s">
        <v>195</v>
      </c>
      <c r="B353" s="49"/>
      <c r="C353" s="49"/>
      <c r="D353" s="49"/>
      <c r="E353" s="49"/>
      <c r="F353" s="49"/>
      <c r="G353" s="49"/>
      <c r="H353" s="49"/>
      <c r="I353" s="49"/>
      <c r="J353" s="49"/>
    </row>
    <row r="354" spans="1:10">
      <c r="A354" s="49" t="s">
        <v>256</v>
      </c>
      <c r="B354" s="49" t="s">
        <v>257</v>
      </c>
      <c r="C354" s="49" t="s">
        <v>196</v>
      </c>
      <c r="D354" s="49" t="s">
        <v>197</v>
      </c>
      <c r="E354" s="49" t="s">
        <v>198</v>
      </c>
      <c r="F354" s="49" t="s">
        <v>199</v>
      </c>
      <c r="G354" s="49" t="s">
        <v>200</v>
      </c>
      <c r="H354" s="49" t="s">
        <v>201</v>
      </c>
      <c r="I354" s="49"/>
      <c r="J354" s="49"/>
    </row>
    <row r="355" spans="1:10">
      <c r="A355" s="49">
        <v>8.3400000000000002E-3</v>
      </c>
      <c r="B355" s="49">
        <v>406</v>
      </c>
      <c r="C355" s="49">
        <v>380</v>
      </c>
      <c r="D355" s="49">
        <v>211.27</v>
      </c>
      <c r="E355" s="49">
        <v>1</v>
      </c>
      <c r="F355" s="49">
        <v>110.8</v>
      </c>
      <c r="G355" s="50">
        <v>45326</v>
      </c>
      <c r="H355" s="49" t="s">
        <v>436</v>
      </c>
      <c r="I355" s="49"/>
      <c r="J355" s="49"/>
    </row>
    <row r="356" spans="1:10">
      <c r="A356" s="49">
        <v>9.2700000000000005E-3</v>
      </c>
      <c r="B356" s="49">
        <v>406</v>
      </c>
      <c r="C356" s="49">
        <v>400</v>
      </c>
      <c r="D356" s="49">
        <v>222.35</v>
      </c>
      <c r="E356" s="49">
        <v>1</v>
      </c>
      <c r="F356" s="49">
        <v>110.8</v>
      </c>
      <c r="G356" s="50">
        <v>45326</v>
      </c>
      <c r="H356" s="49" t="s">
        <v>437</v>
      </c>
      <c r="I356" s="49"/>
      <c r="J356" s="49"/>
    </row>
    <row r="357" spans="1:10">
      <c r="A357" s="49">
        <v>1.256E-2</v>
      </c>
      <c r="B357" s="49">
        <v>405.9</v>
      </c>
      <c r="C357" s="49">
        <v>467</v>
      </c>
      <c r="D357" s="49">
        <v>259.20999999999998</v>
      </c>
      <c r="E357" s="49">
        <v>1</v>
      </c>
      <c r="F357" s="49">
        <v>110.8</v>
      </c>
      <c r="G357" s="50">
        <v>45326</v>
      </c>
      <c r="H357" s="49" t="s">
        <v>438</v>
      </c>
      <c r="I357" s="49"/>
      <c r="J357" s="49"/>
    </row>
    <row r="358" spans="1:10">
      <c r="A358" s="49"/>
      <c r="B358" s="49"/>
      <c r="C358" s="49"/>
      <c r="D358" s="49"/>
      <c r="E358" s="49"/>
      <c r="F358" s="49"/>
      <c r="G358" s="49"/>
      <c r="H358" s="49"/>
      <c r="I358" s="49"/>
      <c r="J358" s="49"/>
    </row>
    <row r="359" spans="1:10">
      <c r="A359" s="49" t="s">
        <v>186</v>
      </c>
      <c r="B359" s="49" t="s">
        <v>439</v>
      </c>
      <c r="C359" s="49" t="s">
        <v>440</v>
      </c>
      <c r="D359" s="49"/>
      <c r="E359" s="49"/>
      <c r="F359" s="49"/>
      <c r="G359" s="49"/>
      <c r="H359" s="49"/>
      <c r="I359" s="49"/>
      <c r="J359" s="49"/>
    </row>
    <row r="360" spans="1:10">
      <c r="A360" s="49" t="s">
        <v>188</v>
      </c>
      <c r="B360" s="49"/>
      <c r="C360" s="49"/>
      <c r="D360" s="49"/>
      <c r="E360" s="49"/>
      <c r="F360" s="49"/>
      <c r="G360" s="49"/>
      <c r="H360" s="49"/>
      <c r="I360" s="49"/>
      <c r="J360" s="49"/>
    </row>
    <row r="361" spans="1:10">
      <c r="A361" s="49" t="s">
        <v>189</v>
      </c>
      <c r="B361" s="49" t="s">
        <v>100</v>
      </c>
      <c r="C361" s="49" t="s">
        <v>102</v>
      </c>
      <c r="D361" s="49" t="s">
        <v>101</v>
      </c>
      <c r="E361" s="49" t="s">
        <v>190</v>
      </c>
      <c r="F361" s="49" t="s">
        <v>191</v>
      </c>
      <c r="G361" s="49"/>
      <c r="H361" s="49"/>
      <c r="I361" s="49"/>
      <c r="J361" s="49"/>
    </row>
    <row r="362" spans="1:10">
      <c r="A362" s="49">
        <v>17</v>
      </c>
      <c r="B362" s="49">
        <v>-215</v>
      </c>
      <c r="C362" s="49">
        <v>0</v>
      </c>
      <c r="D362" s="49">
        <v>-775</v>
      </c>
      <c r="E362" s="49" t="s">
        <v>192</v>
      </c>
      <c r="F362" s="49" t="s">
        <v>193</v>
      </c>
      <c r="G362" s="49"/>
      <c r="H362" s="49"/>
      <c r="I362" s="49"/>
      <c r="J362" s="49"/>
    </row>
    <row r="363" spans="1:10">
      <c r="A363" s="49">
        <v>17</v>
      </c>
      <c r="B363" s="49">
        <v>-119.44</v>
      </c>
      <c r="C363" s="49">
        <v>0</v>
      </c>
      <c r="D363" s="49">
        <v>-430.31</v>
      </c>
      <c r="E363" s="49" t="s">
        <v>95</v>
      </c>
      <c r="F363" s="49" t="s">
        <v>382</v>
      </c>
      <c r="G363" s="49"/>
      <c r="H363" s="49"/>
      <c r="I363" s="49"/>
      <c r="J363" s="49"/>
    </row>
    <row r="364" spans="1:10">
      <c r="A364" s="49" t="s">
        <v>195</v>
      </c>
      <c r="B364" s="49"/>
      <c r="C364" s="49"/>
      <c r="D364" s="49"/>
      <c r="E364" s="49"/>
      <c r="F364" s="49"/>
      <c r="G364" s="49"/>
      <c r="H364" s="49"/>
      <c r="I364" s="49"/>
      <c r="J364" s="49"/>
    </row>
    <row r="365" spans="1:10">
      <c r="A365" s="49" t="s">
        <v>196</v>
      </c>
      <c r="B365" s="49" t="s">
        <v>197</v>
      </c>
      <c r="C365" s="49" t="s">
        <v>198</v>
      </c>
      <c r="D365" s="49" t="s">
        <v>199</v>
      </c>
      <c r="E365" s="49" t="s">
        <v>200</v>
      </c>
      <c r="F365" s="49" t="s">
        <v>201</v>
      </c>
      <c r="G365" s="49"/>
      <c r="H365" s="49"/>
      <c r="I365" s="49"/>
      <c r="J365" s="49"/>
    </row>
    <row r="366" spans="1:10">
      <c r="A366" s="49">
        <v>-681</v>
      </c>
      <c r="B366" s="49">
        <v>-378.09</v>
      </c>
      <c r="C366" s="49">
        <v>1</v>
      </c>
      <c r="D366" s="49">
        <v>105</v>
      </c>
      <c r="E366" s="50">
        <v>45326</v>
      </c>
      <c r="F366" s="49" t="s">
        <v>441</v>
      </c>
      <c r="G366" s="49"/>
      <c r="H366" s="49"/>
      <c r="I366" s="49"/>
      <c r="J366" s="49"/>
    </row>
    <row r="367" spans="1:10">
      <c r="A367" s="49">
        <v>-696</v>
      </c>
      <c r="B367" s="49">
        <v>-386.77</v>
      </c>
      <c r="C367" s="49">
        <v>1</v>
      </c>
      <c r="D367" s="49">
        <v>105</v>
      </c>
      <c r="E367" s="50">
        <v>45326</v>
      </c>
      <c r="F367" s="49" t="s">
        <v>442</v>
      </c>
      <c r="G367" s="49"/>
      <c r="H367" s="49"/>
      <c r="I367" s="49"/>
      <c r="J367" s="49"/>
    </row>
    <row r="368" spans="1:10">
      <c r="A368" s="49">
        <v>-700</v>
      </c>
      <c r="B368" s="49">
        <v>-388.93</v>
      </c>
      <c r="C368" s="49">
        <v>1</v>
      </c>
      <c r="D368" s="49">
        <v>105</v>
      </c>
      <c r="E368" s="50">
        <v>45326</v>
      </c>
      <c r="F368" s="49" t="s">
        <v>443</v>
      </c>
      <c r="G368" s="49"/>
      <c r="H368" s="49"/>
      <c r="I368" s="49"/>
      <c r="J368" s="49"/>
    </row>
    <row r="369" spans="1:10">
      <c r="A369" s="49">
        <v>-696</v>
      </c>
      <c r="B369" s="49">
        <v>-386.46</v>
      </c>
      <c r="C369" s="49">
        <v>1</v>
      </c>
      <c r="D369" s="49">
        <v>105</v>
      </c>
      <c r="E369" s="50">
        <v>45326</v>
      </c>
      <c r="F369" s="49" t="s">
        <v>444</v>
      </c>
      <c r="G369" s="49"/>
      <c r="H369" s="49"/>
      <c r="I369" s="49"/>
      <c r="J369" s="49"/>
    </row>
    <row r="370" spans="1:10">
      <c r="A370" s="49">
        <v>-775</v>
      </c>
      <c r="B370" s="49">
        <v>-430.31</v>
      </c>
      <c r="C370" s="49">
        <v>1</v>
      </c>
      <c r="D370" s="49">
        <v>105</v>
      </c>
      <c r="E370" s="50">
        <v>45326</v>
      </c>
      <c r="F370" s="49" t="s">
        <v>445</v>
      </c>
      <c r="G370" s="49"/>
      <c r="H370" s="49"/>
      <c r="I370" s="49"/>
      <c r="J370" s="49"/>
    </row>
    <row r="371" spans="1:10">
      <c r="A371" s="49">
        <v>-26</v>
      </c>
      <c r="B371" s="49">
        <v>-14.71</v>
      </c>
      <c r="C371" s="49">
        <v>1</v>
      </c>
      <c r="D371" s="49">
        <v>105</v>
      </c>
      <c r="E371" s="50">
        <v>45326</v>
      </c>
      <c r="F371" s="49" t="s">
        <v>446</v>
      </c>
      <c r="G371" s="49"/>
      <c r="H371" s="49"/>
      <c r="I371" s="49"/>
      <c r="J371" s="49"/>
    </row>
    <row r="372" spans="1:10">
      <c r="A372" s="49">
        <v>-19</v>
      </c>
      <c r="B372" s="49">
        <v>-10.51</v>
      </c>
      <c r="C372" s="49">
        <v>1</v>
      </c>
      <c r="D372" s="49">
        <v>105</v>
      </c>
      <c r="E372" s="50">
        <v>45326</v>
      </c>
      <c r="F372" s="49" t="s">
        <v>447</v>
      </c>
      <c r="G372" s="49"/>
      <c r="H372" s="49"/>
      <c r="I372" s="49"/>
      <c r="J372" s="49"/>
    </row>
    <row r="373" spans="1:10">
      <c r="A373" s="49">
        <v>0</v>
      </c>
      <c r="B373" s="49">
        <v>0</v>
      </c>
      <c r="C373" s="49">
        <v>1</v>
      </c>
      <c r="D373" s="49">
        <v>105</v>
      </c>
      <c r="E373" s="50">
        <v>45326</v>
      </c>
      <c r="F373" s="49" t="s">
        <v>448</v>
      </c>
      <c r="G373" s="49"/>
      <c r="H373" s="49"/>
      <c r="I373" s="49"/>
      <c r="J373" s="49"/>
    </row>
    <row r="374" spans="1:10">
      <c r="A374" s="49">
        <v>0</v>
      </c>
      <c r="B374" s="49">
        <v>0</v>
      </c>
      <c r="C374" s="49">
        <v>1</v>
      </c>
      <c r="D374" s="49">
        <v>105</v>
      </c>
      <c r="E374" s="50">
        <v>45326</v>
      </c>
      <c r="F374" s="49" t="s">
        <v>449</v>
      </c>
      <c r="G374" s="49"/>
      <c r="H374" s="49"/>
      <c r="I374" s="49"/>
      <c r="J374" s="49"/>
    </row>
    <row r="375" spans="1:10">
      <c r="A375" s="49">
        <v>0</v>
      </c>
      <c r="B375" s="49">
        <v>0</v>
      </c>
      <c r="C375" s="49">
        <v>1</v>
      </c>
      <c r="D375" s="49">
        <v>105</v>
      </c>
      <c r="E375" s="50">
        <v>45326</v>
      </c>
      <c r="F375" s="49" t="s">
        <v>450</v>
      </c>
      <c r="G375" s="49"/>
      <c r="H375" s="49"/>
      <c r="I375" s="49"/>
      <c r="J375" s="49"/>
    </row>
    <row r="376" spans="1:10">
      <c r="A376" s="49">
        <v>-20</v>
      </c>
      <c r="B376" s="49">
        <v>-11</v>
      </c>
      <c r="C376" s="49">
        <v>1</v>
      </c>
      <c r="D376" s="49">
        <v>105</v>
      </c>
      <c r="E376" s="50">
        <v>45326</v>
      </c>
      <c r="F376" s="49" t="s">
        <v>451</v>
      </c>
      <c r="G376" s="49"/>
      <c r="H376" s="49"/>
      <c r="I376" s="49"/>
      <c r="J376" s="49"/>
    </row>
    <row r="377" spans="1:10">
      <c r="A377" s="49">
        <v>-18</v>
      </c>
      <c r="B377" s="49">
        <v>-10.029999999999999</v>
      </c>
      <c r="C377" s="49">
        <v>1</v>
      </c>
      <c r="D377" s="49">
        <v>105</v>
      </c>
      <c r="E377" s="50">
        <v>45326</v>
      </c>
      <c r="F377" s="49" t="s">
        <v>452</v>
      </c>
      <c r="G377" s="49"/>
      <c r="H377" s="49"/>
      <c r="I377" s="49"/>
      <c r="J377" s="49"/>
    </row>
    <row r="378" spans="1:10">
      <c r="A378" s="49">
        <v>-8</v>
      </c>
      <c r="B378" s="49">
        <v>-4.51</v>
      </c>
      <c r="C378" s="49">
        <v>1</v>
      </c>
      <c r="D378" s="49">
        <v>105</v>
      </c>
      <c r="E378" s="50">
        <v>45326</v>
      </c>
      <c r="F378" s="49" t="s">
        <v>453</v>
      </c>
      <c r="G378" s="49"/>
      <c r="H378" s="49"/>
      <c r="I378" s="49"/>
      <c r="J378" s="49"/>
    </row>
    <row r="379" spans="1:10">
      <c r="A379" s="49">
        <v>0</v>
      </c>
      <c r="B379" s="49">
        <v>0</v>
      </c>
      <c r="C379" s="49">
        <v>1</v>
      </c>
      <c r="D379" s="49">
        <v>105</v>
      </c>
      <c r="E379" s="50">
        <v>45326</v>
      </c>
      <c r="F379" s="49" t="s">
        <v>454</v>
      </c>
      <c r="G379" s="49"/>
      <c r="H379" s="49"/>
      <c r="I379" s="49"/>
      <c r="J379" s="49"/>
    </row>
    <row r="380" spans="1:10">
      <c r="A380" s="49">
        <v>0</v>
      </c>
      <c r="B380" s="49">
        <v>0</v>
      </c>
      <c r="C380" s="49">
        <v>1</v>
      </c>
      <c r="D380" s="49">
        <v>105</v>
      </c>
      <c r="E380" s="50">
        <v>45326</v>
      </c>
      <c r="F380" s="49" t="s">
        <v>455</v>
      </c>
      <c r="G380" s="49"/>
      <c r="H380" s="49"/>
      <c r="I380" s="49"/>
      <c r="J380" s="49"/>
    </row>
    <row r="381" spans="1:10">
      <c r="A381" s="49">
        <v>-16</v>
      </c>
      <c r="B381" s="49">
        <v>-9.1</v>
      </c>
      <c r="C381" s="49">
        <v>1</v>
      </c>
      <c r="D381" s="49">
        <v>105</v>
      </c>
      <c r="E381" s="50">
        <v>45326</v>
      </c>
      <c r="F381" s="49" t="s">
        <v>456</v>
      </c>
      <c r="G381" s="49"/>
      <c r="H381" s="49"/>
      <c r="I381" s="49"/>
      <c r="J381" s="49"/>
    </row>
    <row r="382" spans="1:10">
      <c r="A382" s="49">
        <v>0</v>
      </c>
      <c r="B382" s="49">
        <v>0</v>
      </c>
      <c r="C382" s="49">
        <v>1</v>
      </c>
      <c r="D382" s="49">
        <v>105</v>
      </c>
      <c r="E382" s="50">
        <v>45326</v>
      </c>
      <c r="F382" s="49" t="s">
        <v>457</v>
      </c>
      <c r="G382" s="49"/>
      <c r="H382" s="49"/>
      <c r="I382" s="49"/>
      <c r="J382" s="49"/>
    </row>
    <row r="384" spans="1:10">
      <c r="A384" s="49" t="s">
        <v>186</v>
      </c>
      <c r="B384" s="49" t="s">
        <v>458</v>
      </c>
      <c r="C384" s="49" t="s">
        <v>440</v>
      </c>
      <c r="D384" s="49"/>
      <c r="E384" s="49"/>
      <c r="F384" s="49"/>
      <c r="G384" s="49"/>
      <c r="H384" s="49"/>
      <c r="I384" s="49"/>
      <c r="J384" s="49"/>
    </row>
    <row r="385" spans="1:10">
      <c r="A385" s="49" t="s">
        <v>188</v>
      </c>
      <c r="B385" s="49"/>
      <c r="C385" s="49"/>
      <c r="D385" s="49"/>
      <c r="E385" s="49"/>
      <c r="F385" s="49"/>
      <c r="G385" s="49"/>
      <c r="H385" s="49"/>
      <c r="I385" s="49"/>
      <c r="J385" s="49"/>
    </row>
    <row r="386" spans="1:10">
      <c r="A386" s="49" t="s">
        <v>189</v>
      </c>
      <c r="B386" s="49" t="s">
        <v>100</v>
      </c>
      <c r="C386" s="49" t="s">
        <v>102</v>
      </c>
      <c r="D386" s="49" t="s">
        <v>101</v>
      </c>
      <c r="E386" s="49" t="s">
        <v>190</v>
      </c>
      <c r="F386" s="49" t="s">
        <v>191</v>
      </c>
      <c r="G386" s="49"/>
      <c r="H386" s="49"/>
      <c r="I386" s="49"/>
      <c r="J386" s="49"/>
    </row>
    <row r="387" spans="1:10">
      <c r="A387" s="49">
        <v>2</v>
      </c>
      <c r="B387" s="49">
        <v>-711</v>
      </c>
      <c r="C387" s="49">
        <v>-711</v>
      </c>
      <c r="D387" s="49">
        <v>-712</v>
      </c>
      <c r="E387" s="49" t="s">
        <v>192</v>
      </c>
      <c r="F387" s="49" t="s">
        <v>193</v>
      </c>
      <c r="G387" s="49"/>
      <c r="H387" s="49"/>
      <c r="I387" s="49"/>
      <c r="J387" s="49"/>
    </row>
    <row r="388" spans="1:10">
      <c r="A388" s="49">
        <v>2</v>
      </c>
      <c r="B388" s="49">
        <v>-395.28</v>
      </c>
      <c r="C388" s="49">
        <v>-394.89</v>
      </c>
      <c r="D388" s="49">
        <v>-395.66</v>
      </c>
      <c r="E388" s="49" t="s">
        <v>95</v>
      </c>
      <c r="F388" s="49" t="s">
        <v>382</v>
      </c>
      <c r="G388" s="49"/>
      <c r="H388" s="49"/>
      <c r="I388" s="49"/>
      <c r="J388" s="49"/>
    </row>
    <row r="389" spans="1:10">
      <c r="A389" s="49" t="s">
        <v>195</v>
      </c>
      <c r="B389" s="49"/>
      <c r="C389" s="49"/>
      <c r="D389" s="49"/>
      <c r="E389" s="49"/>
      <c r="F389" s="49"/>
      <c r="G389" s="49"/>
      <c r="H389" s="49"/>
      <c r="I389" s="49"/>
      <c r="J389" s="49"/>
    </row>
    <row r="390" spans="1:10">
      <c r="A390" s="49" t="s">
        <v>196</v>
      </c>
      <c r="B390" s="49" t="s">
        <v>197</v>
      </c>
      <c r="C390" s="49" t="s">
        <v>198</v>
      </c>
      <c r="D390" s="49" t="s">
        <v>199</v>
      </c>
      <c r="E390" s="49" t="s">
        <v>200</v>
      </c>
      <c r="F390" s="49" t="s">
        <v>201</v>
      </c>
      <c r="G390" s="49"/>
      <c r="H390" s="49"/>
      <c r="I390" s="49"/>
      <c r="J390" s="49"/>
    </row>
    <row r="391" spans="1:10">
      <c r="A391" s="49">
        <v>-712</v>
      </c>
      <c r="B391" s="49">
        <v>-395.66</v>
      </c>
      <c r="C391" s="49">
        <v>1</v>
      </c>
      <c r="D391" s="49">
        <v>106</v>
      </c>
      <c r="E391" s="50">
        <v>45326</v>
      </c>
      <c r="F391" s="49" t="s">
        <v>459</v>
      </c>
      <c r="G391" s="49"/>
      <c r="H391" s="49"/>
      <c r="I391" s="49"/>
      <c r="J391" s="49"/>
    </row>
    <row r="392" spans="1:10">
      <c r="A392" s="49">
        <v>-711</v>
      </c>
      <c r="B392" s="49">
        <v>-394.89</v>
      </c>
      <c r="C392" s="49">
        <v>1</v>
      </c>
      <c r="D392" s="49">
        <v>106</v>
      </c>
      <c r="E392" s="50">
        <v>45326</v>
      </c>
      <c r="F392" s="49" t="s">
        <v>460</v>
      </c>
      <c r="G392" s="49"/>
      <c r="H392" s="49"/>
      <c r="I392" s="49"/>
      <c r="J392" s="49"/>
    </row>
    <row r="394" spans="1:10">
      <c r="A394" t="s">
        <v>186</v>
      </c>
      <c r="B394" t="s">
        <v>461</v>
      </c>
      <c r="C394" t="s">
        <v>381</v>
      </c>
    </row>
    <row r="395" spans="1:10">
      <c r="A395" t="s">
        <v>188</v>
      </c>
    </row>
    <row r="396" spans="1:10">
      <c r="A396" t="s">
        <v>189</v>
      </c>
      <c r="B396" t="s">
        <v>100</v>
      </c>
      <c r="C396" t="s">
        <v>102</v>
      </c>
      <c r="D396" t="s">
        <v>101</v>
      </c>
      <c r="E396" t="s">
        <v>190</v>
      </c>
      <c r="F396" t="s">
        <v>191</v>
      </c>
    </row>
    <row r="397" spans="1:10">
      <c r="A397">
        <v>25</v>
      </c>
      <c r="B397">
        <v>423</v>
      </c>
      <c r="C397">
        <v>477</v>
      </c>
      <c r="D397">
        <v>327</v>
      </c>
      <c r="E397" t="s">
        <v>192</v>
      </c>
      <c r="F397" t="s">
        <v>193</v>
      </c>
    </row>
    <row r="398" spans="1:10">
      <c r="A398">
        <v>25</v>
      </c>
      <c r="B398">
        <v>234.82</v>
      </c>
      <c r="C398">
        <v>264.91000000000003</v>
      </c>
      <c r="D398">
        <v>181.52</v>
      </c>
      <c r="E398" t="s">
        <v>95</v>
      </c>
      <c r="F398" t="s">
        <v>382</v>
      </c>
    </row>
    <row r="399" spans="1:10">
      <c r="A399" t="s">
        <v>195</v>
      </c>
    </row>
    <row r="400" spans="1:10">
      <c r="A400" t="s">
        <v>196</v>
      </c>
      <c r="B400" t="s">
        <v>197</v>
      </c>
      <c r="C400" t="s">
        <v>198</v>
      </c>
      <c r="D400" t="s">
        <v>199</v>
      </c>
      <c r="E400" t="s">
        <v>200</v>
      </c>
      <c r="F400" t="s">
        <v>201</v>
      </c>
    </row>
    <row r="401" spans="1:6">
      <c r="A401">
        <v>327</v>
      </c>
      <c r="B401">
        <v>181.52</v>
      </c>
      <c r="C401">
        <v>1</v>
      </c>
      <c r="D401">
        <v>106</v>
      </c>
      <c r="E401" s="29">
        <v>45326</v>
      </c>
      <c r="F401" t="s">
        <v>462</v>
      </c>
    </row>
    <row r="402" spans="1:6">
      <c r="A402">
        <v>434</v>
      </c>
      <c r="B402">
        <v>241.21</v>
      </c>
      <c r="C402">
        <v>1</v>
      </c>
      <c r="D402">
        <v>106</v>
      </c>
      <c r="E402" s="29">
        <v>45326</v>
      </c>
      <c r="F402" t="s">
        <v>463</v>
      </c>
    </row>
    <row r="403" spans="1:6">
      <c r="A403">
        <v>477</v>
      </c>
      <c r="B403">
        <v>264.91000000000003</v>
      </c>
      <c r="C403">
        <v>1</v>
      </c>
      <c r="D403">
        <v>106</v>
      </c>
      <c r="E403" s="29">
        <v>45326</v>
      </c>
      <c r="F403" t="s">
        <v>464</v>
      </c>
    </row>
    <row r="404" spans="1:6">
      <c r="A404">
        <v>426</v>
      </c>
      <c r="B404">
        <v>236.52</v>
      </c>
      <c r="C404">
        <v>1</v>
      </c>
      <c r="D404">
        <v>106</v>
      </c>
      <c r="E404" s="29">
        <v>45326</v>
      </c>
      <c r="F404" t="s">
        <v>465</v>
      </c>
    </row>
    <row r="405" spans="1:6">
      <c r="A405">
        <v>425</v>
      </c>
      <c r="B405">
        <v>236.06</v>
      </c>
      <c r="C405">
        <v>1</v>
      </c>
      <c r="D405">
        <v>106</v>
      </c>
      <c r="E405" s="29">
        <v>45326</v>
      </c>
      <c r="F405" t="s">
        <v>466</v>
      </c>
    </row>
    <row r="406" spans="1:6">
      <c r="A406">
        <v>329</v>
      </c>
      <c r="B406">
        <v>183.03</v>
      </c>
      <c r="C406">
        <v>1</v>
      </c>
      <c r="D406">
        <v>106</v>
      </c>
      <c r="E406" s="29">
        <v>45326</v>
      </c>
      <c r="F406" t="s">
        <v>467</v>
      </c>
    </row>
    <row r="407" spans="1:6">
      <c r="A407">
        <v>402</v>
      </c>
      <c r="B407">
        <v>223.22</v>
      </c>
      <c r="C407">
        <v>1</v>
      </c>
      <c r="D407">
        <v>106</v>
      </c>
      <c r="E407" s="29">
        <v>45326</v>
      </c>
      <c r="F407" t="s">
        <v>468</v>
      </c>
    </row>
    <row r="408" spans="1:6">
      <c r="A408">
        <v>419</v>
      </c>
      <c r="B408">
        <v>232.77</v>
      </c>
      <c r="C408">
        <v>1</v>
      </c>
      <c r="D408">
        <v>106</v>
      </c>
      <c r="E408" s="29">
        <v>45326</v>
      </c>
      <c r="F408" t="s">
        <v>469</v>
      </c>
    </row>
    <row r="409" spans="1:6">
      <c r="A409">
        <v>430</v>
      </c>
      <c r="B409">
        <v>238.88</v>
      </c>
      <c r="C409">
        <v>1</v>
      </c>
      <c r="D409">
        <v>106</v>
      </c>
      <c r="E409" s="29">
        <v>45326</v>
      </c>
      <c r="F409" t="s">
        <v>470</v>
      </c>
    </row>
    <row r="410" spans="1:6">
      <c r="A410">
        <v>467</v>
      </c>
      <c r="B410">
        <v>259.33999999999997</v>
      </c>
      <c r="C410">
        <v>1</v>
      </c>
      <c r="D410">
        <v>106</v>
      </c>
      <c r="E410" s="29">
        <v>45326</v>
      </c>
      <c r="F410" t="s">
        <v>471</v>
      </c>
    </row>
    <row r="411" spans="1:6">
      <c r="A411">
        <v>419</v>
      </c>
      <c r="B411">
        <v>232.51</v>
      </c>
      <c r="C411">
        <v>1</v>
      </c>
      <c r="D411">
        <v>106</v>
      </c>
      <c r="E411" s="29">
        <v>45326</v>
      </c>
      <c r="F411" t="s">
        <v>472</v>
      </c>
    </row>
    <row r="412" spans="1:6">
      <c r="A412">
        <v>420</v>
      </c>
      <c r="B412">
        <v>233.36</v>
      </c>
      <c r="C412">
        <v>1</v>
      </c>
      <c r="D412">
        <v>106</v>
      </c>
      <c r="E412" s="29">
        <v>45326</v>
      </c>
      <c r="F412" t="s">
        <v>473</v>
      </c>
    </row>
    <row r="413" spans="1:6">
      <c r="A413">
        <v>413</v>
      </c>
      <c r="B413">
        <v>229.41</v>
      </c>
      <c r="C413">
        <v>1</v>
      </c>
      <c r="D413">
        <v>106</v>
      </c>
      <c r="E413" s="29">
        <v>45326</v>
      </c>
      <c r="F413" t="s">
        <v>474</v>
      </c>
    </row>
    <row r="414" spans="1:6">
      <c r="A414">
        <v>419</v>
      </c>
      <c r="B414">
        <v>232.62</v>
      </c>
      <c r="C414">
        <v>1</v>
      </c>
      <c r="D414">
        <v>106</v>
      </c>
      <c r="E414" s="29">
        <v>45326</v>
      </c>
      <c r="F414" t="s">
        <v>475</v>
      </c>
    </row>
    <row r="415" spans="1:6">
      <c r="A415">
        <v>467</v>
      </c>
      <c r="B415">
        <v>259.27</v>
      </c>
      <c r="C415">
        <v>1</v>
      </c>
      <c r="D415">
        <v>106</v>
      </c>
      <c r="E415" s="29">
        <v>45326</v>
      </c>
      <c r="F415" t="s">
        <v>476</v>
      </c>
    </row>
    <row r="416" spans="1:6">
      <c r="A416">
        <v>373</v>
      </c>
      <c r="B416">
        <v>207.11</v>
      </c>
      <c r="C416">
        <v>1</v>
      </c>
      <c r="D416">
        <v>106</v>
      </c>
      <c r="E416" s="29">
        <v>45326</v>
      </c>
      <c r="F416" t="s">
        <v>477</v>
      </c>
    </row>
    <row r="417" spans="1:6">
      <c r="A417">
        <v>458</v>
      </c>
      <c r="B417">
        <v>254.27</v>
      </c>
      <c r="C417">
        <v>1</v>
      </c>
      <c r="D417">
        <v>106</v>
      </c>
      <c r="E417" s="29">
        <v>45326</v>
      </c>
      <c r="F417" t="s">
        <v>478</v>
      </c>
    </row>
    <row r="418" spans="1:6">
      <c r="A418">
        <v>425</v>
      </c>
      <c r="B418">
        <v>236.15</v>
      </c>
      <c r="C418">
        <v>1</v>
      </c>
      <c r="D418">
        <v>106</v>
      </c>
      <c r="E418" s="29">
        <v>45326</v>
      </c>
      <c r="F418" t="s">
        <v>479</v>
      </c>
    </row>
    <row r="419" spans="1:6">
      <c r="A419">
        <v>396</v>
      </c>
      <c r="B419">
        <v>219.85</v>
      </c>
      <c r="C419">
        <v>1</v>
      </c>
      <c r="D419">
        <v>106</v>
      </c>
      <c r="E419" s="29">
        <v>45326</v>
      </c>
      <c r="F419" t="s">
        <v>480</v>
      </c>
    </row>
    <row r="420" spans="1:6">
      <c r="A420">
        <v>452</v>
      </c>
      <c r="B420">
        <v>251.1</v>
      </c>
      <c r="C420">
        <v>1</v>
      </c>
      <c r="D420">
        <v>106</v>
      </c>
      <c r="E420" s="29">
        <v>45326</v>
      </c>
      <c r="F420" t="s">
        <v>481</v>
      </c>
    </row>
    <row r="421" spans="1:6">
      <c r="A421">
        <v>398</v>
      </c>
      <c r="B421">
        <v>220.84</v>
      </c>
      <c r="C421">
        <v>1</v>
      </c>
      <c r="D421">
        <v>106</v>
      </c>
      <c r="E421" s="29">
        <v>45326</v>
      </c>
      <c r="F421" t="s">
        <v>482</v>
      </c>
    </row>
    <row r="422" spans="1:6">
      <c r="A422">
        <v>432</v>
      </c>
      <c r="B422">
        <v>239.9</v>
      </c>
      <c r="C422">
        <v>1</v>
      </c>
      <c r="D422">
        <v>106</v>
      </c>
      <c r="E422" s="29">
        <v>45326</v>
      </c>
      <c r="F422" t="s">
        <v>483</v>
      </c>
    </row>
    <row r="423" spans="1:6">
      <c r="A423">
        <v>466</v>
      </c>
      <c r="B423">
        <v>258.77999999999997</v>
      </c>
      <c r="C423">
        <v>1</v>
      </c>
      <c r="D423">
        <v>106</v>
      </c>
      <c r="E423" s="29">
        <v>45326</v>
      </c>
      <c r="F423" t="s">
        <v>484</v>
      </c>
    </row>
    <row r="424" spans="1:6">
      <c r="A424">
        <v>456</v>
      </c>
      <c r="B424">
        <v>253.2</v>
      </c>
      <c r="C424">
        <v>1</v>
      </c>
      <c r="D424">
        <v>106</v>
      </c>
      <c r="E424" s="29">
        <v>45326</v>
      </c>
      <c r="F424" t="s">
        <v>485</v>
      </c>
    </row>
    <row r="425" spans="1:6">
      <c r="A425">
        <v>440</v>
      </c>
      <c r="B425">
        <v>244.67</v>
      </c>
      <c r="C425">
        <v>1</v>
      </c>
      <c r="D425">
        <v>106</v>
      </c>
      <c r="E425" s="29">
        <v>45326</v>
      </c>
      <c r="F425" t="s">
        <v>486</v>
      </c>
    </row>
    <row r="427" spans="1:6">
      <c r="A427" t="s">
        <v>186</v>
      </c>
      <c r="B427" t="s">
        <v>487</v>
      </c>
      <c r="C427" s="4" t="s">
        <v>488</v>
      </c>
    </row>
    <row r="428" spans="1:6">
      <c r="A428" t="s">
        <v>188</v>
      </c>
    </row>
    <row r="429" spans="1:6">
      <c r="A429" t="s">
        <v>189</v>
      </c>
      <c r="B429" t="s">
        <v>100</v>
      </c>
      <c r="C429" t="s">
        <v>102</v>
      </c>
      <c r="D429" t="s">
        <v>101</v>
      </c>
      <c r="E429" t="s">
        <v>190</v>
      </c>
      <c r="F429" t="s">
        <v>191</v>
      </c>
    </row>
    <row r="430" spans="1:6">
      <c r="A430">
        <v>11</v>
      </c>
      <c r="B430">
        <v>0.16983999999999999</v>
      </c>
      <c r="C430">
        <v>0.17146</v>
      </c>
      <c r="D430">
        <v>0.16653000000000001</v>
      </c>
      <c r="E430" t="s">
        <v>255</v>
      </c>
      <c r="F430" t="s">
        <v>256</v>
      </c>
    </row>
    <row r="431" spans="1:6">
      <c r="A431">
        <v>11</v>
      </c>
      <c r="B431">
        <v>406.5</v>
      </c>
      <c r="C431">
        <v>406.6</v>
      </c>
      <c r="D431">
        <v>406.5</v>
      </c>
      <c r="E431" t="s">
        <v>255</v>
      </c>
      <c r="F431" t="s">
        <v>257</v>
      </c>
    </row>
    <row r="432" spans="1:6">
      <c r="A432" t="s">
        <v>195</v>
      </c>
    </row>
    <row r="433" spans="1:6">
      <c r="A433" t="s">
        <v>256</v>
      </c>
      <c r="B433" t="s">
        <v>257</v>
      </c>
      <c r="C433" t="s">
        <v>200</v>
      </c>
      <c r="D433" t="s">
        <v>201</v>
      </c>
    </row>
    <row r="434" spans="1:6">
      <c r="A434">
        <v>0.16814000000000001</v>
      </c>
      <c r="B434">
        <v>406.6</v>
      </c>
      <c r="C434" s="29">
        <v>45327</v>
      </c>
      <c r="D434" t="s">
        <v>489</v>
      </c>
    </row>
    <row r="435" spans="1:6">
      <c r="A435">
        <v>0.17049</v>
      </c>
      <c r="B435">
        <v>406.5</v>
      </c>
      <c r="C435" s="29">
        <v>45327</v>
      </c>
      <c r="D435" t="s">
        <v>490</v>
      </c>
    </row>
    <row r="436" spans="1:6">
      <c r="A436">
        <v>0.17138</v>
      </c>
      <c r="B436">
        <v>406.5</v>
      </c>
      <c r="C436" s="29">
        <v>45327</v>
      </c>
      <c r="D436" t="s">
        <v>491</v>
      </c>
    </row>
    <row r="437" spans="1:6">
      <c r="A437">
        <v>0.17119999999999999</v>
      </c>
      <c r="B437">
        <v>406.5</v>
      </c>
      <c r="C437" s="29">
        <v>45327</v>
      </c>
      <c r="D437" t="s">
        <v>492</v>
      </c>
    </row>
    <row r="438" spans="1:6">
      <c r="A438">
        <v>0.16974</v>
      </c>
      <c r="B438">
        <v>406.5</v>
      </c>
      <c r="C438" s="29">
        <v>45327</v>
      </c>
      <c r="D438" t="s">
        <v>493</v>
      </c>
    </row>
    <row r="439" spans="1:6">
      <c r="A439">
        <v>0.16833999999999999</v>
      </c>
      <c r="B439">
        <v>406.6</v>
      </c>
      <c r="C439" s="29">
        <v>45327</v>
      </c>
      <c r="D439" t="s">
        <v>494</v>
      </c>
    </row>
    <row r="440" spans="1:6">
      <c r="A440">
        <v>0.17146</v>
      </c>
      <c r="B440">
        <v>406.5</v>
      </c>
      <c r="C440" s="29">
        <v>45327</v>
      </c>
      <c r="D440" t="s">
        <v>495</v>
      </c>
    </row>
    <row r="441" spans="1:6">
      <c r="A441">
        <v>0.16653000000000001</v>
      </c>
      <c r="B441">
        <v>406.6</v>
      </c>
      <c r="C441" s="29">
        <v>45327</v>
      </c>
      <c r="D441" t="s">
        <v>496</v>
      </c>
    </row>
    <row r="442" spans="1:6">
      <c r="A442">
        <v>0.17025999999999999</v>
      </c>
      <c r="B442">
        <v>406.5</v>
      </c>
      <c r="C442" s="29">
        <v>45327</v>
      </c>
      <c r="D442" t="s">
        <v>497</v>
      </c>
    </row>
    <row r="443" spans="1:6">
      <c r="A443">
        <v>0.16952999999999999</v>
      </c>
      <c r="B443">
        <v>406.5</v>
      </c>
      <c r="C443" s="29">
        <v>45327</v>
      </c>
      <c r="D443" t="s">
        <v>498</v>
      </c>
    </row>
    <row r="444" spans="1:6">
      <c r="A444">
        <v>0.17119999999999999</v>
      </c>
      <c r="B444">
        <v>406.5</v>
      </c>
      <c r="C444" s="29">
        <v>45327</v>
      </c>
      <c r="D444" t="s">
        <v>499</v>
      </c>
    </row>
    <row r="446" spans="1:6">
      <c r="A446" t="s">
        <v>186</v>
      </c>
      <c r="B446" t="s">
        <v>500</v>
      </c>
      <c r="C446" s="4" t="s">
        <v>501</v>
      </c>
    </row>
    <row r="447" spans="1:6">
      <c r="A447" t="s">
        <v>188</v>
      </c>
    </row>
    <row r="448" spans="1:6">
      <c r="A448" t="s">
        <v>189</v>
      </c>
      <c r="B448" t="s">
        <v>100</v>
      </c>
      <c r="C448" t="s">
        <v>102</v>
      </c>
      <c r="D448" t="s">
        <v>101</v>
      </c>
      <c r="E448" t="s">
        <v>190</v>
      </c>
      <c r="F448" t="s">
        <v>191</v>
      </c>
    </row>
    <row r="449" spans="1:6">
      <c r="A449">
        <v>5</v>
      </c>
      <c r="B449">
        <v>0.26829999999999998</v>
      </c>
      <c r="C449">
        <v>0.27202999999999999</v>
      </c>
      <c r="D449">
        <v>0.26543</v>
      </c>
      <c r="E449" t="s">
        <v>255</v>
      </c>
      <c r="F449" t="s">
        <v>256</v>
      </c>
    </row>
    <row r="450" spans="1:6">
      <c r="A450">
        <v>5</v>
      </c>
      <c r="B450">
        <v>406.5</v>
      </c>
      <c r="C450">
        <v>406.5</v>
      </c>
      <c r="D450">
        <v>406.4</v>
      </c>
      <c r="E450" t="s">
        <v>255</v>
      </c>
      <c r="F450" t="s">
        <v>257</v>
      </c>
    </row>
    <row r="451" spans="1:6">
      <c r="A451" t="s">
        <v>195</v>
      </c>
    </row>
    <row r="452" spans="1:6">
      <c r="A452" t="s">
        <v>256</v>
      </c>
      <c r="B452" t="s">
        <v>257</v>
      </c>
      <c r="C452" t="s">
        <v>200</v>
      </c>
      <c r="D452" t="s">
        <v>201</v>
      </c>
    </row>
    <row r="453" spans="1:6">
      <c r="A453">
        <v>0.26872000000000001</v>
      </c>
      <c r="B453">
        <v>406.5</v>
      </c>
      <c r="C453" s="29">
        <v>45327</v>
      </c>
      <c r="D453" t="s">
        <v>502</v>
      </c>
    </row>
    <row r="454" spans="1:6">
      <c r="A454">
        <v>0.26773000000000002</v>
      </c>
      <c r="B454">
        <v>406.4</v>
      </c>
      <c r="C454" s="29">
        <v>45327</v>
      </c>
      <c r="D454" t="s">
        <v>503</v>
      </c>
    </row>
    <row r="455" spans="1:6">
      <c r="A455">
        <v>0.27202999999999999</v>
      </c>
      <c r="B455">
        <v>406.5</v>
      </c>
      <c r="C455" s="29">
        <v>45327</v>
      </c>
      <c r="D455" t="s">
        <v>504</v>
      </c>
    </row>
    <row r="456" spans="1:6">
      <c r="A456">
        <v>0.26761000000000001</v>
      </c>
      <c r="B456">
        <v>406.5</v>
      </c>
      <c r="C456" s="29">
        <v>45327</v>
      </c>
      <c r="D456" t="s">
        <v>505</v>
      </c>
    </row>
    <row r="457" spans="1:6">
      <c r="A457">
        <v>0.26543</v>
      </c>
      <c r="B457">
        <v>406.5</v>
      </c>
      <c r="C457" s="29">
        <v>45327</v>
      </c>
      <c r="D457" t="s">
        <v>506</v>
      </c>
    </row>
    <row r="459" spans="1:6">
      <c r="A459" t="s">
        <v>186</v>
      </c>
      <c r="B459" t="s">
        <v>507</v>
      </c>
      <c r="C459" s="4" t="s">
        <v>508</v>
      </c>
    </row>
    <row r="460" spans="1:6">
      <c r="A460" t="s">
        <v>188</v>
      </c>
    </row>
    <row r="461" spans="1:6">
      <c r="A461" t="s">
        <v>189</v>
      </c>
      <c r="B461" t="s">
        <v>100</v>
      </c>
      <c r="C461" t="s">
        <v>102</v>
      </c>
      <c r="D461" t="s">
        <v>101</v>
      </c>
      <c r="E461" t="s">
        <v>190</v>
      </c>
      <c r="F461" t="s">
        <v>191</v>
      </c>
    </row>
    <row r="462" spans="1:6">
      <c r="A462">
        <v>10</v>
      </c>
      <c r="B462">
        <v>0.39199000000000001</v>
      </c>
      <c r="C462">
        <v>0.39754</v>
      </c>
      <c r="D462">
        <v>0.38568999999999998</v>
      </c>
      <c r="E462" t="s">
        <v>255</v>
      </c>
      <c r="F462" t="s">
        <v>256</v>
      </c>
    </row>
    <row r="463" spans="1:6">
      <c r="A463">
        <v>10</v>
      </c>
      <c r="B463">
        <v>406.4</v>
      </c>
      <c r="C463">
        <v>406.5</v>
      </c>
      <c r="D463">
        <v>406.4</v>
      </c>
      <c r="E463" t="s">
        <v>255</v>
      </c>
      <c r="F463" t="s">
        <v>257</v>
      </c>
    </row>
    <row r="464" spans="1:6">
      <c r="A464" t="s">
        <v>195</v>
      </c>
    </row>
    <row r="465" spans="1:6">
      <c r="A465" t="s">
        <v>256</v>
      </c>
      <c r="B465" t="s">
        <v>257</v>
      </c>
      <c r="C465" t="s">
        <v>200</v>
      </c>
      <c r="D465" t="s">
        <v>201</v>
      </c>
    </row>
    <row r="466" spans="1:6">
      <c r="A466">
        <v>0.39474999999999999</v>
      </c>
      <c r="B466">
        <v>406.4</v>
      </c>
      <c r="C466" s="29">
        <v>45327</v>
      </c>
      <c r="D466" t="s">
        <v>509</v>
      </c>
    </row>
    <row r="467" spans="1:6">
      <c r="A467">
        <v>0.38568999999999998</v>
      </c>
      <c r="B467">
        <v>406.4</v>
      </c>
      <c r="C467" s="29">
        <v>45327</v>
      </c>
      <c r="D467" t="s">
        <v>510</v>
      </c>
    </row>
    <row r="468" spans="1:6">
      <c r="A468">
        <v>0.39268999999999998</v>
      </c>
      <c r="B468">
        <v>406.4</v>
      </c>
      <c r="C468" s="29">
        <v>45327</v>
      </c>
      <c r="D468" t="s">
        <v>511</v>
      </c>
    </row>
    <row r="469" spans="1:6">
      <c r="A469">
        <v>0.39754</v>
      </c>
      <c r="B469">
        <v>406.5</v>
      </c>
      <c r="C469" s="29">
        <v>45327</v>
      </c>
      <c r="D469" t="s">
        <v>512</v>
      </c>
    </row>
    <row r="470" spans="1:6">
      <c r="A470">
        <v>0.38674999999999998</v>
      </c>
      <c r="B470">
        <v>406.4</v>
      </c>
      <c r="C470" s="29">
        <v>45327</v>
      </c>
      <c r="D470" t="s">
        <v>513</v>
      </c>
    </row>
    <row r="471" spans="1:6">
      <c r="A471">
        <v>0.39650999999999997</v>
      </c>
      <c r="B471">
        <v>406.4</v>
      </c>
      <c r="C471" s="29">
        <v>45327</v>
      </c>
      <c r="D471" t="s">
        <v>514</v>
      </c>
    </row>
    <row r="472" spans="1:6">
      <c r="A472">
        <v>0.38745000000000002</v>
      </c>
      <c r="B472">
        <v>406.5</v>
      </c>
      <c r="C472" s="29">
        <v>45327</v>
      </c>
      <c r="D472" t="s">
        <v>515</v>
      </c>
    </row>
    <row r="473" spans="1:6">
      <c r="A473">
        <v>0.39602999999999999</v>
      </c>
      <c r="B473">
        <v>406.5</v>
      </c>
      <c r="C473" s="29">
        <v>45327</v>
      </c>
      <c r="D473" t="s">
        <v>516</v>
      </c>
    </row>
    <row r="474" spans="1:6">
      <c r="A474">
        <v>0.39290999999999998</v>
      </c>
      <c r="B474">
        <v>406.5</v>
      </c>
      <c r="C474" s="29">
        <v>45327</v>
      </c>
      <c r="D474" t="s">
        <v>517</v>
      </c>
    </row>
    <row r="475" spans="1:6">
      <c r="A475">
        <v>0.38961000000000001</v>
      </c>
      <c r="B475">
        <v>406.4</v>
      </c>
      <c r="C475" s="29">
        <v>45327</v>
      </c>
      <c r="D475" t="s">
        <v>518</v>
      </c>
    </row>
    <row r="477" spans="1:6">
      <c r="A477" t="s">
        <v>186</v>
      </c>
      <c r="B477" t="s">
        <v>519</v>
      </c>
      <c r="C477" s="4" t="s">
        <v>520</v>
      </c>
    </row>
    <row r="478" spans="1:6">
      <c r="A478" t="s">
        <v>188</v>
      </c>
    </row>
    <row r="479" spans="1:6">
      <c r="A479" t="s">
        <v>189</v>
      </c>
      <c r="B479" t="s">
        <v>100</v>
      </c>
      <c r="C479" t="s">
        <v>102</v>
      </c>
      <c r="D479" t="s">
        <v>101</v>
      </c>
      <c r="E479" t="s">
        <v>190</v>
      </c>
      <c r="F479" t="s">
        <v>191</v>
      </c>
    </row>
    <row r="480" spans="1:6">
      <c r="A480">
        <v>5</v>
      </c>
      <c r="B480">
        <v>0.16886000000000001</v>
      </c>
      <c r="C480">
        <v>0.17501</v>
      </c>
      <c r="D480">
        <v>0.15762000000000001</v>
      </c>
      <c r="E480" t="s">
        <v>255</v>
      </c>
      <c r="F480" t="s">
        <v>256</v>
      </c>
    </row>
    <row r="481" spans="1:6">
      <c r="A481">
        <v>5</v>
      </c>
      <c r="B481">
        <v>406.6</v>
      </c>
      <c r="C481">
        <v>406.7</v>
      </c>
      <c r="D481">
        <v>406.6</v>
      </c>
      <c r="E481" t="s">
        <v>255</v>
      </c>
      <c r="F481" t="s">
        <v>257</v>
      </c>
    </row>
    <row r="482" spans="1:6">
      <c r="A482" t="s">
        <v>195</v>
      </c>
    </row>
    <row r="483" spans="1:6">
      <c r="A483" t="s">
        <v>256</v>
      </c>
      <c r="B483" t="s">
        <v>257</v>
      </c>
      <c r="C483" t="s">
        <v>200</v>
      </c>
      <c r="D483" t="s">
        <v>201</v>
      </c>
    </row>
    <row r="484" spans="1:6">
      <c r="A484">
        <v>0.17501</v>
      </c>
      <c r="B484">
        <v>406.7</v>
      </c>
      <c r="C484" s="29">
        <v>45327</v>
      </c>
      <c r="D484" t="s">
        <v>521</v>
      </c>
    </row>
    <row r="485" spans="1:6">
      <c r="A485">
        <v>0.17363000000000001</v>
      </c>
      <c r="B485">
        <v>406.6</v>
      </c>
      <c r="C485" s="29">
        <v>45327</v>
      </c>
      <c r="D485" t="s">
        <v>522</v>
      </c>
    </row>
    <row r="486" spans="1:6">
      <c r="A486">
        <v>0.15762000000000001</v>
      </c>
      <c r="B486">
        <v>406.7</v>
      </c>
      <c r="C486" s="29">
        <v>45327</v>
      </c>
      <c r="D486" t="s">
        <v>523</v>
      </c>
    </row>
    <row r="487" spans="1:6">
      <c r="A487">
        <v>0.17047999999999999</v>
      </c>
      <c r="B487">
        <v>406.6</v>
      </c>
      <c r="C487" s="29">
        <v>45327</v>
      </c>
      <c r="D487" t="s">
        <v>524</v>
      </c>
    </row>
    <row r="488" spans="1:6">
      <c r="A488">
        <v>0.16755</v>
      </c>
      <c r="B488">
        <v>406.6</v>
      </c>
      <c r="C488" s="29">
        <v>45327</v>
      </c>
      <c r="D488" t="s">
        <v>525</v>
      </c>
    </row>
    <row r="490" spans="1:6">
      <c r="A490" t="s">
        <v>186</v>
      </c>
      <c r="B490" t="s">
        <v>526</v>
      </c>
      <c r="C490" s="4" t="s">
        <v>527</v>
      </c>
    </row>
    <row r="491" spans="1:6">
      <c r="A491" t="s">
        <v>188</v>
      </c>
    </row>
    <row r="492" spans="1:6">
      <c r="A492" t="s">
        <v>189</v>
      </c>
      <c r="B492" t="s">
        <v>100</v>
      </c>
      <c r="C492" t="s">
        <v>102</v>
      </c>
      <c r="D492" t="s">
        <v>101</v>
      </c>
      <c r="E492" t="s">
        <v>190</v>
      </c>
      <c r="F492" t="s">
        <v>191</v>
      </c>
    </row>
    <row r="493" spans="1:6">
      <c r="A493">
        <v>4</v>
      </c>
      <c r="B493">
        <v>0.22056999999999999</v>
      </c>
      <c r="C493">
        <v>0.22338</v>
      </c>
      <c r="D493">
        <v>0.21790000000000001</v>
      </c>
      <c r="E493" t="s">
        <v>255</v>
      </c>
      <c r="F493" t="s">
        <v>256</v>
      </c>
    </row>
    <row r="494" spans="1:6">
      <c r="A494">
        <v>4</v>
      </c>
      <c r="B494">
        <v>406.4</v>
      </c>
      <c r="C494">
        <v>406.4</v>
      </c>
      <c r="D494">
        <v>406.3</v>
      </c>
      <c r="E494" t="s">
        <v>255</v>
      </c>
      <c r="F494" t="s">
        <v>257</v>
      </c>
    </row>
    <row r="495" spans="1:6">
      <c r="A495" t="s">
        <v>195</v>
      </c>
    </row>
    <row r="496" spans="1:6">
      <c r="A496" t="s">
        <v>256</v>
      </c>
      <c r="B496" t="s">
        <v>257</v>
      </c>
      <c r="C496" t="s">
        <v>200</v>
      </c>
      <c r="D496" t="s">
        <v>201</v>
      </c>
    </row>
    <row r="497" spans="1:6">
      <c r="A497">
        <v>0.21978</v>
      </c>
      <c r="B497">
        <v>406.4</v>
      </c>
      <c r="C497" s="29">
        <v>45327</v>
      </c>
      <c r="D497" t="s">
        <v>528</v>
      </c>
    </row>
    <row r="498" spans="1:6">
      <c r="A498">
        <v>0.22338</v>
      </c>
      <c r="B498">
        <v>406.4</v>
      </c>
      <c r="C498" s="29">
        <v>45327</v>
      </c>
      <c r="D498" t="s">
        <v>529</v>
      </c>
    </row>
    <row r="499" spans="1:6">
      <c r="A499">
        <v>0.22123000000000001</v>
      </c>
      <c r="B499">
        <v>406.4</v>
      </c>
      <c r="C499" s="29">
        <v>45327</v>
      </c>
      <c r="D499" t="s">
        <v>530</v>
      </c>
    </row>
    <row r="500" spans="1:6">
      <c r="A500">
        <v>0.21790000000000001</v>
      </c>
      <c r="B500">
        <v>406.3</v>
      </c>
      <c r="C500" s="29">
        <v>45327</v>
      </c>
      <c r="D500" t="s">
        <v>531</v>
      </c>
    </row>
    <row r="502" spans="1:6">
      <c r="A502" t="s">
        <v>186</v>
      </c>
      <c r="B502" t="s">
        <v>532</v>
      </c>
      <c r="C502" t="s">
        <v>533</v>
      </c>
    </row>
    <row r="503" spans="1:6">
      <c r="A503" t="s">
        <v>188</v>
      </c>
    </row>
    <row r="504" spans="1:6">
      <c r="A504" t="s">
        <v>189</v>
      </c>
      <c r="B504" t="s">
        <v>100</v>
      </c>
      <c r="C504" t="s">
        <v>102</v>
      </c>
      <c r="D504" t="s">
        <v>101</v>
      </c>
      <c r="E504" t="s">
        <v>190</v>
      </c>
      <c r="F504" t="s">
        <v>191</v>
      </c>
    </row>
    <row r="505" spans="1:6">
      <c r="A505">
        <v>25</v>
      </c>
      <c r="B505">
        <v>218</v>
      </c>
      <c r="C505">
        <v>262</v>
      </c>
      <c r="D505">
        <v>158</v>
      </c>
      <c r="E505" t="s">
        <v>192</v>
      </c>
      <c r="F505" t="s">
        <v>193</v>
      </c>
    </row>
    <row r="506" spans="1:6">
      <c r="A506">
        <v>25</v>
      </c>
      <c r="B506">
        <v>97.04</v>
      </c>
      <c r="C506">
        <v>116.65</v>
      </c>
      <c r="D506">
        <v>70.319999999999993</v>
      </c>
      <c r="E506" t="s">
        <v>95</v>
      </c>
      <c r="F506" t="s">
        <v>194</v>
      </c>
    </row>
    <row r="507" spans="1:6">
      <c r="A507" t="s">
        <v>195</v>
      </c>
    </row>
    <row r="508" spans="1:6">
      <c r="A508" t="s">
        <v>196</v>
      </c>
      <c r="B508" t="s">
        <v>197</v>
      </c>
      <c r="C508" t="s">
        <v>198</v>
      </c>
      <c r="D508" t="s">
        <v>199</v>
      </c>
      <c r="E508" t="s">
        <v>200</v>
      </c>
      <c r="F508" t="s">
        <v>201</v>
      </c>
    </row>
    <row r="509" spans="1:6">
      <c r="A509">
        <v>158</v>
      </c>
      <c r="B509">
        <v>70.319999999999993</v>
      </c>
      <c r="C509">
        <v>1</v>
      </c>
      <c r="D509">
        <v>106</v>
      </c>
      <c r="E509" s="29">
        <v>45327</v>
      </c>
      <c r="F509" t="s">
        <v>534</v>
      </c>
    </row>
    <row r="510" spans="1:6">
      <c r="A510">
        <v>228</v>
      </c>
      <c r="B510">
        <v>101.49</v>
      </c>
      <c r="C510">
        <v>1</v>
      </c>
      <c r="D510">
        <v>106</v>
      </c>
      <c r="E510" s="29">
        <v>45327</v>
      </c>
      <c r="F510" t="s">
        <v>535</v>
      </c>
    </row>
    <row r="511" spans="1:6">
      <c r="A511">
        <v>242</v>
      </c>
      <c r="B511">
        <v>107.7</v>
      </c>
      <c r="C511">
        <v>1</v>
      </c>
      <c r="D511">
        <v>106</v>
      </c>
      <c r="E511" s="29">
        <v>45327</v>
      </c>
      <c r="F511" t="s">
        <v>536</v>
      </c>
    </row>
    <row r="512" spans="1:6">
      <c r="A512">
        <v>241</v>
      </c>
      <c r="B512">
        <v>107.32</v>
      </c>
      <c r="C512">
        <v>1</v>
      </c>
      <c r="D512">
        <v>106</v>
      </c>
      <c r="E512" s="29">
        <v>45327</v>
      </c>
      <c r="F512" t="s">
        <v>537</v>
      </c>
    </row>
    <row r="513" spans="1:6">
      <c r="A513">
        <v>210</v>
      </c>
      <c r="B513">
        <v>93.19</v>
      </c>
      <c r="C513">
        <v>1</v>
      </c>
      <c r="D513">
        <v>106</v>
      </c>
      <c r="E513" s="29">
        <v>45327</v>
      </c>
      <c r="F513" t="s">
        <v>538</v>
      </c>
    </row>
    <row r="514" spans="1:6">
      <c r="A514">
        <v>182</v>
      </c>
      <c r="B514">
        <v>80.98</v>
      </c>
      <c r="C514">
        <v>1</v>
      </c>
      <c r="D514">
        <v>106</v>
      </c>
      <c r="E514" s="29">
        <v>45327</v>
      </c>
      <c r="F514" t="s">
        <v>539</v>
      </c>
    </row>
    <row r="515" spans="1:6">
      <c r="A515">
        <v>195</v>
      </c>
      <c r="B515">
        <v>86.72</v>
      </c>
      <c r="C515">
        <v>1</v>
      </c>
      <c r="D515">
        <v>106</v>
      </c>
      <c r="E515" s="29">
        <v>45327</v>
      </c>
      <c r="F515" t="s">
        <v>540</v>
      </c>
    </row>
    <row r="516" spans="1:6">
      <c r="A516">
        <v>251</v>
      </c>
      <c r="B516">
        <v>111.72</v>
      </c>
      <c r="C516">
        <v>1</v>
      </c>
      <c r="D516">
        <v>106</v>
      </c>
      <c r="E516" s="29">
        <v>45327</v>
      </c>
      <c r="F516" t="s">
        <v>541</v>
      </c>
    </row>
    <row r="517" spans="1:6">
      <c r="A517">
        <v>248</v>
      </c>
      <c r="B517">
        <v>110.34</v>
      </c>
      <c r="C517">
        <v>1</v>
      </c>
      <c r="D517">
        <v>106</v>
      </c>
      <c r="E517" s="29">
        <v>45327</v>
      </c>
      <c r="F517" t="s">
        <v>542</v>
      </c>
    </row>
    <row r="518" spans="1:6">
      <c r="A518">
        <v>207</v>
      </c>
      <c r="B518">
        <v>92.04</v>
      </c>
      <c r="C518">
        <v>1</v>
      </c>
      <c r="D518">
        <v>106</v>
      </c>
      <c r="E518" s="29">
        <v>45327</v>
      </c>
      <c r="F518" t="s">
        <v>543</v>
      </c>
    </row>
    <row r="519" spans="1:6">
      <c r="A519">
        <v>201</v>
      </c>
      <c r="B519">
        <v>89.18</v>
      </c>
      <c r="C519">
        <v>1</v>
      </c>
      <c r="D519">
        <v>106</v>
      </c>
      <c r="E519" s="29">
        <v>45327</v>
      </c>
      <c r="F519" t="s">
        <v>544</v>
      </c>
    </row>
    <row r="520" spans="1:6">
      <c r="A520">
        <v>217</v>
      </c>
      <c r="B520">
        <v>96.63</v>
      </c>
      <c r="C520">
        <v>1</v>
      </c>
      <c r="D520">
        <v>106</v>
      </c>
      <c r="E520" s="29">
        <v>45327</v>
      </c>
      <c r="F520" t="s">
        <v>545</v>
      </c>
    </row>
    <row r="521" spans="1:6">
      <c r="A521">
        <v>246</v>
      </c>
      <c r="B521">
        <v>109.55</v>
      </c>
      <c r="C521">
        <v>1</v>
      </c>
      <c r="D521">
        <v>106</v>
      </c>
      <c r="E521" s="29">
        <v>45327</v>
      </c>
      <c r="F521" t="s">
        <v>546</v>
      </c>
    </row>
    <row r="522" spans="1:6">
      <c r="A522">
        <v>249</v>
      </c>
      <c r="B522">
        <v>110.47</v>
      </c>
      <c r="C522">
        <v>1</v>
      </c>
      <c r="D522">
        <v>106</v>
      </c>
      <c r="E522" s="29">
        <v>45327</v>
      </c>
      <c r="F522" t="s">
        <v>547</v>
      </c>
    </row>
    <row r="523" spans="1:6">
      <c r="A523">
        <v>242</v>
      </c>
      <c r="B523">
        <v>107.34</v>
      </c>
      <c r="C523">
        <v>1</v>
      </c>
      <c r="D523">
        <v>106</v>
      </c>
      <c r="E523" s="29">
        <v>45327</v>
      </c>
      <c r="F523" t="s">
        <v>548</v>
      </c>
    </row>
    <row r="524" spans="1:6">
      <c r="A524">
        <v>171</v>
      </c>
      <c r="B524">
        <v>75.959999999999994</v>
      </c>
      <c r="C524">
        <v>1</v>
      </c>
      <c r="D524">
        <v>106</v>
      </c>
      <c r="E524" s="29">
        <v>45327</v>
      </c>
      <c r="F524" t="s">
        <v>549</v>
      </c>
    </row>
    <row r="525" spans="1:6">
      <c r="A525">
        <v>227</v>
      </c>
      <c r="B525">
        <v>100.95</v>
      </c>
      <c r="C525">
        <v>1</v>
      </c>
      <c r="D525">
        <v>106</v>
      </c>
      <c r="E525" s="29">
        <v>45327</v>
      </c>
      <c r="F525" t="s">
        <v>550</v>
      </c>
    </row>
    <row r="526" spans="1:6">
      <c r="A526">
        <v>259</v>
      </c>
      <c r="B526">
        <v>114.89</v>
      </c>
      <c r="C526">
        <v>1</v>
      </c>
      <c r="D526">
        <v>106</v>
      </c>
      <c r="E526" s="29">
        <v>45327</v>
      </c>
      <c r="F526" t="s">
        <v>551</v>
      </c>
    </row>
    <row r="527" spans="1:6">
      <c r="A527">
        <v>262</v>
      </c>
      <c r="B527">
        <v>116.65</v>
      </c>
      <c r="C527">
        <v>1</v>
      </c>
      <c r="D527">
        <v>106</v>
      </c>
      <c r="E527" s="29">
        <v>45327</v>
      </c>
      <c r="F527" t="s">
        <v>552</v>
      </c>
    </row>
    <row r="528" spans="1:6">
      <c r="A528">
        <v>232</v>
      </c>
      <c r="B528">
        <v>103.12</v>
      </c>
      <c r="C528">
        <v>1</v>
      </c>
      <c r="D528">
        <v>106</v>
      </c>
      <c r="E528" s="29">
        <v>45327</v>
      </c>
      <c r="F528" t="s">
        <v>553</v>
      </c>
    </row>
    <row r="529" spans="1:6">
      <c r="A529">
        <v>162</v>
      </c>
      <c r="B529">
        <v>72.09</v>
      </c>
      <c r="C529">
        <v>1</v>
      </c>
      <c r="D529">
        <v>106</v>
      </c>
      <c r="E529" s="29">
        <v>45327</v>
      </c>
      <c r="F529" t="s">
        <v>554</v>
      </c>
    </row>
    <row r="530" spans="1:6">
      <c r="A530">
        <v>172</v>
      </c>
      <c r="B530">
        <v>76.23</v>
      </c>
      <c r="C530">
        <v>1</v>
      </c>
      <c r="D530">
        <v>106</v>
      </c>
      <c r="E530" s="29">
        <v>45327</v>
      </c>
      <c r="F530" t="s">
        <v>555</v>
      </c>
    </row>
    <row r="531" spans="1:6">
      <c r="A531">
        <v>223</v>
      </c>
      <c r="B531">
        <v>98.96</v>
      </c>
      <c r="C531">
        <v>1</v>
      </c>
      <c r="D531">
        <v>106</v>
      </c>
      <c r="E531" s="29">
        <v>45327</v>
      </c>
      <c r="F531" t="s">
        <v>556</v>
      </c>
    </row>
    <row r="532" spans="1:6">
      <c r="A532">
        <v>246</v>
      </c>
      <c r="B532">
        <v>109.14</v>
      </c>
      <c r="C532">
        <v>1</v>
      </c>
      <c r="D532">
        <v>106</v>
      </c>
      <c r="E532" s="29">
        <v>45327</v>
      </c>
      <c r="F532" t="s">
        <v>557</v>
      </c>
    </row>
    <row r="533" spans="1:6">
      <c r="A533">
        <v>187</v>
      </c>
      <c r="B533">
        <v>83</v>
      </c>
      <c r="C533">
        <v>1</v>
      </c>
      <c r="D533">
        <v>106</v>
      </c>
      <c r="E533" s="29">
        <v>45327</v>
      </c>
      <c r="F533" t="s">
        <v>558</v>
      </c>
    </row>
    <row r="535" spans="1:6">
      <c r="A535" t="s">
        <v>186</v>
      </c>
      <c r="B535" t="s">
        <v>170</v>
      </c>
      <c r="C535" t="s">
        <v>533</v>
      </c>
    </row>
    <row r="536" spans="1:6">
      <c r="A536" t="s">
        <v>188</v>
      </c>
    </row>
    <row r="537" spans="1:6">
      <c r="A537" t="s">
        <v>189</v>
      </c>
      <c r="B537" t="s">
        <v>100</v>
      </c>
      <c r="C537" t="s">
        <v>102</v>
      </c>
      <c r="D537" t="s">
        <v>101</v>
      </c>
      <c r="E537" t="s">
        <v>190</v>
      </c>
      <c r="F537" t="s">
        <v>191</v>
      </c>
    </row>
    <row r="538" spans="1:6">
      <c r="A538">
        <v>25</v>
      </c>
      <c r="B538">
        <v>215</v>
      </c>
      <c r="C538">
        <v>258</v>
      </c>
      <c r="D538">
        <v>156</v>
      </c>
      <c r="E538" t="s">
        <v>192</v>
      </c>
      <c r="F538" t="s">
        <v>193</v>
      </c>
    </row>
    <row r="539" spans="1:6">
      <c r="A539">
        <v>25</v>
      </c>
      <c r="B539">
        <v>95.58</v>
      </c>
      <c r="C539">
        <v>114.54</v>
      </c>
      <c r="D539">
        <v>69.28</v>
      </c>
      <c r="E539" t="s">
        <v>95</v>
      </c>
      <c r="F539" t="s">
        <v>194</v>
      </c>
    </row>
    <row r="540" spans="1:6">
      <c r="A540" t="s">
        <v>195</v>
      </c>
    </row>
    <row r="541" spans="1:6">
      <c r="A541" t="s">
        <v>196</v>
      </c>
      <c r="B541" t="s">
        <v>197</v>
      </c>
      <c r="C541" t="s">
        <v>198</v>
      </c>
      <c r="D541" t="s">
        <v>199</v>
      </c>
      <c r="E541" t="s">
        <v>200</v>
      </c>
      <c r="F541" t="s">
        <v>201</v>
      </c>
    </row>
    <row r="542" spans="1:6">
      <c r="A542">
        <v>156</v>
      </c>
      <c r="B542">
        <v>69.28</v>
      </c>
      <c r="C542">
        <v>1</v>
      </c>
      <c r="D542">
        <v>106</v>
      </c>
      <c r="E542" s="29">
        <v>45327</v>
      </c>
      <c r="F542" t="s">
        <v>559</v>
      </c>
    </row>
    <row r="543" spans="1:6">
      <c r="A543">
        <v>206</v>
      </c>
      <c r="B543">
        <v>91.65</v>
      </c>
      <c r="C543">
        <v>1</v>
      </c>
      <c r="D543">
        <v>106</v>
      </c>
      <c r="E543" s="29">
        <v>45327</v>
      </c>
      <c r="F543" t="s">
        <v>560</v>
      </c>
    </row>
    <row r="544" spans="1:6">
      <c r="A544">
        <v>224</v>
      </c>
      <c r="B544">
        <v>99.62</v>
      </c>
      <c r="C544">
        <v>1</v>
      </c>
      <c r="D544">
        <v>106</v>
      </c>
      <c r="E544" s="29">
        <v>45327</v>
      </c>
      <c r="F544" t="s">
        <v>561</v>
      </c>
    </row>
    <row r="545" spans="1:6">
      <c r="A545">
        <v>229</v>
      </c>
      <c r="B545">
        <v>101.98</v>
      </c>
      <c r="C545">
        <v>1</v>
      </c>
      <c r="D545">
        <v>106</v>
      </c>
      <c r="E545" s="29">
        <v>45327</v>
      </c>
      <c r="F545" t="s">
        <v>562</v>
      </c>
    </row>
    <row r="546" spans="1:6">
      <c r="A546">
        <v>186</v>
      </c>
      <c r="B546">
        <v>82.63</v>
      </c>
      <c r="C546">
        <v>1</v>
      </c>
      <c r="D546">
        <v>106</v>
      </c>
      <c r="E546" s="29">
        <v>45327</v>
      </c>
      <c r="F546" t="s">
        <v>563</v>
      </c>
    </row>
    <row r="547" spans="1:6">
      <c r="A547">
        <v>173</v>
      </c>
      <c r="B547">
        <v>76.77</v>
      </c>
      <c r="C547">
        <v>1</v>
      </c>
      <c r="D547">
        <v>106</v>
      </c>
      <c r="E547" s="29">
        <v>45327</v>
      </c>
      <c r="F547" t="s">
        <v>564</v>
      </c>
    </row>
    <row r="548" spans="1:6">
      <c r="A548">
        <v>232</v>
      </c>
      <c r="B548">
        <v>103.28</v>
      </c>
      <c r="C548">
        <v>1</v>
      </c>
      <c r="D548">
        <v>106</v>
      </c>
      <c r="E548" s="29">
        <v>45327</v>
      </c>
      <c r="F548" t="s">
        <v>565</v>
      </c>
    </row>
    <row r="549" spans="1:6">
      <c r="A549">
        <v>241</v>
      </c>
      <c r="B549">
        <v>107.03</v>
      </c>
      <c r="C549">
        <v>1</v>
      </c>
      <c r="D549">
        <v>106</v>
      </c>
      <c r="E549" s="29">
        <v>45327</v>
      </c>
      <c r="F549" t="s">
        <v>566</v>
      </c>
    </row>
    <row r="550" spans="1:6">
      <c r="A550">
        <v>235</v>
      </c>
      <c r="B550">
        <v>104.53</v>
      </c>
      <c r="C550">
        <v>1</v>
      </c>
      <c r="D550">
        <v>106</v>
      </c>
      <c r="E550" s="29">
        <v>45327</v>
      </c>
      <c r="F550" t="s">
        <v>567</v>
      </c>
    </row>
    <row r="551" spans="1:6">
      <c r="A551">
        <v>223</v>
      </c>
      <c r="B551">
        <v>99.03</v>
      </c>
      <c r="C551">
        <v>1</v>
      </c>
      <c r="D551">
        <v>106</v>
      </c>
      <c r="E551" s="29">
        <v>45327</v>
      </c>
      <c r="F551" t="s">
        <v>568</v>
      </c>
    </row>
    <row r="552" spans="1:6">
      <c r="A552">
        <v>163</v>
      </c>
      <c r="B552">
        <v>72.44</v>
      </c>
      <c r="C552">
        <v>1</v>
      </c>
      <c r="D552">
        <v>106</v>
      </c>
      <c r="E552" s="29">
        <v>45327</v>
      </c>
      <c r="F552" t="s">
        <v>569</v>
      </c>
    </row>
    <row r="553" spans="1:6">
      <c r="A553">
        <v>233</v>
      </c>
      <c r="B553">
        <v>103.77</v>
      </c>
      <c r="C553">
        <v>1</v>
      </c>
      <c r="D553">
        <v>106</v>
      </c>
      <c r="E553" s="29">
        <v>45327</v>
      </c>
      <c r="F553" t="s">
        <v>570</v>
      </c>
    </row>
    <row r="554" spans="1:6">
      <c r="A554">
        <v>258</v>
      </c>
      <c r="B554">
        <v>114.54</v>
      </c>
      <c r="C554">
        <v>1</v>
      </c>
      <c r="D554">
        <v>106</v>
      </c>
      <c r="E554" s="29">
        <v>45327</v>
      </c>
      <c r="F554" t="s">
        <v>571</v>
      </c>
    </row>
    <row r="555" spans="1:6">
      <c r="A555">
        <v>247</v>
      </c>
      <c r="B555">
        <v>109.88</v>
      </c>
      <c r="C555">
        <v>1</v>
      </c>
      <c r="D555">
        <v>106</v>
      </c>
      <c r="E555" s="29">
        <v>45327</v>
      </c>
      <c r="F555" t="s">
        <v>572</v>
      </c>
    </row>
    <row r="556" spans="1:6">
      <c r="A556">
        <v>222</v>
      </c>
      <c r="B556">
        <v>98.86</v>
      </c>
      <c r="C556">
        <v>1</v>
      </c>
      <c r="D556">
        <v>106</v>
      </c>
      <c r="E556" s="29">
        <v>45327</v>
      </c>
      <c r="F556" t="s">
        <v>573</v>
      </c>
    </row>
    <row r="557" spans="1:6">
      <c r="A557">
        <v>190</v>
      </c>
      <c r="B557">
        <v>84.39</v>
      </c>
      <c r="C557">
        <v>1</v>
      </c>
      <c r="D557">
        <v>106</v>
      </c>
      <c r="E557" s="29">
        <v>45327</v>
      </c>
      <c r="F557" t="s">
        <v>574</v>
      </c>
    </row>
    <row r="558" spans="1:6">
      <c r="A558">
        <v>224</v>
      </c>
      <c r="B558">
        <v>99.56</v>
      </c>
      <c r="C558">
        <v>1</v>
      </c>
      <c r="D558">
        <v>106</v>
      </c>
      <c r="E558" s="29">
        <v>45327</v>
      </c>
      <c r="F558" t="s">
        <v>575</v>
      </c>
    </row>
    <row r="559" spans="1:6">
      <c r="A559">
        <v>237</v>
      </c>
      <c r="B559">
        <v>105.25</v>
      </c>
      <c r="C559">
        <v>1</v>
      </c>
      <c r="D559">
        <v>106</v>
      </c>
      <c r="E559" s="29">
        <v>45327</v>
      </c>
      <c r="F559" t="s">
        <v>576</v>
      </c>
    </row>
    <row r="560" spans="1:6">
      <c r="A560">
        <v>251</v>
      </c>
      <c r="B560">
        <v>111.48</v>
      </c>
      <c r="C560">
        <v>1</v>
      </c>
      <c r="D560">
        <v>106</v>
      </c>
      <c r="E560" s="29">
        <v>45327</v>
      </c>
      <c r="F560" t="s">
        <v>577</v>
      </c>
    </row>
    <row r="561" spans="1:6">
      <c r="A561">
        <v>233</v>
      </c>
      <c r="B561">
        <v>103.62</v>
      </c>
      <c r="C561">
        <v>1</v>
      </c>
      <c r="D561">
        <v>106</v>
      </c>
      <c r="E561" s="29">
        <v>45327</v>
      </c>
      <c r="F561" t="s">
        <v>578</v>
      </c>
    </row>
    <row r="562" spans="1:6">
      <c r="A562">
        <v>158</v>
      </c>
      <c r="B562">
        <v>70.03</v>
      </c>
      <c r="C562">
        <v>1</v>
      </c>
      <c r="D562">
        <v>106</v>
      </c>
      <c r="E562" s="29">
        <v>45327</v>
      </c>
      <c r="F562" t="s">
        <v>579</v>
      </c>
    </row>
    <row r="563" spans="1:6">
      <c r="A563">
        <v>196</v>
      </c>
      <c r="B563">
        <v>87.25</v>
      </c>
      <c r="C563">
        <v>1</v>
      </c>
      <c r="D563">
        <v>106</v>
      </c>
      <c r="E563" s="29">
        <v>45327</v>
      </c>
      <c r="F563" t="s">
        <v>580</v>
      </c>
    </row>
    <row r="564" spans="1:6">
      <c r="A564">
        <v>248</v>
      </c>
      <c r="B564">
        <v>110.33</v>
      </c>
      <c r="C564">
        <v>1</v>
      </c>
      <c r="D564">
        <v>106</v>
      </c>
      <c r="E564" s="29">
        <v>45327</v>
      </c>
      <c r="F564" t="s">
        <v>581</v>
      </c>
    </row>
    <row r="565" spans="1:6">
      <c r="A565">
        <v>234</v>
      </c>
      <c r="B565">
        <v>103.99</v>
      </c>
      <c r="C565">
        <v>1</v>
      </c>
      <c r="D565">
        <v>106</v>
      </c>
      <c r="E565" s="29">
        <v>45327</v>
      </c>
      <c r="F565" t="s">
        <v>582</v>
      </c>
    </row>
    <row r="566" spans="1:6">
      <c r="A566">
        <v>176</v>
      </c>
      <c r="B566">
        <v>78.430000000000007</v>
      </c>
      <c r="C566">
        <v>1</v>
      </c>
      <c r="D566">
        <v>106</v>
      </c>
      <c r="E566" s="29">
        <v>45327</v>
      </c>
      <c r="F566" t="s">
        <v>583</v>
      </c>
    </row>
    <row r="568" spans="1:6">
      <c r="A568" t="s">
        <v>186</v>
      </c>
      <c r="B568" t="s">
        <v>584</v>
      </c>
      <c r="C568" s="4" t="s">
        <v>585</v>
      </c>
    </row>
    <row r="569" spans="1:6">
      <c r="A569" t="s">
        <v>188</v>
      </c>
    </row>
    <row r="570" spans="1:6">
      <c r="A570" t="s">
        <v>189</v>
      </c>
      <c r="B570" t="s">
        <v>100</v>
      </c>
      <c r="C570" t="s">
        <v>102</v>
      </c>
      <c r="D570" t="s">
        <v>101</v>
      </c>
      <c r="E570" t="s">
        <v>190</v>
      </c>
      <c r="F570" t="s">
        <v>191</v>
      </c>
    </row>
    <row r="571" spans="1:6">
      <c r="A571">
        <v>5</v>
      </c>
      <c r="B571">
        <v>318</v>
      </c>
      <c r="C571">
        <v>357</v>
      </c>
      <c r="D571">
        <v>243</v>
      </c>
      <c r="E571" t="s">
        <v>192</v>
      </c>
      <c r="F571" t="s">
        <v>193</v>
      </c>
    </row>
    <row r="572" spans="1:6">
      <c r="A572">
        <v>5</v>
      </c>
      <c r="B572">
        <v>43.34</v>
      </c>
      <c r="C572">
        <v>48.66</v>
      </c>
      <c r="D572">
        <v>33.15</v>
      </c>
      <c r="E572" t="s">
        <v>95</v>
      </c>
      <c r="F572" t="s">
        <v>586</v>
      </c>
    </row>
    <row r="573" spans="1:6">
      <c r="A573" t="s">
        <v>195</v>
      </c>
    </row>
    <row r="574" spans="1:6">
      <c r="A574" t="s">
        <v>196</v>
      </c>
      <c r="B574" t="s">
        <v>197</v>
      </c>
      <c r="C574" t="s">
        <v>198</v>
      </c>
      <c r="D574" t="s">
        <v>199</v>
      </c>
      <c r="E574" t="s">
        <v>200</v>
      </c>
      <c r="F574" t="s">
        <v>201</v>
      </c>
    </row>
    <row r="575" spans="1:6">
      <c r="A575">
        <v>243</v>
      </c>
      <c r="B575">
        <v>33.15</v>
      </c>
      <c r="C575">
        <v>1</v>
      </c>
      <c r="D575">
        <v>106</v>
      </c>
      <c r="E575" s="29">
        <v>45327</v>
      </c>
      <c r="F575" t="s">
        <v>587</v>
      </c>
    </row>
    <row r="576" spans="1:6">
      <c r="A576">
        <v>309</v>
      </c>
      <c r="B576">
        <v>42.15</v>
      </c>
      <c r="C576">
        <v>1</v>
      </c>
      <c r="D576">
        <v>106</v>
      </c>
      <c r="E576" s="29">
        <v>45327</v>
      </c>
      <c r="F576" t="s">
        <v>588</v>
      </c>
    </row>
    <row r="577" spans="1:6">
      <c r="A577">
        <v>346</v>
      </c>
      <c r="B577">
        <v>47.22</v>
      </c>
      <c r="C577">
        <v>1</v>
      </c>
      <c r="D577">
        <v>106</v>
      </c>
      <c r="E577" s="29">
        <v>45327</v>
      </c>
      <c r="F577" t="s">
        <v>589</v>
      </c>
    </row>
    <row r="578" spans="1:6">
      <c r="A578">
        <v>334</v>
      </c>
      <c r="B578">
        <v>45.48</v>
      </c>
      <c r="C578">
        <v>1</v>
      </c>
      <c r="D578">
        <v>106</v>
      </c>
      <c r="E578" s="29">
        <v>45327</v>
      </c>
      <c r="F578" t="s">
        <v>590</v>
      </c>
    </row>
    <row r="579" spans="1:6">
      <c r="A579">
        <v>357</v>
      </c>
      <c r="B579">
        <v>48.66</v>
      </c>
      <c r="C579">
        <v>1</v>
      </c>
      <c r="D579">
        <v>106</v>
      </c>
      <c r="E579" s="29">
        <v>45327</v>
      </c>
      <c r="F579" t="s">
        <v>591</v>
      </c>
    </row>
    <row r="581" spans="1:6">
      <c r="A581" t="s">
        <v>186</v>
      </c>
      <c r="B581" t="s">
        <v>150</v>
      </c>
      <c r="C581" t="s">
        <v>15</v>
      </c>
    </row>
    <row r="582" spans="1:6">
      <c r="A582" t="s">
        <v>188</v>
      </c>
    </row>
    <row r="583" spans="1:6">
      <c r="A583" t="s">
        <v>189</v>
      </c>
      <c r="B583" t="s">
        <v>100</v>
      </c>
      <c r="C583" t="s">
        <v>102</v>
      </c>
      <c r="D583" t="s">
        <v>101</v>
      </c>
      <c r="E583" t="s">
        <v>190</v>
      </c>
      <c r="F583" t="s">
        <v>191</v>
      </c>
    </row>
    <row r="584" spans="1:6">
      <c r="A584">
        <v>12</v>
      </c>
      <c r="B584">
        <v>283</v>
      </c>
      <c r="C584">
        <v>326</v>
      </c>
      <c r="D584">
        <v>230</v>
      </c>
      <c r="E584" t="s">
        <v>192</v>
      </c>
      <c r="F584" t="s">
        <v>193</v>
      </c>
    </row>
    <row r="585" spans="1:6">
      <c r="A585">
        <v>12</v>
      </c>
      <c r="B585">
        <v>38.58</v>
      </c>
      <c r="C585">
        <v>44.46</v>
      </c>
      <c r="D585">
        <v>31.42</v>
      </c>
      <c r="E585" t="s">
        <v>95</v>
      </c>
      <c r="F585" t="s">
        <v>586</v>
      </c>
    </row>
    <row r="586" spans="1:6">
      <c r="A586" t="s">
        <v>195</v>
      </c>
    </row>
    <row r="587" spans="1:6">
      <c r="A587" t="s">
        <v>196</v>
      </c>
      <c r="B587" t="s">
        <v>197</v>
      </c>
      <c r="C587" t="s">
        <v>198</v>
      </c>
      <c r="D587" t="s">
        <v>199</v>
      </c>
      <c r="E587" t="s">
        <v>200</v>
      </c>
      <c r="F587" t="s">
        <v>201</v>
      </c>
    </row>
    <row r="588" spans="1:6">
      <c r="A588">
        <v>235</v>
      </c>
      <c r="B588">
        <v>32.020000000000003</v>
      </c>
      <c r="C588">
        <v>1</v>
      </c>
      <c r="D588">
        <v>106</v>
      </c>
      <c r="E588" s="29">
        <v>45327</v>
      </c>
      <c r="F588" t="s">
        <v>592</v>
      </c>
    </row>
    <row r="589" spans="1:6">
      <c r="A589">
        <v>290</v>
      </c>
      <c r="B589">
        <v>39.520000000000003</v>
      </c>
      <c r="C589">
        <v>1</v>
      </c>
      <c r="D589">
        <v>106</v>
      </c>
      <c r="E589" s="29">
        <v>45327</v>
      </c>
      <c r="F589" t="s">
        <v>593</v>
      </c>
    </row>
    <row r="590" spans="1:6">
      <c r="A590">
        <v>290</v>
      </c>
      <c r="B590">
        <v>39.5</v>
      </c>
      <c r="C590">
        <v>1</v>
      </c>
      <c r="D590">
        <v>106</v>
      </c>
      <c r="E590" s="29">
        <v>45327</v>
      </c>
      <c r="F590" t="s">
        <v>594</v>
      </c>
    </row>
    <row r="591" spans="1:6">
      <c r="A591">
        <v>319</v>
      </c>
      <c r="B591">
        <v>43.46</v>
      </c>
      <c r="C591">
        <v>1</v>
      </c>
      <c r="D591">
        <v>106</v>
      </c>
      <c r="E591" s="29">
        <v>45327</v>
      </c>
      <c r="F591" t="s">
        <v>595</v>
      </c>
    </row>
    <row r="592" spans="1:6">
      <c r="A592">
        <v>326</v>
      </c>
      <c r="B592">
        <v>44.46</v>
      </c>
      <c r="C592">
        <v>1</v>
      </c>
      <c r="D592">
        <v>106</v>
      </c>
      <c r="E592" s="29">
        <v>45327</v>
      </c>
      <c r="F592" t="s">
        <v>596</v>
      </c>
    </row>
    <row r="593" spans="1:6">
      <c r="A593">
        <v>282</v>
      </c>
      <c r="B593">
        <v>38.520000000000003</v>
      </c>
      <c r="C593">
        <v>1</v>
      </c>
      <c r="D593">
        <v>106</v>
      </c>
      <c r="E593" s="29">
        <v>45327</v>
      </c>
      <c r="F593" t="s">
        <v>597</v>
      </c>
    </row>
    <row r="594" spans="1:6">
      <c r="A594">
        <v>295</v>
      </c>
      <c r="B594">
        <v>40.17</v>
      </c>
      <c r="C594">
        <v>1</v>
      </c>
      <c r="D594">
        <v>106</v>
      </c>
      <c r="E594" s="29">
        <v>45327</v>
      </c>
      <c r="F594" t="s">
        <v>598</v>
      </c>
    </row>
    <row r="595" spans="1:6">
      <c r="A595">
        <v>230</v>
      </c>
      <c r="B595">
        <v>31.42</v>
      </c>
      <c r="C595">
        <v>1</v>
      </c>
      <c r="D595">
        <v>106</v>
      </c>
      <c r="E595" s="29">
        <v>45327</v>
      </c>
      <c r="F595" t="s">
        <v>599</v>
      </c>
    </row>
    <row r="596" spans="1:6">
      <c r="A596">
        <v>296</v>
      </c>
      <c r="B596">
        <v>40.32</v>
      </c>
      <c r="C596">
        <v>1</v>
      </c>
      <c r="D596">
        <v>106</v>
      </c>
      <c r="E596" s="29">
        <v>45327</v>
      </c>
      <c r="F596" t="s">
        <v>600</v>
      </c>
    </row>
    <row r="597" spans="1:6">
      <c r="A597">
        <v>253</v>
      </c>
      <c r="B597">
        <v>34.479999999999997</v>
      </c>
      <c r="C597">
        <v>1</v>
      </c>
      <c r="D597">
        <v>106</v>
      </c>
      <c r="E597" s="29">
        <v>45327</v>
      </c>
      <c r="F597" t="s">
        <v>601</v>
      </c>
    </row>
    <row r="598" spans="1:6">
      <c r="A598">
        <v>284</v>
      </c>
      <c r="B598">
        <v>38.770000000000003</v>
      </c>
      <c r="C598">
        <v>1</v>
      </c>
      <c r="D598">
        <v>106</v>
      </c>
      <c r="E598" s="29">
        <v>45327</v>
      </c>
      <c r="F598" t="s">
        <v>602</v>
      </c>
    </row>
    <row r="599" spans="1:6">
      <c r="A599">
        <v>296</v>
      </c>
      <c r="B599">
        <v>40.31</v>
      </c>
      <c r="C599">
        <v>1</v>
      </c>
      <c r="D599">
        <v>106</v>
      </c>
      <c r="E599" s="29">
        <v>45327</v>
      </c>
      <c r="F599" t="s">
        <v>603</v>
      </c>
    </row>
    <row r="601" spans="1:6">
      <c r="A601" t="s">
        <v>186</v>
      </c>
      <c r="B601" t="s">
        <v>171</v>
      </c>
      <c r="C601" t="s">
        <v>15</v>
      </c>
    </row>
    <row r="602" spans="1:6">
      <c r="A602" t="s">
        <v>188</v>
      </c>
    </row>
    <row r="603" spans="1:6">
      <c r="A603" t="s">
        <v>189</v>
      </c>
      <c r="B603" t="s">
        <v>100</v>
      </c>
      <c r="C603" t="s">
        <v>102</v>
      </c>
      <c r="D603" t="s">
        <v>101</v>
      </c>
      <c r="E603" t="s">
        <v>190</v>
      </c>
      <c r="F603" t="s">
        <v>191</v>
      </c>
    </row>
    <row r="604" spans="1:6">
      <c r="A604">
        <v>12</v>
      </c>
      <c r="B604">
        <v>294</v>
      </c>
      <c r="C604">
        <v>338</v>
      </c>
      <c r="D604">
        <v>238</v>
      </c>
      <c r="E604" t="s">
        <v>192</v>
      </c>
      <c r="F604" t="s">
        <v>193</v>
      </c>
    </row>
    <row r="605" spans="1:6">
      <c r="A605">
        <v>12</v>
      </c>
      <c r="B605">
        <v>40.090000000000003</v>
      </c>
      <c r="C605">
        <v>46.13</v>
      </c>
      <c r="D605">
        <v>32.39</v>
      </c>
      <c r="E605" t="s">
        <v>95</v>
      </c>
      <c r="F605" t="s">
        <v>586</v>
      </c>
    </row>
    <row r="606" spans="1:6">
      <c r="A606" t="s">
        <v>195</v>
      </c>
    </row>
    <row r="607" spans="1:6">
      <c r="A607" t="s">
        <v>196</v>
      </c>
      <c r="B607" t="s">
        <v>197</v>
      </c>
      <c r="C607" t="s">
        <v>198</v>
      </c>
      <c r="D607" t="s">
        <v>199</v>
      </c>
      <c r="E607" t="s">
        <v>200</v>
      </c>
      <c r="F607" t="s">
        <v>201</v>
      </c>
    </row>
    <row r="608" spans="1:6">
      <c r="A608">
        <v>238</v>
      </c>
      <c r="B608">
        <v>32.39</v>
      </c>
      <c r="C608">
        <v>1</v>
      </c>
      <c r="D608">
        <v>106</v>
      </c>
      <c r="E608" s="29">
        <v>45327</v>
      </c>
      <c r="F608" t="s">
        <v>604</v>
      </c>
    </row>
    <row r="609" spans="1:6">
      <c r="A609">
        <v>241</v>
      </c>
      <c r="B609">
        <v>32.909999999999997</v>
      </c>
      <c r="C609">
        <v>1</v>
      </c>
      <c r="D609">
        <v>106</v>
      </c>
      <c r="E609" s="29">
        <v>45327</v>
      </c>
      <c r="F609" t="s">
        <v>605</v>
      </c>
    </row>
    <row r="610" spans="1:6">
      <c r="A610">
        <v>307</v>
      </c>
      <c r="B610">
        <v>41.88</v>
      </c>
      <c r="C610">
        <v>1</v>
      </c>
      <c r="D610">
        <v>106</v>
      </c>
      <c r="E610" s="29">
        <v>45327</v>
      </c>
      <c r="F610" t="s">
        <v>606</v>
      </c>
    </row>
    <row r="611" spans="1:6">
      <c r="A611">
        <v>319</v>
      </c>
      <c r="B611">
        <v>43.51</v>
      </c>
      <c r="C611">
        <v>1</v>
      </c>
      <c r="D611">
        <v>106</v>
      </c>
      <c r="E611" s="29">
        <v>45327</v>
      </c>
      <c r="F611" t="s">
        <v>607</v>
      </c>
    </row>
    <row r="612" spans="1:6">
      <c r="A612">
        <v>338</v>
      </c>
      <c r="B612">
        <v>46.13</v>
      </c>
      <c r="C612">
        <v>1</v>
      </c>
      <c r="D612">
        <v>106</v>
      </c>
      <c r="E612" s="29">
        <v>45327</v>
      </c>
      <c r="F612" t="s">
        <v>608</v>
      </c>
    </row>
    <row r="613" spans="1:6">
      <c r="A613">
        <v>318</v>
      </c>
      <c r="B613">
        <v>43.34</v>
      </c>
      <c r="C613">
        <v>1</v>
      </c>
      <c r="D613">
        <v>106</v>
      </c>
      <c r="E613" s="29">
        <v>45327</v>
      </c>
      <c r="F613" t="s">
        <v>609</v>
      </c>
    </row>
    <row r="614" spans="1:6">
      <c r="A614">
        <v>271</v>
      </c>
      <c r="B614">
        <v>36.93</v>
      </c>
      <c r="C614">
        <v>1</v>
      </c>
      <c r="D614">
        <v>106</v>
      </c>
      <c r="E614" s="29">
        <v>45327</v>
      </c>
      <c r="F614" t="s">
        <v>610</v>
      </c>
    </row>
    <row r="615" spans="1:6">
      <c r="A615">
        <v>310</v>
      </c>
      <c r="B615">
        <v>42.25</v>
      </c>
      <c r="C615">
        <v>1</v>
      </c>
      <c r="D615">
        <v>106</v>
      </c>
      <c r="E615" s="29">
        <v>45327</v>
      </c>
      <c r="F615" t="s">
        <v>611</v>
      </c>
    </row>
    <row r="616" spans="1:6">
      <c r="A616">
        <v>317</v>
      </c>
      <c r="B616">
        <v>43.26</v>
      </c>
      <c r="C616">
        <v>1</v>
      </c>
      <c r="D616">
        <v>106</v>
      </c>
      <c r="E616" s="29">
        <v>45327</v>
      </c>
      <c r="F616" t="s">
        <v>612</v>
      </c>
    </row>
    <row r="617" spans="1:6">
      <c r="A617">
        <v>296</v>
      </c>
      <c r="B617">
        <v>40.409999999999997</v>
      </c>
      <c r="C617">
        <v>1</v>
      </c>
      <c r="D617">
        <v>106</v>
      </c>
      <c r="E617" s="29">
        <v>45327</v>
      </c>
      <c r="F617" t="s">
        <v>613</v>
      </c>
    </row>
    <row r="618" spans="1:6">
      <c r="A618">
        <v>295</v>
      </c>
      <c r="B618">
        <v>40.25</v>
      </c>
      <c r="C618">
        <v>1</v>
      </c>
      <c r="D618">
        <v>106</v>
      </c>
      <c r="E618" s="29">
        <v>45327</v>
      </c>
      <c r="F618" t="s">
        <v>614</v>
      </c>
    </row>
    <row r="619" spans="1:6">
      <c r="A619">
        <v>278</v>
      </c>
      <c r="B619">
        <v>37.869999999999997</v>
      </c>
      <c r="C619">
        <v>1</v>
      </c>
      <c r="D619">
        <v>106</v>
      </c>
      <c r="E619" s="29">
        <v>45327</v>
      </c>
      <c r="F619" t="s">
        <v>615</v>
      </c>
    </row>
    <row r="621" spans="1:6">
      <c r="A621" t="s">
        <v>186</v>
      </c>
      <c r="B621" t="s">
        <v>616</v>
      </c>
      <c r="C621" t="s">
        <v>617</v>
      </c>
    </row>
    <row r="622" spans="1:6">
      <c r="A622" t="s">
        <v>188</v>
      </c>
    </row>
    <row r="623" spans="1:6">
      <c r="A623" t="s">
        <v>189</v>
      </c>
      <c r="B623" t="s">
        <v>100</v>
      </c>
      <c r="C623" t="s">
        <v>102</v>
      </c>
      <c r="D623" t="s">
        <v>101</v>
      </c>
      <c r="E623" t="s">
        <v>190</v>
      </c>
      <c r="F623" t="s">
        <v>191</v>
      </c>
    </row>
    <row r="624" spans="1:6">
      <c r="A624">
        <v>12</v>
      </c>
      <c r="B624">
        <v>215</v>
      </c>
      <c r="C624">
        <v>257</v>
      </c>
      <c r="D624">
        <v>183</v>
      </c>
      <c r="E624" t="s">
        <v>192</v>
      </c>
      <c r="F624" t="s">
        <v>193</v>
      </c>
    </row>
    <row r="625" spans="1:6">
      <c r="A625">
        <v>12</v>
      </c>
      <c r="B625">
        <v>29.25</v>
      </c>
      <c r="C625">
        <v>35.049999999999997</v>
      </c>
      <c r="D625">
        <v>24.96</v>
      </c>
      <c r="E625" t="s">
        <v>95</v>
      </c>
      <c r="F625" t="s">
        <v>586</v>
      </c>
    </row>
    <row r="626" spans="1:6">
      <c r="A626" t="s">
        <v>195</v>
      </c>
    </row>
    <row r="627" spans="1:6">
      <c r="A627" t="s">
        <v>196</v>
      </c>
      <c r="B627" t="s">
        <v>197</v>
      </c>
      <c r="C627" t="s">
        <v>198</v>
      </c>
      <c r="D627" t="s">
        <v>199</v>
      </c>
      <c r="E627" t="s">
        <v>200</v>
      </c>
      <c r="F627" t="s">
        <v>201</v>
      </c>
    </row>
    <row r="628" spans="1:6">
      <c r="A628">
        <v>186</v>
      </c>
      <c r="B628">
        <v>25.32</v>
      </c>
      <c r="C628">
        <v>1</v>
      </c>
      <c r="D628">
        <v>106</v>
      </c>
      <c r="E628" s="29">
        <v>45327</v>
      </c>
      <c r="F628" t="s">
        <v>618</v>
      </c>
    </row>
    <row r="629" spans="1:6">
      <c r="A629">
        <v>217</v>
      </c>
      <c r="B629">
        <v>29.64</v>
      </c>
      <c r="C629">
        <v>1</v>
      </c>
      <c r="D629">
        <v>106</v>
      </c>
      <c r="E629" s="29">
        <v>45327</v>
      </c>
      <c r="F629" t="s">
        <v>619</v>
      </c>
    </row>
    <row r="630" spans="1:6">
      <c r="A630">
        <v>206</v>
      </c>
      <c r="B630">
        <v>28.02</v>
      </c>
      <c r="C630">
        <v>1</v>
      </c>
      <c r="D630">
        <v>106</v>
      </c>
      <c r="E630" s="29">
        <v>45327</v>
      </c>
      <c r="F630" t="s">
        <v>620</v>
      </c>
    </row>
    <row r="631" spans="1:6">
      <c r="A631">
        <v>244</v>
      </c>
      <c r="B631">
        <v>33.299999999999997</v>
      </c>
      <c r="C631">
        <v>1</v>
      </c>
      <c r="D631">
        <v>106</v>
      </c>
      <c r="E631" s="29">
        <v>45327</v>
      </c>
      <c r="F631" t="s">
        <v>621</v>
      </c>
    </row>
    <row r="632" spans="1:6">
      <c r="A632">
        <v>257</v>
      </c>
      <c r="B632">
        <v>35.049999999999997</v>
      </c>
      <c r="C632">
        <v>1</v>
      </c>
      <c r="D632">
        <v>106</v>
      </c>
      <c r="E632" s="29">
        <v>45327</v>
      </c>
      <c r="F632" t="s">
        <v>622</v>
      </c>
    </row>
    <row r="633" spans="1:6">
      <c r="A633">
        <v>218</v>
      </c>
      <c r="B633">
        <v>29.74</v>
      </c>
      <c r="C633">
        <v>1</v>
      </c>
      <c r="D633">
        <v>106</v>
      </c>
      <c r="E633" s="29">
        <v>45327</v>
      </c>
      <c r="F633" t="s">
        <v>623</v>
      </c>
    </row>
    <row r="634" spans="1:6">
      <c r="A634">
        <v>205</v>
      </c>
      <c r="B634">
        <v>27.99</v>
      </c>
      <c r="C634">
        <v>1</v>
      </c>
      <c r="D634">
        <v>106</v>
      </c>
      <c r="E634" s="29">
        <v>45327</v>
      </c>
      <c r="F634" t="s">
        <v>624</v>
      </c>
    </row>
    <row r="635" spans="1:6">
      <c r="A635">
        <v>231</v>
      </c>
      <c r="B635">
        <v>31.55</v>
      </c>
      <c r="C635">
        <v>1</v>
      </c>
      <c r="D635">
        <v>106</v>
      </c>
      <c r="E635" s="29">
        <v>45327</v>
      </c>
      <c r="F635" t="s">
        <v>625</v>
      </c>
    </row>
    <row r="636" spans="1:6">
      <c r="A636">
        <v>223</v>
      </c>
      <c r="B636">
        <v>30.44</v>
      </c>
      <c r="C636">
        <v>1</v>
      </c>
      <c r="D636">
        <v>106</v>
      </c>
      <c r="E636" s="29">
        <v>45327</v>
      </c>
      <c r="F636" t="s">
        <v>626</v>
      </c>
    </row>
    <row r="637" spans="1:6">
      <c r="A637">
        <v>204</v>
      </c>
      <c r="B637">
        <v>27.77</v>
      </c>
      <c r="C637">
        <v>1</v>
      </c>
      <c r="D637">
        <v>106</v>
      </c>
      <c r="E637" s="29">
        <v>45327</v>
      </c>
      <c r="F637" t="s">
        <v>627</v>
      </c>
    </row>
    <row r="638" spans="1:6">
      <c r="A638">
        <v>200</v>
      </c>
      <c r="B638">
        <v>27.23</v>
      </c>
      <c r="C638">
        <v>1</v>
      </c>
      <c r="D638">
        <v>106</v>
      </c>
      <c r="E638" s="29">
        <v>45327</v>
      </c>
      <c r="F638" t="s">
        <v>628</v>
      </c>
    </row>
    <row r="639" spans="1:6">
      <c r="A639">
        <v>183</v>
      </c>
      <c r="B639">
        <v>24.96</v>
      </c>
      <c r="C639">
        <v>1</v>
      </c>
      <c r="D639">
        <v>106</v>
      </c>
      <c r="E639" s="29">
        <v>45327</v>
      </c>
      <c r="F639" t="s">
        <v>629</v>
      </c>
    </row>
    <row r="641" spans="1:6">
      <c r="A641" t="s">
        <v>186</v>
      </c>
      <c r="B641" t="s">
        <v>630</v>
      </c>
      <c r="C641" t="s">
        <v>631</v>
      </c>
    </row>
    <row r="642" spans="1:6">
      <c r="A642" t="s">
        <v>188</v>
      </c>
    </row>
    <row r="643" spans="1:6">
      <c r="A643" t="s">
        <v>189</v>
      </c>
      <c r="B643" t="s">
        <v>100</v>
      </c>
      <c r="C643" t="s">
        <v>102</v>
      </c>
      <c r="D643" t="s">
        <v>101</v>
      </c>
      <c r="E643" t="s">
        <v>190</v>
      </c>
      <c r="F643" t="s">
        <v>191</v>
      </c>
    </row>
    <row r="644" spans="1:6">
      <c r="A644">
        <v>12</v>
      </c>
      <c r="B644">
        <v>214</v>
      </c>
      <c r="C644">
        <v>247</v>
      </c>
      <c r="D644">
        <v>172</v>
      </c>
      <c r="E644" t="s">
        <v>192</v>
      </c>
      <c r="F644" t="s">
        <v>193</v>
      </c>
    </row>
    <row r="645" spans="1:6">
      <c r="A645">
        <v>12</v>
      </c>
      <c r="B645">
        <v>29.24</v>
      </c>
      <c r="C645">
        <v>33.65</v>
      </c>
      <c r="D645">
        <v>23.45</v>
      </c>
      <c r="E645" t="s">
        <v>95</v>
      </c>
      <c r="F645" t="s">
        <v>586</v>
      </c>
    </row>
    <row r="646" spans="1:6">
      <c r="A646" t="s">
        <v>195</v>
      </c>
    </row>
    <row r="647" spans="1:6">
      <c r="A647" t="s">
        <v>196</v>
      </c>
      <c r="B647" t="s">
        <v>197</v>
      </c>
      <c r="C647" t="s">
        <v>198</v>
      </c>
      <c r="D647" t="s">
        <v>199</v>
      </c>
      <c r="E647" t="s">
        <v>200</v>
      </c>
      <c r="F647" t="s">
        <v>201</v>
      </c>
    </row>
    <row r="648" spans="1:6">
      <c r="A648">
        <v>219</v>
      </c>
      <c r="B648">
        <v>29.8</v>
      </c>
      <c r="C648">
        <v>1</v>
      </c>
      <c r="D648">
        <v>106</v>
      </c>
      <c r="E648" s="29">
        <v>45327</v>
      </c>
      <c r="F648" t="s">
        <v>632</v>
      </c>
    </row>
    <row r="649" spans="1:6">
      <c r="A649">
        <v>237</v>
      </c>
      <c r="B649">
        <v>32.35</v>
      </c>
      <c r="C649">
        <v>1</v>
      </c>
      <c r="D649">
        <v>106</v>
      </c>
      <c r="E649" s="29">
        <v>45327</v>
      </c>
      <c r="F649" t="s">
        <v>633</v>
      </c>
    </row>
    <row r="650" spans="1:6">
      <c r="A650">
        <v>213</v>
      </c>
      <c r="B650">
        <v>29.07</v>
      </c>
      <c r="C650">
        <v>1</v>
      </c>
      <c r="D650">
        <v>106</v>
      </c>
      <c r="E650" s="29">
        <v>45327</v>
      </c>
      <c r="F650" t="s">
        <v>634</v>
      </c>
    </row>
    <row r="651" spans="1:6">
      <c r="A651">
        <v>223</v>
      </c>
      <c r="B651">
        <v>30.34</v>
      </c>
      <c r="C651">
        <v>1</v>
      </c>
      <c r="D651">
        <v>106</v>
      </c>
      <c r="E651" s="29">
        <v>45327</v>
      </c>
      <c r="F651" t="s">
        <v>635</v>
      </c>
    </row>
    <row r="652" spans="1:6">
      <c r="A652">
        <v>213</v>
      </c>
      <c r="B652">
        <v>29.11</v>
      </c>
      <c r="C652">
        <v>1</v>
      </c>
      <c r="D652">
        <v>106</v>
      </c>
      <c r="E652" s="29">
        <v>45327</v>
      </c>
      <c r="F652" t="s">
        <v>636</v>
      </c>
    </row>
    <row r="653" spans="1:6">
      <c r="A653">
        <v>172</v>
      </c>
      <c r="B653">
        <v>23.45</v>
      </c>
      <c r="C653">
        <v>1</v>
      </c>
      <c r="D653">
        <v>106</v>
      </c>
      <c r="E653" s="29">
        <v>45327</v>
      </c>
      <c r="F653" t="s">
        <v>637</v>
      </c>
    </row>
    <row r="654" spans="1:6">
      <c r="A654">
        <v>227</v>
      </c>
      <c r="B654">
        <v>30.99</v>
      </c>
      <c r="C654">
        <v>1</v>
      </c>
      <c r="D654">
        <v>106</v>
      </c>
      <c r="E654" s="29">
        <v>45327</v>
      </c>
      <c r="F654" t="s">
        <v>638</v>
      </c>
    </row>
    <row r="655" spans="1:6">
      <c r="A655">
        <v>247</v>
      </c>
      <c r="B655">
        <v>33.65</v>
      </c>
      <c r="C655">
        <v>1</v>
      </c>
      <c r="D655">
        <v>106</v>
      </c>
      <c r="E655" s="29">
        <v>45327</v>
      </c>
      <c r="F655" t="s">
        <v>639</v>
      </c>
    </row>
    <row r="656" spans="1:6">
      <c r="A656">
        <v>227</v>
      </c>
      <c r="B656">
        <v>30.92</v>
      </c>
      <c r="C656">
        <v>1</v>
      </c>
      <c r="D656">
        <v>106</v>
      </c>
      <c r="E656" s="29">
        <v>45327</v>
      </c>
      <c r="F656" t="s">
        <v>640</v>
      </c>
    </row>
    <row r="657" spans="1:6">
      <c r="A657">
        <v>209</v>
      </c>
      <c r="B657">
        <v>28.55</v>
      </c>
      <c r="C657">
        <v>1</v>
      </c>
      <c r="D657">
        <v>106</v>
      </c>
      <c r="E657" s="29">
        <v>45327</v>
      </c>
      <c r="F657" t="s">
        <v>641</v>
      </c>
    </row>
    <row r="658" spans="1:6">
      <c r="A658">
        <v>191</v>
      </c>
      <c r="B658">
        <v>26.01</v>
      </c>
      <c r="C658">
        <v>1</v>
      </c>
      <c r="D658">
        <v>106</v>
      </c>
      <c r="E658" s="29">
        <v>45327</v>
      </c>
      <c r="F658" t="s">
        <v>642</v>
      </c>
    </row>
    <row r="659" spans="1:6">
      <c r="A659">
        <v>195</v>
      </c>
      <c r="B659">
        <v>26.59</v>
      </c>
      <c r="C659">
        <v>1</v>
      </c>
      <c r="D659">
        <v>106</v>
      </c>
      <c r="E659" s="29">
        <v>45327</v>
      </c>
      <c r="F659" t="s">
        <v>643</v>
      </c>
    </row>
    <row r="661" spans="1:6">
      <c r="A661" t="s">
        <v>186</v>
      </c>
      <c r="B661" t="s">
        <v>644</v>
      </c>
      <c r="C661" t="s">
        <v>17</v>
      </c>
    </row>
    <row r="662" spans="1:6">
      <c r="A662" t="s">
        <v>188</v>
      </c>
    </row>
    <row r="663" spans="1:6">
      <c r="A663" t="s">
        <v>189</v>
      </c>
      <c r="B663" t="s">
        <v>100</v>
      </c>
      <c r="C663" t="s">
        <v>102</v>
      </c>
      <c r="D663" t="s">
        <v>101</v>
      </c>
      <c r="E663" t="s">
        <v>190</v>
      </c>
      <c r="F663" t="s">
        <v>191</v>
      </c>
    </row>
    <row r="664" spans="1:6">
      <c r="A664">
        <v>13</v>
      </c>
      <c r="B664">
        <v>230</v>
      </c>
      <c r="C664">
        <v>301</v>
      </c>
      <c r="D664">
        <v>-7</v>
      </c>
      <c r="E664" t="s">
        <v>192</v>
      </c>
      <c r="F664" t="s">
        <v>193</v>
      </c>
    </row>
    <row r="665" spans="1:6">
      <c r="A665">
        <v>13</v>
      </c>
      <c r="B665">
        <v>45.25</v>
      </c>
      <c r="C665">
        <v>59.06</v>
      </c>
      <c r="D665">
        <v>-1.42</v>
      </c>
      <c r="E665" t="s">
        <v>95</v>
      </c>
      <c r="F665" t="s">
        <v>645</v>
      </c>
    </row>
    <row r="666" spans="1:6">
      <c r="A666" t="s">
        <v>195</v>
      </c>
    </row>
    <row r="667" spans="1:6">
      <c r="A667" t="s">
        <v>196</v>
      </c>
      <c r="B667" t="s">
        <v>197</v>
      </c>
      <c r="C667" t="s">
        <v>198</v>
      </c>
      <c r="D667" t="s">
        <v>199</v>
      </c>
      <c r="E667" t="s">
        <v>200</v>
      </c>
      <c r="F667" t="s">
        <v>201</v>
      </c>
    </row>
    <row r="668" spans="1:6">
      <c r="A668">
        <v>248</v>
      </c>
      <c r="B668">
        <v>48.64</v>
      </c>
      <c r="C668">
        <v>1</v>
      </c>
      <c r="D668">
        <v>106</v>
      </c>
      <c r="E668" s="29">
        <v>45327</v>
      </c>
      <c r="F668" t="s">
        <v>646</v>
      </c>
    </row>
    <row r="669" spans="1:6">
      <c r="A669">
        <v>259</v>
      </c>
      <c r="B669">
        <v>50.89</v>
      </c>
      <c r="C669">
        <v>1</v>
      </c>
      <c r="D669">
        <v>106</v>
      </c>
      <c r="E669" s="29">
        <v>45327</v>
      </c>
      <c r="F669" t="s">
        <v>647</v>
      </c>
    </row>
    <row r="670" spans="1:6">
      <c r="A670">
        <v>277</v>
      </c>
      <c r="B670">
        <v>54.37</v>
      </c>
      <c r="C670">
        <v>1</v>
      </c>
      <c r="D670">
        <v>106</v>
      </c>
      <c r="E670" s="29">
        <v>45327</v>
      </c>
      <c r="F670" t="s">
        <v>648</v>
      </c>
    </row>
    <row r="671" spans="1:6">
      <c r="A671">
        <v>245</v>
      </c>
      <c r="B671">
        <v>48.04</v>
      </c>
      <c r="C671">
        <v>1</v>
      </c>
      <c r="D671">
        <v>106</v>
      </c>
      <c r="E671" s="29">
        <v>45327</v>
      </c>
      <c r="F671" t="s">
        <v>649</v>
      </c>
    </row>
    <row r="672" spans="1:6">
      <c r="A672">
        <v>249</v>
      </c>
      <c r="B672">
        <v>48.87</v>
      </c>
      <c r="C672">
        <v>1</v>
      </c>
      <c r="D672">
        <v>106</v>
      </c>
      <c r="E672" s="29">
        <v>45327</v>
      </c>
      <c r="F672" t="s">
        <v>650</v>
      </c>
    </row>
    <row r="673" spans="1:6">
      <c r="A673">
        <v>216</v>
      </c>
      <c r="B673">
        <v>42.41</v>
      </c>
      <c r="C673">
        <v>1</v>
      </c>
      <c r="D673">
        <v>106</v>
      </c>
      <c r="E673" s="29">
        <v>45327</v>
      </c>
      <c r="F673" t="s">
        <v>651</v>
      </c>
    </row>
    <row r="674" spans="1:6">
      <c r="A674">
        <v>240</v>
      </c>
      <c r="B674">
        <v>47.06</v>
      </c>
      <c r="C674">
        <v>1</v>
      </c>
      <c r="D674">
        <v>106</v>
      </c>
      <c r="E674" s="29">
        <v>45327</v>
      </c>
      <c r="F674" t="s">
        <v>652</v>
      </c>
    </row>
    <row r="675" spans="1:6">
      <c r="A675">
        <v>288</v>
      </c>
      <c r="B675">
        <v>56.55</v>
      </c>
      <c r="C675">
        <v>1</v>
      </c>
      <c r="D675">
        <v>106</v>
      </c>
      <c r="E675" s="29">
        <v>45327</v>
      </c>
      <c r="F675" t="s">
        <v>653</v>
      </c>
    </row>
    <row r="676" spans="1:6">
      <c r="A676">
        <v>301</v>
      </c>
      <c r="B676">
        <v>59.06</v>
      </c>
      <c r="C676">
        <v>1</v>
      </c>
      <c r="D676">
        <v>106</v>
      </c>
      <c r="E676" s="29">
        <v>45327</v>
      </c>
      <c r="F676" t="s">
        <v>654</v>
      </c>
    </row>
    <row r="677" spans="1:6">
      <c r="A677">
        <v>258</v>
      </c>
      <c r="B677">
        <v>50.56</v>
      </c>
      <c r="C677">
        <v>1</v>
      </c>
      <c r="D677">
        <v>106</v>
      </c>
      <c r="E677" s="29">
        <v>45327</v>
      </c>
      <c r="F677" t="s">
        <v>655</v>
      </c>
    </row>
    <row r="678" spans="1:6">
      <c r="A678">
        <v>210</v>
      </c>
      <c r="B678">
        <v>41.21</v>
      </c>
      <c r="C678">
        <v>1</v>
      </c>
      <c r="D678">
        <v>106</v>
      </c>
      <c r="E678" s="29">
        <v>45327</v>
      </c>
      <c r="F678" t="s">
        <v>656</v>
      </c>
    </row>
    <row r="679" spans="1:6">
      <c r="A679">
        <v>214</v>
      </c>
      <c r="B679">
        <v>42.01</v>
      </c>
      <c r="C679">
        <v>1</v>
      </c>
      <c r="D679">
        <v>106</v>
      </c>
      <c r="E679" s="29">
        <v>45327</v>
      </c>
      <c r="F679" t="s">
        <v>657</v>
      </c>
    </row>
    <row r="680" spans="1:6">
      <c r="A680">
        <v>-7</v>
      </c>
      <c r="B680">
        <v>-1.42</v>
      </c>
      <c r="C680">
        <v>1</v>
      </c>
      <c r="D680">
        <v>106</v>
      </c>
      <c r="E680" s="29">
        <v>45327</v>
      </c>
      <c r="F680" t="s">
        <v>658</v>
      </c>
    </row>
    <row r="682" spans="1:6">
      <c r="A682" t="s">
        <v>186</v>
      </c>
      <c r="B682" t="s">
        <v>659</v>
      </c>
      <c r="C682" t="s">
        <v>17</v>
      </c>
    </row>
    <row r="683" spans="1:6">
      <c r="A683" t="s">
        <v>188</v>
      </c>
    </row>
    <row r="684" spans="1:6">
      <c r="A684" t="s">
        <v>189</v>
      </c>
      <c r="B684" t="s">
        <v>100</v>
      </c>
      <c r="C684" t="s">
        <v>102</v>
      </c>
      <c r="D684" t="s">
        <v>101</v>
      </c>
      <c r="E684" t="s">
        <v>190</v>
      </c>
      <c r="F684" t="s">
        <v>191</v>
      </c>
    </row>
    <row r="685" spans="1:6">
      <c r="A685">
        <v>12</v>
      </c>
      <c r="B685">
        <v>259</v>
      </c>
      <c r="C685">
        <v>294</v>
      </c>
      <c r="D685">
        <v>230</v>
      </c>
      <c r="E685" t="s">
        <v>192</v>
      </c>
      <c r="F685" t="s">
        <v>193</v>
      </c>
    </row>
    <row r="686" spans="1:6">
      <c r="A686">
        <v>12</v>
      </c>
      <c r="B686">
        <v>50.77</v>
      </c>
      <c r="C686">
        <v>57.67</v>
      </c>
      <c r="D686">
        <v>45.14</v>
      </c>
      <c r="E686" t="s">
        <v>95</v>
      </c>
      <c r="F686" t="s">
        <v>645</v>
      </c>
    </row>
    <row r="687" spans="1:6">
      <c r="A687" t="s">
        <v>195</v>
      </c>
    </row>
    <row r="688" spans="1:6">
      <c r="A688" t="s">
        <v>196</v>
      </c>
      <c r="B688" t="s">
        <v>197</v>
      </c>
      <c r="C688" t="s">
        <v>198</v>
      </c>
      <c r="D688" t="s">
        <v>199</v>
      </c>
      <c r="E688" t="s">
        <v>200</v>
      </c>
      <c r="F688" t="s">
        <v>201</v>
      </c>
    </row>
    <row r="689" spans="1:6">
      <c r="A689">
        <v>230</v>
      </c>
      <c r="B689">
        <v>45.14</v>
      </c>
      <c r="C689">
        <v>1</v>
      </c>
      <c r="D689">
        <v>106</v>
      </c>
      <c r="E689" s="29">
        <v>45327</v>
      </c>
      <c r="F689" t="s">
        <v>660</v>
      </c>
    </row>
    <row r="690" spans="1:6">
      <c r="A690">
        <v>294</v>
      </c>
      <c r="B690">
        <v>57.67</v>
      </c>
      <c r="C690">
        <v>1</v>
      </c>
      <c r="D690">
        <v>106</v>
      </c>
      <c r="E690" s="29">
        <v>45327</v>
      </c>
      <c r="F690" t="s">
        <v>661</v>
      </c>
    </row>
    <row r="691" spans="1:6">
      <c r="A691">
        <v>292</v>
      </c>
      <c r="B691">
        <v>57.41</v>
      </c>
      <c r="C691">
        <v>1</v>
      </c>
      <c r="D691">
        <v>106</v>
      </c>
      <c r="E691" s="29">
        <v>45327</v>
      </c>
      <c r="F691" t="s">
        <v>662</v>
      </c>
    </row>
    <row r="692" spans="1:6">
      <c r="A692">
        <v>244</v>
      </c>
      <c r="B692">
        <v>47.91</v>
      </c>
      <c r="C692">
        <v>1</v>
      </c>
      <c r="D692">
        <v>106</v>
      </c>
      <c r="E692" s="29">
        <v>45327</v>
      </c>
      <c r="F692" t="s">
        <v>663</v>
      </c>
    </row>
    <row r="693" spans="1:6">
      <c r="A693">
        <v>248</v>
      </c>
      <c r="B693">
        <v>48.79</v>
      </c>
      <c r="C693">
        <v>1</v>
      </c>
      <c r="D693">
        <v>106</v>
      </c>
      <c r="E693" s="29">
        <v>45327</v>
      </c>
      <c r="F693" t="s">
        <v>664</v>
      </c>
    </row>
    <row r="694" spans="1:6">
      <c r="A694">
        <v>252</v>
      </c>
      <c r="B694">
        <v>49.55</v>
      </c>
      <c r="C694">
        <v>1</v>
      </c>
      <c r="D694">
        <v>106</v>
      </c>
      <c r="E694" s="29">
        <v>45327</v>
      </c>
      <c r="F694" t="s">
        <v>665</v>
      </c>
    </row>
    <row r="695" spans="1:6">
      <c r="A695">
        <v>238</v>
      </c>
      <c r="B695">
        <v>46.82</v>
      </c>
      <c r="C695">
        <v>1</v>
      </c>
      <c r="D695">
        <v>106</v>
      </c>
      <c r="E695" s="29">
        <v>45327</v>
      </c>
      <c r="F695" t="s">
        <v>666</v>
      </c>
    </row>
    <row r="696" spans="1:6">
      <c r="A696">
        <v>292</v>
      </c>
      <c r="B696">
        <v>57.37</v>
      </c>
      <c r="C696">
        <v>1</v>
      </c>
      <c r="D696">
        <v>106</v>
      </c>
      <c r="E696" s="29">
        <v>45327</v>
      </c>
      <c r="F696" t="s">
        <v>667</v>
      </c>
    </row>
    <row r="697" spans="1:6">
      <c r="A697">
        <v>270</v>
      </c>
      <c r="B697">
        <v>53.05</v>
      </c>
      <c r="C697">
        <v>1</v>
      </c>
      <c r="D697">
        <v>106</v>
      </c>
      <c r="E697" s="29">
        <v>45327</v>
      </c>
      <c r="F697" t="s">
        <v>668</v>
      </c>
    </row>
    <row r="698" spans="1:6">
      <c r="A698">
        <v>243</v>
      </c>
      <c r="B698">
        <v>47.66</v>
      </c>
      <c r="C698">
        <v>1</v>
      </c>
      <c r="D698">
        <v>106</v>
      </c>
      <c r="E698" s="29">
        <v>45327</v>
      </c>
      <c r="F698" t="s">
        <v>669</v>
      </c>
    </row>
    <row r="699" spans="1:6">
      <c r="A699">
        <v>256</v>
      </c>
      <c r="B699">
        <v>50.34</v>
      </c>
      <c r="C699">
        <v>1</v>
      </c>
      <c r="D699">
        <v>106</v>
      </c>
      <c r="E699" s="29">
        <v>45327</v>
      </c>
      <c r="F699" t="s">
        <v>670</v>
      </c>
    </row>
    <row r="700" spans="1:6">
      <c r="A700">
        <v>242</v>
      </c>
      <c r="B700">
        <v>47.58</v>
      </c>
      <c r="C700">
        <v>1</v>
      </c>
      <c r="D700">
        <v>106</v>
      </c>
      <c r="E700" s="29">
        <v>45327</v>
      </c>
      <c r="F700" t="s">
        <v>671</v>
      </c>
    </row>
    <row r="702" spans="1:6">
      <c r="A702" t="s">
        <v>186</v>
      </c>
      <c r="B702" t="s">
        <v>672</v>
      </c>
      <c r="C702" t="s">
        <v>17</v>
      </c>
    </row>
    <row r="703" spans="1:6">
      <c r="A703" t="s">
        <v>188</v>
      </c>
    </row>
    <row r="704" spans="1:6">
      <c r="A704" t="s">
        <v>189</v>
      </c>
      <c r="B704" t="s">
        <v>100</v>
      </c>
      <c r="C704" t="s">
        <v>102</v>
      </c>
      <c r="D704" t="s">
        <v>101</v>
      </c>
      <c r="E704" t="s">
        <v>190</v>
      </c>
      <c r="F704" t="s">
        <v>191</v>
      </c>
    </row>
    <row r="705" spans="1:6">
      <c r="A705">
        <v>12</v>
      </c>
      <c r="B705">
        <v>269</v>
      </c>
      <c r="C705">
        <v>308</v>
      </c>
      <c r="D705">
        <v>234</v>
      </c>
      <c r="E705" t="s">
        <v>192</v>
      </c>
      <c r="F705" t="s">
        <v>193</v>
      </c>
    </row>
    <row r="706" spans="1:6">
      <c r="A706">
        <v>12</v>
      </c>
      <c r="B706">
        <v>52.83</v>
      </c>
      <c r="C706">
        <v>60.42</v>
      </c>
      <c r="D706">
        <v>46.04</v>
      </c>
      <c r="E706" t="s">
        <v>95</v>
      </c>
      <c r="F706" t="s">
        <v>645</v>
      </c>
    </row>
    <row r="707" spans="1:6">
      <c r="A707" t="s">
        <v>195</v>
      </c>
    </row>
    <row r="708" spans="1:6">
      <c r="A708" t="s">
        <v>196</v>
      </c>
      <c r="B708" t="s">
        <v>197</v>
      </c>
      <c r="C708" t="s">
        <v>198</v>
      </c>
      <c r="D708" t="s">
        <v>199</v>
      </c>
      <c r="E708" t="s">
        <v>200</v>
      </c>
      <c r="F708" t="s">
        <v>201</v>
      </c>
    </row>
    <row r="709" spans="1:6">
      <c r="A709">
        <v>234</v>
      </c>
      <c r="B709">
        <v>46.04</v>
      </c>
      <c r="C709">
        <v>1</v>
      </c>
      <c r="D709">
        <v>106</v>
      </c>
      <c r="E709" s="29">
        <v>45327</v>
      </c>
      <c r="F709" t="s">
        <v>673</v>
      </c>
    </row>
    <row r="710" spans="1:6">
      <c r="A710">
        <v>255</v>
      </c>
      <c r="B710">
        <v>50.09</v>
      </c>
      <c r="C710">
        <v>1</v>
      </c>
      <c r="D710">
        <v>106</v>
      </c>
      <c r="E710" s="29">
        <v>45327</v>
      </c>
      <c r="F710" t="s">
        <v>674</v>
      </c>
    </row>
    <row r="711" spans="1:6">
      <c r="A711">
        <v>276</v>
      </c>
      <c r="B711">
        <v>54.18</v>
      </c>
      <c r="C711">
        <v>1</v>
      </c>
      <c r="D711">
        <v>106</v>
      </c>
      <c r="E711" s="29">
        <v>45327</v>
      </c>
      <c r="F711" t="s">
        <v>675</v>
      </c>
    </row>
    <row r="712" spans="1:6">
      <c r="A712">
        <v>259</v>
      </c>
      <c r="B712">
        <v>50.79</v>
      </c>
      <c r="C712">
        <v>1</v>
      </c>
      <c r="D712">
        <v>106</v>
      </c>
      <c r="E712" s="29">
        <v>45327</v>
      </c>
      <c r="F712" t="s">
        <v>676</v>
      </c>
    </row>
    <row r="713" spans="1:6">
      <c r="A713">
        <v>295</v>
      </c>
      <c r="B713">
        <v>57.91</v>
      </c>
      <c r="C713">
        <v>1</v>
      </c>
      <c r="D713">
        <v>106</v>
      </c>
      <c r="E713" s="29">
        <v>45327</v>
      </c>
      <c r="F713" t="s">
        <v>677</v>
      </c>
    </row>
    <row r="714" spans="1:6">
      <c r="A714">
        <v>272</v>
      </c>
      <c r="B714">
        <v>53.34</v>
      </c>
      <c r="C714">
        <v>1</v>
      </c>
      <c r="D714">
        <v>106</v>
      </c>
      <c r="E714" s="29">
        <v>45327</v>
      </c>
      <c r="F714" t="s">
        <v>678</v>
      </c>
    </row>
    <row r="715" spans="1:6">
      <c r="A715">
        <v>260</v>
      </c>
      <c r="B715">
        <v>51.07</v>
      </c>
      <c r="C715">
        <v>1</v>
      </c>
      <c r="D715">
        <v>106</v>
      </c>
      <c r="E715" s="29">
        <v>45327</v>
      </c>
      <c r="F715" t="s">
        <v>679</v>
      </c>
    </row>
    <row r="716" spans="1:6">
      <c r="A716">
        <v>308</v>
      </c>
      <c r="B716">
        <v>60.42</v>
      </c>
      <c r="C716">
        <v>1</v>
      </c>
      <c r="D716">
        <v>106</v>
      </c>
      <c r="E716" s="29">
        <v>45327</v>
      </c>
      <c r="F716" t="s">
        <v>680</v>
      </c>
    </row>
    <row r="717" spans="1:6">
      <c r="A717">
        <v>282</v>
      </c>
      <c r="B717">
        <v>55.31</v>
      </c>
      <c r="C717">
        <v>1</v>
      </c>
      <c r="D717">
        <v>106</v>
      </c>
      <c r="E717" s="29">
        <v>45327</v>
      </c>
      <c r="F717" t="s">
        <v>681</v>
      </c>
    </row>
    <row r="718" spans="1:6">
      <c r="A718">
        <v>288</v>
      </c>
      <c r="B718">
        <v>56.61</v>
      </c>
      <c r="C718">
        <v>1</v>
      </c>
      <c r="D718">
        <v>106</v>
      </c>
      <c r="E718" s="29">
        <v>45327</v>
      </c>
      <c r="F718" t="s">
        <v>682</v>
      </c>
    </row>
    <row r="719" spans="1:6">
      <c r="A719">
        <v>248</v>
      </c>
      <c r="B719">
        <v>48.61</v>
      </c>
      <c r="C719">
        <v>1</v>
      </c>
      <c r="D719">
        <v>106</v>
      </c>
      <c r="E719" s="29">
        <v>45327</v>
      </c>
      <c r="F719" t="s">
        <v>683</v>
      </c>
    </row>
    <row r="720" spans="1:6">
      <c r="A720">
        <v>253</v>
      </c>
      <c r="B720">
        <v>49.63</v>
      </c>
      <c r="C720">
        <v>1</v>
      </c>
      <c r="D720">
        <v>106</v>
      </c>
      <c r="E720" s="29">
        <v>45327</v>
      </c>
      <c r="F720" t="s">
        <v>684</v>
      </c>
    </row>
    <row r="722" spans="1:6">
      <c r="A722" t="s">
        <v>186</v>
      </c>
      <c r="B722" t="s">
        <v>685</v>
      </c>
      <c r="C722" t="s">
        <v>14</v>
      </c>
    </row>
    <row r="723" spans="1:6">
      <c r="A723" t="s">
        <v>188</v>
      </c>
    </row>
    <row r="724" spans="1:6">
      <c r="A724" t="s">
        <v>189</v>
      </c>
      <c r="B724" t="s">
        <v>100</v>
      </c>
      <c r="C724" t="s">
        <v>102</v>
      </c>
      <c r="D724" t="s">
        <v>101</v>
      </c>
      <c r="E724" t="s">
        <v>190</v>
      </c>
      <c r="F724" t="s">
        <v>191</v>
      </c>
    </row>
    <row r="725" spans="1:6">
      <c r="A725">
        <v>12</v>
      </c>
      <c r="B725">
        <v>286</v>
      </c>
      <c r="C725">
        <v>378</v>
      </c>
      <c r="D725">
        <v>198</v>
      </c>
      <c r="E725" t="s">
        <v>192</v>
      </c>
      <c r="F725" t="s">
        <v>193</v>
      </c>
    </row>
    <row r="726" spans="1:6">
      <c r="A726">
        <v>12</v>
      </c>
      <c r="B726">
        <v>56.09</v>
      </c>
      <c r="C726">
        <v>74.25</v>
      </c>
      <c r="D726">
        <v>38.94</v>
      </c>
      <c r="E726" t="s">
        <v>95</v>
      </c>
      <c r="F726" t="s">
        <v>645</v>
      </c>
    </row>
    <row r="727" spans="1:6">
      <c r="A727" t="s">
        <v>195</v>
      </c>
    </row>
    <row r="728" spans="1:6">
      <c r="A728" t="s">
        <v>196</v>
      </c>
      <c r="B728" t="s">
        <v>197</v>
      </c>
      <c r="C728" t="s">
        <v>198</v>
      </c>
      <c r="D728" t="s">
        <v>199</v>
      </c>
      <c r="E728" t="s">
        <v>200</v>
      </c>
      <c r="F728" t="s">
        <v>201</v>
      </c>
    </row>
    <row r="729" spans="1:6">
      <c r="A729">
        <v>262</v>
      </c>
      <c r="B729">
        <v>51.52</v>
      </c>
      <c r="C729">
        <v>1</v>
      </c>
      <c r="D729">
        <v>106</v>
      </c>
      <c r="E729" s="29">
        <v>45327</v>
      </c>
      <c r="F729" t="s">
        <v>686</v>
      </c>
    </row>
    <row r="730" spans="1:6">
      <c r="A730">
        <v>198</v>
      </c>
      <c r="B730">
        <v>38.94</v>
      </c>
      <c r="C730">
        <v>1</v>
      </c>
      <c r="D730">
        <v>106</v>
      </c>
      <c r="E730" s="29">
        <v>45327</v>
      </c>
      <c r="F730" t="s">
        <v>687</v>
      </c>
    </row>
    <row r="731" spans="1:6">
      <c r="A731">
        <v>230</v>
      </c>
      <c r="B731">
        <v>45.08</v>
      </c>
      <c r="C731">
        <v>1</v>
      </c>
      <c r="D731">
        <v>106</v>
      </c>
      <c r="E731" s="29">
        <v>45327</v>
      </c>
      <c r="F731" t="s">
        <v>688</v>
      </c>
    </row>
    <row r="732" spans="1:6">
      <c r="A732">
        <v>324</v>
      </c>
      <c r="B732">
        <v>63.54</v>
      </c>
      <c r="C732">
        <v>1</v>
      </c>
      <c r="D732">
        <v>106</v>
      </c>
      <c r="E732" s="29">
        <v>45327</v>
      </c>
      <c r="F732" t="s">
        <v>689</v>
      </c>
    </row>
    <row r="733" spans="1:6">
      <c r="A733">
        <v>378</v>
      </c>
      <c r="B733">
        <v>74.25</v>
      </c>
      <c r="C733">
        <v>1</v>
      </c>
      <c r="D733">
        <v>106</v>
      </c>
      <c r="E733" s="29">
        <v>45327</v>
      </c>
      <c r="F733" t="s">
        <v>690</v>
      </c>
    </row>
    <row r="734" spans="1:6">
      <c r="A734">
        <v>364</v>
      </c>
      <c r="B734">
        <v>71.55</v>
      </c>
      <c r="C734">
        <v>1</v>
      </c>
      <c r="D734">
        <v>106</v>
      </c>
      <c r="E734" s="29">
        <v>45327</v>
      </c>
      <c r="F734" t="s">
        <v>691</v>
      </c>
    </row>
    <row r="735" spans="1:6">
      <c r="A735">
        <v>344</v>
      </c>
      <c r="B735">
        <v>67.48</v>
      </c>
      <c r="C735">
        <v>1</v>
      </c>
      <c r="D735">
        <v>106</v>
      </c>
      <c r="E735" s="29">
        <v>45327</v>
      </c>
      <c r="F735" t="s">
        <v>692</v>
      </c>
    </row>
    <row r="736" spans="1:6">
      <c r="A736">
        <v>319</v>
      </c>
      <c r="B736">
        <v>62.61</v>
      </c>
      <c r="C736">
        <v>1</v>
      </c>
      <c r="D736">
        <v>106</v>
      </c>
      <c r="E736" s="29">
        <v>45327</v>
      </c>
      <c r="F736" t="s">
        <v>693</v>
      </c>
    </row>
    <row r="737" spans="1:6">
      <c r="A737">
        <v>251</v>
      </c>
      <c r="B737">
        <v>49.28</v>
      </c>
      <c r="C737">
        <v>1</v>
      </c>
      <c r="D737">
        <v>106</v>
      </c>
      <c r="E737" s="29">
        <v>45327</v>
      </c>
      <c r="F737" t="s">
        <v>694</v>
      </c>
    </row>
    <row r="738" spans="1:6">
      <c r="A738">
        <v>264</v>
      </c>
      <c r="B738">
        <v>51.76</v>
      </c>
      <c r="C738">
        <v>1</v>
      </c>
      <c r="D738">
        <v>106</v>
      </c>
      <c r="E738" s="29">
        <v>45327</v>
      </c>
      <c r="F738" t="s">
        <v>695</v>
      </c>
    </row>
    <row r="739" spans="1:6">
      <c r="A739">
        <v>245</v>
      </c>
      <c r="B739">
        <v>48.07</v>
      </c>
      <c r="C739">
        <v>1</v>
      </c>
      <c r="D739">
        <v>106</v>
      </c>
      <c r="E739" s="29">
        <v>45327</v>
      </c>
      <c r="F739" t="s">
        <v>696</v>
      </c>
    </row>
    <row r="740" spans="1:6">
      <c r="A740">
        <v>249</v>
      </c>
      <c r="B740">
        <v>48.96</v>
      </c>
      <c r="C740">
        <v>1</v>
      </c>
      <c r="D740">
        <v>106</v>
      </c>
      <c r="E740" s="29">
        <v>45327</v>
      </c>
      <c r="F740" t="s">
        <v>697</v>
      </c>
    </row>
    <row r="742" spans="1:6">
      <c r="A742" t="s">
        <v>186</v>
      </c>
      <c r="B742" t="s">
        <v>698</v>
      </c>
      <c r="C742" t="s">
        <v>14</v>
      </c>
    </row>
    <row r="743" spans="1:6">
      <c r="A743" t="s">
        <v>188</v>
      </c>
    </row>
    <row r="744" spans="1:6">
      <c r="A744" t="s">
        <v>189</v>
      </c>
      <c r="B744" t="s">
        <v>100</v>
      </c>
      <c r="C744" t="s">
        <v>102</v>
      </c>
      <c r="D744" t="s">
        <v>101</v>
      </c>
      <c r="E744" t="s">
        <v>190</v>
      </c>
      <c r="F744" t="s">
        <v>191</v>
      </c>
    </row>
    <row r="745" spans="1:6">
      <c r="A745">
        <v>12</v>
      </c>
      <c r="B745">
        <v>308</v>
      </c>
      <c r="C745">
        <v>405</v>
      </c>
      <c r="D745">
        <v>205</v>
      </c>
      <c r="E745" t="s">
        <v>192</v>
      </c>
      <c r="F745" t="s">
        <v>193</v>
      </c>
    </row>
    <row r="746" spans="1:6">
      <c r="A746">
        <v>12</v>
      </c>
      <c r="B746">
        <v>60.53</v>
      </c>
      <c r="C746">
        <v>79.61</v>
      </c>
      <c r="D746">
        <v>40.299999999999997</v>
      </c>
      <c r="E746" t="s">
        <v>95</v>
      </c>
      <c r="F746" t="s">
        <v>645</v>
      </c>
    </row>
    <row r="747" spans="1:6">
      <c r="A747" t="s">
        <v>195</v>
      </c>
    </row>
    <row r="748" spans="1:6">
      <c r="A748" t="s">
        <v>196</v>
      </c>
      <c r="B748" t="s">
        <v>197</v>
      </c>
      <c r="C748" t="s">
        <v>198</v>
      </c>
      <c r="D748" t="s">
        <v>199</v>
      </c>
      <c r="E748" t="s">
        <v>200</v>
      </c>
      <c r="F748" t="s">
        <v>201</v>
      </c>
    </row>
    <row r="749" spans="1:6">
      <c r="A749">
        <v>237</v>
      </c>
      <c r="B749">
        <v>46.56</v>
      </c>
      <c r="C749">
        <v>1</v>
      </c>
      <c r="D749">
        <v>106</v>
      </c>
      <c r="E749" s="29">
        <v>45327</v>
      </c>
      <c r="F749" t="s">
        <v>699</v>
      </c>
    </row>
    <row r="750" spans="1:6">
      <c r="A750">
        <v>230</v>
      </c>
      <c r="B750">
        <v>45.17</v>
      </c>
      <c r="C750">
        <v>1</v>
      </c>
      <c r="D750">
        <v>106</v>
      </c>
      <c r="E750" s="29">
        <v>45327</v>
      </c>
      <c r="F750" t="s">
        <v>700</v>
      </c>
    </row>
    <row r="751" spans="1:6">
      <c r="A751">
        <v>242</v>
      </c>
      <c r="B751">
        <v>47.42</v>
      </c>
      <c r="C751">
        <v>1</v>
      </c>
      <c r="D751">
        <v>106</v>
      </c>
      <c r="E751" s="29">
        <v>45327</v>
      </c>
      <c r="F751" t="s">
        <v>701</v>
      </c>
    </row>
    <row r="752" spans="1:6">
      <c r="A752">
        <v>313</v>
      </c>
      <c r="B752">
        <v>61.55</v>
      </c>
      <c r="C752">
        <v>1</v>
      </c>
      <c r="D752">
        <v>106</v>
      </c>
      <c r="E752" s="29">
        <v>45327</v>
      </c>
      <c r="F752" t="s">
        <v>702</v>
      </c>
    </row>
    <row r="753" spans="1:6">
      <c r="A753">
        <v>378</v>
      </c>
      <c r="B753">
        <v>74.2</v>
      </c>
      <c r="C753">
        <v>1</v>
      </c>
      <c r="D753">
        <v>106</v>
      </c>
      <c r="E753" s="29">
        <v>45327</v>
      </c>
      <c r="F753" t="s">
        <v>703</v>
      </c>
    </row>
    <row r="754" spans="1:6">
      <c r="A754">
        <v>405</v>
      </c>
      <c r="B754">
        <v>79.61</v>
      </c>
      <c r="C754">
        <v>1</v>
      </c>
      <c r="D754">
        <v>106</v>
      </c>
      <c r="E754" s="29">
        <v>45327</v>
      </c>
      <c r="F754" t="s">
        <v>704</v>
      </c>
    </row>
    <row r="755" spans="1:6">
      <c r="A755">
        <v>319</v>
      </c>
      <c r="B755">
        <v>62.63</v>
      </c>
      <c r="C755">
        <v>1</v>
      </c>
      <c r="D755">
        <v>106</v>
      </c>
      <c r="E755" s="29">
        <v>45327</v>
      </c>
      <c r="F755" t="s">
        <v>705</v>
      </c>
    </row>
    <row r="756" spans="1:6">
      <c r="A756">
        <v>397</v>
      </c>
      <c r="B756">
        <v>77.849999999999994</v>
      </c>
      <c r="C756">
        <v>1</v>
      </c>
      <c r="D756">
        <v>106</v>
      </c>
      <c r="E756" s="29">
        <v>45327</v>
      </c>
      <c r="F756" t="s">
        <v>706</v>
      </c>
    </row>
    <row r="757" spans="1:6">
      <c r="A757">
        <v>360</v>
      </c>
      <c r="B757">
        <v>70.67</v>
      </c>
      <c r="C757">
        <v>1</v>
      </c>
      <c r="D757">
        <v>106</v>
      </c>
      <c r="E757" s="29">
        <v>45327</v>
      </c>
      <c r="F757" t="s">
        <v>707</v>
      </c>
    </row>
    <row r="758" spans="1:6">
      <c r="A758">
        <v>301</v>
      </c>
      <c r="B758">
        <v>59.05</v>
      </c>
      <c r="C758">
        <v>1</v>
      </c>
      <c r="D758">
        <v>106</v>
      </c>
      <c r="E758" s="29">
        <v>45327</v>
      </c>
      <c r="F758" t="s">
        <v>708</v>
      </c>
    </row>
    <row r="759" spans="1:6">
      <c r="A759">
        <v>312</v>
      </c>
      <c r="B759">
        <v>61.3</v>
      </c>
      <c r="C759">
        <v>1</v>
      </c>
      <c r="D759">
        <v>106</v>
      </c>
      <c r="E759" s="29">
        <v>45327</v>
      </c>
      <c r="F759" t="s">
        <v>709</v>
      </c>
    </row>
    <row r="760" spans="1:6">
      <c r="A760">
        <v>205</v>
      </c>
      <c r="B760">
        <v>40.299999999999997</v>
      </c>
      <c r="C760">
        <v>1</v>
      </c>
      <c r="D760">
        <v>106</v>
      </c>
      <c r="E760" s="29">
        <v>45327</v>
      </c>
      <c r="F760" t="s">
        <v>710</v>
      </c>
    </row>
    <row r="762" spans="1:6">
      <c r="A762" t="s">
        <v>186</v>
      </c>
      <c r="B762" t="s">
        <v>711</v>
      </c>
      <c r="C762" t="s">
        <v>14</v>
      </c>
    </row>
    <row r="763" spans="1:6">
      <c r="A763" t="s">
        <v>188</v>
      </c>
    </row>
    <row r="764" spans="1:6">
      <c r="A764" t="s">
        <v>189</v>
      </c>
      <c r="B764" t="s">
        <v>100</v>
      </c>
      <c r="C764" t="s">
        <v>102</v>
      </c>
      <c r="D764" t="s">
        <v>101</v>
      </c>
      <c r="E764" t="s">
        <v>190</v>
      </c>
      <c r="F764" t="s">
        <v>191</v>
      </c>
    </row>
    <row r="765" spans="1:6">
      <c r="A765">
        <v>12</v>
      </c>
      <c r="B765">
        <v>277</v>
      </c>
      <c r="C765">
        <v>398</v>
      </c>
      <c r="D765">
        <v>196</v>
      </c>
      <c r="E765" t="s">
        <v>192</v>
      </c>
      <c r="F765" t="s">
        <v>193</v>
      </c>
    </row>
    <row r="766" spans="1:6">
      <c r="A766">
        <v>12</v>
      </c>
      <c r="B766">
        <v>54.32</v>
      </c>
      <c r="C766">
        <v>78.069999999999993</v>
      </c>
      <c r="D766">
        <v>38.450000000000003</v>
      </c>
      <c r="E766" t="s">
        <v>95</v>
      </c>
      <c r="F766" t="s">
        <v>645</v>
      </c>
    </row>
    <row r="767" spans="1:6">
      <c r="A767" t="s">
        <v>195</v>
      </c>
    </row>
    <row r="768" spans="1:6">
      <c r="A768" t="s">
        <v>196</v>
      </c>
      <c r="B768" t="s">
        <v>197</v>
      </c>
      <c r="C768" t="s">
        <v>198</v>
      </c>
      <c r="D768" t="s">
        <v>199</v>
      </c>
      <c r="E768" t="s">
        <v>200</v>
      </c>
      <c r="F768" t="s">
        <v>201</v>
      </c>
    </row>
    <row r="769" spans="1:8">
      <c r="A769">
        <v>206</v>
      </c>
      <c r="B769">
        <v>40.47</v>
      </c>
      <c r="C769">
        <v>1</v>
      </c>
      <c r="D769">
        <v>106</v>
      </c>
      <c r="E769" s="29">
        <v>45327</v>
      </c>
      <c r="F769" t="s">
        <v>712</v>
      </c>
    </row>
    <row r="770" spans="1:8">
      <c r="A770">
        <v>221</v>
      </c>
      <c r="B770">
        <v>43.35</v>
      </c>
      <c r="C770">
        <v>1</v>
      </c>
      <c r="D770">
        <v>106</v>
      </c>
      <c r="E770" s="29">
        <v>45327</v>
      </c>
      <c r="F770" t="s">
        <v>713</v>
      </c>
    </row>
    <row r="771" spans="1:8">
      <c r="A771">
        <v>261</v>
      </c>
      <c r="B771">
        <v>51.16</v>
      </c>
      <c r="C771">
        <v>1</v>
      </c>
      <c r="D771">
        <v>106</v>
      </c>
      <c r="E771" s="29">
        <v>45327</v>
      </c>
      <c r="F771" t="s">
        <v>714</v>
      </c>
    </row>
    <row r="772" spans="1:8">
      <c r="A772">
        <v>315</v>
      </c>
      <c r="B772">
        <v>61.76</v>
      </c>
      <c r="C772">
        <v>1</v>
      </c>
      <c r="D772">
        <v>106</v>
      </c>
      <c r="E772" s="29">
        <v>45327</v>
      </c>
      <c r="F772" t="s">
        <v>715</v>
      </c>
    </row>
    <row r="773" spans="1:8">
      <c r="A773">
        <v>380</v>
      </c>
      <c r="B773">
        <v>74.63</v>
      </c>
      <c r="C773">
        <v>1</v>
      </c>
      <c r="D773">
        <v>106</v>
      </c>
      <c r="E773" s="29">
        <v>45327</v>
      </c>
      <c r="F773" t="s">
        <v>716</v>
      </c>
    </row>
    <row r="774" spans="1:8">
      <c r="A774">
        <v>398</v>
      </c>
      <c r="B774">
        <v>78.069999999999993</v>
      </c>
      <c r="C774">
        <v>1</v>
      </c>
      <c r="D774">
        <v>106</v>
      </c>
      <c r="E774" s="29">
        <v>45327</v>
      </c>
      <c r="F774" t="s">
        <v>717</v>
      </c>
    </row>
    <row r="775" spans="1:8">
      <c r="A775">
        <v>292</v>
      </c>
      <c r="B775">
        <v>57.35</v>
      </c>
      <c r="C775">
        <v>1</v>
      </c>
      <c r="D775">
        <v>106</v>
      </c>
      <c r="E775" s="29">
        <v>45327</v>
      </c>
      <c r="F775" t="s">
        <v>718</v>
      </c>
    </row>
    <row r="776" spans="1:8">
      <c r="A776">
        <v>256</v>
      </c>
      <c r="B776">
        <v>50.18</v>
      </c>
      <c r="C776">
        <v>1</v>
      </c>
      <c r="D776">
        <v>106</v>
      </c>
      <c r="E776" s="29">
        <v>45327</v>
      </c>
      <c r="F776" t="s">
        <v>719</v>
      </c>
    </row>
    <row r="777" spans="1:8">
      <c r="A777">
        <v>315</v>
      </c>
      <c r="B777">
        <v>61.88</v>
      </c>
      <c r="C777">
        <v>1</v>
      </c>
      <c r="D777">
        <v>106</v>
      </c>
      <c r="E777" s="29">
        <v>45327</v>
      </c>
      <c r="F777" t="s">
        <v>720</v>
      </c>
    </row>
    <row r="778" spans="1:8">
      <c r="A778">
        <v>258</v>
      </c>
      <c r="B778">
        <v>50.67</v>
      </c>
      <c r="C778">
        <v>1</v>
      </c>
      <c r="D778">
        <v>106</v>
      </c>
      <c r="E778" s="29">
        <v>45327</v>
      </c>
      <c r="F778" t="s">
        <v>721</v>
      </c>
    </row>
    <row r="779" spans="1:8">
      <c r="A779">
        <v>223</v>
      </c>
      <c r="B779">
        <v>43.87</v>
      </c>
      <c r="C779">
        <v>1</v>
      </c>
      <c r="D779">
        <v>106</v>
      </c>
      <c r="E779" s="29">
        <v>45327</v>
      </c>
      <c r="F779" t="s">
        <v>722</v>
      </c>
    </row>
    <row r="780" spans="1:8">
      <c r="A780">
        <v>196</v>
      </c>
      <c r="B780">
        <v>38.450000000000003</v>
      </c>
      <c r="C780">
        <v>1</v>
      </c>
      <c r="D780">
        <v>106</v>
      </c>
      <c r="E780" s="29">
        <v>45327</v>
      </c>
      <c r="F780" t="s">
        <v>723</v>
      </c>
    </row>
    <row r="782" spans="1:8">
      <c r="A782" s="49" t="s">
        <v>186</v>
      </c>
      <c r="B782" s="49" t="s">
        <v>724</v>
      </c>
      <c r="C782" s="49" t="s">
        <v>585</v>
      </c>
      <c r="D782" s="49"/>
      <c r="E782" s="49"/>
      <c r="F782" s="49"/>
      <c r="G782" s="49"/>
      <c r="H782" s="49"/>
    </row>
    <row r="783" spans="1:8">
      <c r="A783" s="49" t="s">
        <v>188</v>
      </c>
      <c r="B783" s="49"/>
      <c r="C783" s="49"/>
      <c r="D783" s="49"/>
      <c r="E783" s="49"/>
      <c r="F783" s="49"/>
      <c r="G783" s="49"/>
      <c r="H783" s="49"/>
    </row>
    <row r="784" spans="1:8">
      <c r="A784" s="49" t="s">
        <v>189</v>
      </c>
      <c r="B784" s="49" t="s">
        <v>100</v>
      </c>
      <c r="C784" s="49" t="s">
        <v>102</v>
      </c>
      <c r="D784" s="49" t="s">
        <v>101</v>
      </c>
      <c r="E784" s="49" t="s">
        <v>190</v>
      </c>
      <c r="F784" s="49" t="s">
        <v>191</v>
      </c>
      <c r="G784" s="49"/>
      <c r="H784" s="49"/>
    </row>
    <row r="785" spans="1:8">
      <c r="A785" s="49">
        <v>1</v>
      </c>
      <c r="B785" s="49">
        <v>1.6719999999999999E-2</v>
      </c>
      <c r="C785" s="49">
        <v>1.6719999999999999E-2</v>
      </c>
      <c r="D785" s="49">
        <v>1.6719999999999999E-2</v>
      </c>
      <c r="E785" s="49" t="s">
        <v>255</v>
      </c>
      <c r="F785" s="49" t="s">
        <v>256</v>
      </c>
      <c r="G785" s="49"/>
      <c r="H785" s="49"/>
    </row>
    <row r="786" spans="1:8">
      <c r="A786" s="49">
        <v>1</v>
      </c>
      <c r="B786" s="49">
        <v>406.3</v>
      </c>
      <c r="C786" s="49">
        <v>406.3</v>
      </c>
      <c r="D786" s="49">
        <v>406.3</v>
      </c>
      <c r="E786" s="49" t="s">
        <v>255</v>
      </c>
      <c r="F786" s="49" t="s">
        <v>257</v>
      </c>
      <c r="G786" s="49"/>
      <c r="H786" s="49"/>
    </row>
    <row r="787" spans="1:8">
      <c r="A787" s="49">
        <v>1</v>
      </c>
      <c r="B787" s="49">
        <v>535</v>
      </c>
      <c r="C787" s="49">
        <v>535</v>
      </c>
      <c r="D787" s="49">
        <v>535</v>
      </c>
      <c r="E787" s="49" t="s">
        <v>192</v>
      </c>
      <c r="F787" s="49" t="s">
        <v>193</v>
      </c>
      <c r="G787" s="49"/>
      <c r="H787" s="49"/>
    </row>
    <row r="788" spans="1:8">
      <c r="A788" s="49">
        <v>1</v>
      </c>
      <c r="B788" s="49">
        <v>105.13</v>
      </c>
      <c r="C788" s="49">
        <v>105.13</v>
      </c>
      <c r="D788" s="49">
        <v>105.13</v>
      </c>
      <c r="E788" s="49" t="s">
        <v>95</v>
      </c>
      <c r="F788" s="49" t="s">
        <v>645</v>
      </c>
      <c r="G788" s="49"/>
      <c r="H788" s="49"/>
    </row>
    <row r="789" spans="1:8">
      <c r="A789" s="49" t="s">
        <v>195</v>
      </c>
      <c r="B789" s="49"/>
      <c r="C789" s="49"/>
      <c r="D789" s="49"/>
      <c r="E789" s="49"/>
      <c r="F789" s="49"/>
      <c r="G789" s="49"/>
      <c r="H789" s="49"/>
    </row>
    <row r="790" spans="1:8">
      <c r="A790" s="49" t="s">
        <v>256</v>
      </c>
      <c r="B790" s="49" t="s">
        <v>257</v>
      </c>
      <c r="C790" s="49" t="s">
        <v>196</v>
      </c>
      <c r="D790" s="49" t="s">
        <v>197</v>
      </c>
      <c r="E790" s="49" t="s">
        <v>198</v>
      </c>
      <c r="F790" s="49" t="s">
        <v>199</v>
      </c>
      <c r="G790" s="49" t="s">
        <v>200</v>
      </c>
      <c r="H790" s="49" t="s">
        <v>201</v>
      </c>
    </row>
    <row r="791" spans="1:8">
      <c r="A791" s="49">
        <v>1.6719999999999999E-2</v>
      </c>
      <c r="B791" s="49">
        <v>406.3</v>
      </c>
      <c r="C791" s="49">
        <v>535</v>
      </c>
      <c r="D791" s="49">
        <v>105.13</v>
      </c>
      <c r="E791" s="49">
        <v>1</v>
      </c>
      <c r="F791" s="49">
        <v>106</v>
      </c>
      <c r="G791" s="50">
        <v>45327</v>
      </c>
      <c r="H791" s="49" t="s">
        <v>725</v>
      </c>
    </row>
    <row r="792" spans="1:8">
      <c r="A792" s="59" t="s">
        <v>726</v>
      </c>
      <c r="B792" s="60"/>
      <c r="C792" s="60"/>
      <c r="D792" s="60"/>
      <c r="E792" s="60"/>
      <c r="F792" s="60"/>
      <c r="G792" s="60"/>
      <c r="H792" s="60"/>
    </row>
    <row r="793" spans="1:8">
      <c r="A793" s="60" t="s">
        <v>186</v>
      </c>
      <c r="B793" s="60" t="s">
        <v>727</v>
      </c>
      <c r="C793" s="60"/>
      <c r="D793" s="60"/>
      <c r="E793" s="60"/>
      <c r="F793" s="60"/>
      <c r="G793" s="60"/>
      <c r="H793" s="60"/>
    </row>
    <row r="794" spans="1:8">
      <c r="A794" s="60" t="s">
        <v>188</v>
      </c>
      <c r="B794" s="60"/>
      <c r="C794" s="60"/>
      <c r="D794" s="60"/>
      <c r="E794" s="60"/>
      <c r="F794" s="60"/>
      <c r="G794" s="60"/>
      <c r="H794" s="60"/>
    </row>
    <row r="795" spans="1:8">
      <c r="A795" s="60" t="s">
        <v>189</v>
      </c>
      <c r="B795" s="60" t="s">
        <v>100</v>
      </c>
      <c r="C795" s="60" t="s">
        <v>102</v>
      </c>
      <c r="D795" s="60" t="s">
        <v>101</v>
      </c>
      <c r="E795" s="60" t="s">
        <v>190</v>
      </c>
      <c r="F795" s="60" t="s">
        <v>191</v>
      </c>
      <c r="G795" s="60"/>
      <c r="H795" s="60"/>
    </row>
    <row r="796" spans="1:8">
      <c r="A796" s="60">
        <v>5</v>
      </c>
      <c r="B796" s="60">
        <v>1.2E-4</v>
      </c>
      <c r="C796" s="60">
        <v>1.2999999999999999E-4</v>
      </c>
      <c r="D796" s="60">
        <v>9.0000000000000006E-5</v>
      </c>
      <c r="E796" s="60" t="s">
        <v>255</v>
      </c>
      <c r="F796" s="60" t="s">
        <v>256</v>
      </c>
      <c r="G796" s="60"/>
      <c r="H796" s="60"/>
    </row>
    <row r="797" spans="1:8">
      <c r="A797" s="60">
        <v>5</v>
      </c>
      <c r="B797" s="60">
        <v>406.1</v>
      </c>
      <c r="C797" s="60">
        <v>406.2</v>
      </c>
      <c r="D797" s="60">
        <v>406.1</v>
      </c>
      <c r="E797" s="60" t="s">
        <v>255</v>
      </c>
      <c r="F797" s="60" t="s">
        <v>257</v>
      </c>
      <c r="G797" s="60"/>
      <c r="H797" s="60"/>
    </row>
    <row r="798" spans="1:8">
      <c r="A798" s="60" t="s">
        <v>195</v>
      </c>
      <c r="B798" s="60"/>
      <c r="C798" s="60"/>
      <c r="D798" s="60"/>
      <c r="E798" s="60"/>
      <c r="F798" s="60"/>
      <c r="G798" s="60"/>
      <c r="H798" s="60"/>
    </row>
    <row r="799" spans="1:8">
      <c r="A799" s="60" t="s">
        <v>256</v>
      </c>
      <c r="B799" s="60" t="s">
        <v>257</v>
      </c>
      <c r="C799" s="60" t="s">
        <v>200</v>
      </c>
      <c r="D799" s="60" t="s">
        <v>201</v>
      </c>
      <c r="E799" s="60"/>
      <c r="F799" s="60"/>
      <c r="G799" s="60"/>
      <c r="H799" s="60"/>
    </row>
    <row r="800" spans="1:8">
      <c r="A800" s="60">
        <v>1.2999999999999999E-4</v>
      </c>
      <c r="B800" s="60">
        <v>406.2</v>
      </c>
      <c r="C800" s="61">
        <v>45327</v>
      </c>
      <c r="D800" s="60" t="s">
        <v>728</v>
      </c>
      <c r="E800" s="60"/>
      <c r="F800" s="60"/>
      <c r="G800" s="60"/>
      <c r="H800" s="60"/>
    </row>
    <row r="801" spans="1:8">
      <c r="A801" s="60">
        <v>1.2999999999999999E-4</v>
      </c>
      <c r="B801" s="60">
        <v>406.2</v>
      </c>
      <c r="C801" s="61">
        <v>45327</v>
      </c>
      <c r="D801" s="60" t="s">
        <v>729</v>
      </c>
      <c r="E801" s="60"/>
      <c r="F801" s="60"/>
      <c r="G801" s="60"/>
      <c r="H801" s="60"/>
    </row>
    <row r="802" spans="1:8">
      <c r="A802" s="60">
        <v>9.0000000000000006E-5</v>
      </c>
      <c r="B802" s="60">
        <v>406.1</v>
      </c>
      <c r="C802" s="61">
        <v>45327</v>
      </c>
      <c r="D802" s="60" t="s">
        <v>730</v>
      </c>
      <c r="E802" s="60"/>
      <c r="F802" s="60"/>
      <c r="G802" s="60"/>
      <c r="H802" s="60"/>
    </row>
    <row r="803" spans="1:8">
      <c r="A803" s="60">
        <v>1.2E-4</v>
      </c>
      <c r="B803" s="60">
        <v>406.2</v>
      </c>
      <c r="C803" s="61">
        <v>45327</v>
      </c>
      <c r="D803" s="60" t="s">
        <v>731</v>
      </c>
      <c r="E803" s="60"/>
      <c r="F803" s="60"/>
      <c r="G803" s="60"/>
      <c r="H803" s="60"/>
    </row>
    <row r="804" spans="1:8">
      <c r="A804" s="60">
        <v>1.2999999999999999E-4</v>
      </c>
      <c r="B804" s="60">
        <v>406.1</v>
      </c>
      <c r="C804" s="61">
        <v>45327</v>
      </c>
      <c r="D804" s="60" t="s">
        <v>732</v>
      </c>
      <c r="E804" s="60"/>
      <c r="F804" s="60"/>
      <c r="G804" s="60"/>
      <c r="H804" s="60"/>
    </row>
    <row r="805" spans="1:8">
      <c r="A805" s="60"/>
      <c r="B805" s="60"/>
      <c r="C805" s="60"/>
      <c r="D805" s="60"/>
      <c r="E805" s="60"/>
      <c r="F805" s="60"/>
      <c r="G805" s="60"/>
      <c r="H805" s="60"/>
    </row>
    <row r="806" spans="1:8">
      <c r="A806" s="60" t="s">
        <v>186</v>
      </c>
      <c r="B806" s="60" t="s">
        <v>733</v>
      </c>
      <c r="C806" s="60"/>
      <c r="D806" s="60"/>
      <c r="E806" s="60"/>
      <c r="F806" s="60"/>
      <c r="G806" s="60"/>
      <c r="H806" s="60"/>
    </row>
    <row r="807" spans="1:8">
      <c r="A807" s="60" t="s">
        <v>188</v>
      </c>
      <c r="B807" s="60"/>
      <c r="C807" s="60"/>
      <c r="D807" s="60"/>
      <c r="E807" s="60"/>
      <c r="F807" s="60"/>
      <c r="G807" s="60"/>
      <c r="H807" s="60"/>
    </row>
    <row r="808" spans="1:8">
      <c r="A808" s="60" t="s">
        <v>189</v>
      </c>
      <c r="B808" s="60" t="s">
        <v>100</v>
      </c>
      <c r="C808" s="60" t="s">
        <v>102</v>
      </c>
      <c r="D808" s="60" t="s">
        <v>101</v>
      </c>
      <c r="E808" s="60" t="s">
        <v>190</v>
      </c>
      <c r="F808" s="60" t="s">
        <v>191</v>
      </c>
      <c r="G808" s="60"/>
      <c r="H808" s="60"/>
    </row>
    <row r="809" spans="1:8">
      <c r="A809" s="60">
        <v>6</v>
      </c>
      <c r="B809" s="60">
        <v>8.0000000000000007E-5</v>
      </c>
      <c r="C809" s="60">
        <v>1.3999999999999999E-4</v>
      </c>
      <c r="D809" s="60">
        <v>-6.9999999999999994E-5</v>
      </c>
      <c r="E809" s="60" t="s">
        <v>255</v>
      </c>
      <c r="F809" s="60" t="s">
        <v>256</v>
      </c>
      <c r="G809" s="60"/>
      <c r="H809" s="60"/>
    </row>
    <row r="810" spans="1:8">
      <c r="A810" s="60">
        <v>6</v>
      </c>
      <c r="B810" s="60">
        <v>406.1</v>
      </c>
      <c r="C810" s="60">
        <v>406.2</v>
      </c>
      <c r="D810" s="60">
        <v>406.1</v>
      </c>
      <c r="E810" s="60" t="s">
        <v>255</v>
      </c>
      <c r="F810" s="60" t="s">
        <v>257</v>
      </c>
      <c r="G810" s="60"/>
      <c r="H810" s="60"/>
    </row>
    <row r="811" spans="1:8">
      <c r="A811" s="60" t="s">
        <v>195</v>
      </c>
      <c r="B811" s="60"/>
      <c r="C811" s="60"/>
      <c r="D811" s="60"/>
      <c r="E811" s="60"/>
      <c r="F811" s="60"/>
      <c r="G811" s="60"/>
      <c r="H811" s="60"/>
    </row>
    <row r="812" spans="1:8">
      <c r="A812" s="60" t="s">
        <v>256</v>
      </c>
      <c r="B812" s="60" t="s">
        <v>257</v>
      </c>
      <c r="C812" s="60" t="s">
        <v>200</v>
      </c>
      <c r="D812" s="60" t="s">
        <v>201</v>
      </c>
      <c r="E812" s="60"/>
      <c r="F812" s="60"/>
      <c r="G812" s="60"/>
      <c r="H812" s="60"/>
    </row>
    <row r="813" spans="1:8">
      <c r="A813" s="60">
        <v>1.3999999999999999E-4</v>
      </c>
      <c r="B813" s="60">
        <v>406.2</v>
      </c>
      <c r="C813" s="61">
        <v>45327</v>
      </c>
      <c r="D813" s="60" t="s">
        <v>734</v>
      </c>
      <c r="E813" s="60"/>
      <c r="F813" s="60"/>
      <c r="G813" s="60"/>
      <c r="H813" s="60"/>
    </row>
    <row r="814" spans="1:8">
      <c r="A814" s="60">
        <v>1.2999999999999999E-4</v>
      </c>
      <c r="B814" s="60">
        <v>406.1</v>
      </c>
      <c r="C814" s="61">
        <v>45327</v>
      </c>
      <c r="D814" s="60" t="s">
        <v>735</v>
      </c>
      <c r="E814" s="60"/>
      <c r="F814" s="60"/>
      <c r="G814" s="60"/>
      <c r="H814" s="60"/>
    </row>
    <row r="815" spans="1:8">
      <c r="A815" s="60">
        <v>9.0000000000000006E-5</v>
      </c>
      <c r="B815" s="60">
        <v>406.1</v>
      </c>
      <c r="C815" s="61">
        <v>45327</v>
      </c>
      <c r="D815" s="60" t="s">
        <v>736</v>
      </c>
      <c r="E815" s="60"/>
      <c r="F815" s="60"/>
      <c r="G815" s="60"/>
      <c r="H815" s="60"/>
    </row>
    <row r="816" spans="1:8">
      <c r="A816" s="60">
        <v>9.0000000000000006E-5</v>
      </c>
      <c r="B816" s="60">
        <v>406.1</v>
      </c>
      <c r="C816" s="61">
        <v>45327</v>
      </c>
      <c r="D816" s="60" t="s">
        <v>737</v>
      </c>
      <c r="E816" s="60"/>
      <c r="F816" s="60"/>
      <c r="G816" s="60"/>
      <c r="H816" s="60"/>
    </row>
    <row r="817" spans="1:8">
      <c r="A817" s="60">
        <v>1.1E-4</v>
      </c>
      <c r="B817" s="60">
        <v>406.1</v>
      </c>
      <c r="C817" s="61">
        <v>45327</v>
      </c>
      <c r="D817" s="60" t="s">
        <v>738</v>
      </c>
      <c r="E817" s="60"/>
      <c r="F817" s="60"/>
      <c r="G817" s="60"/>
      <c r="H817" s="60"/>
    </row>
    <row r="818" spans="1:8">
      <c r="A818" s="60">
        <v>-6.9999999999999994E-5</v>
      </c>
      <c r="B818" s="60">
        <v>406.2</v>
      </c>
      <c r="C818" s="61">
        <v>45327</v>
      </c>
      <c r="D818" s="60" t="s">
        <v>739</v>
      </c>
      <c r="E818" s="60"/>
      <c r="F818" s="60"/>
      <c r="G818" s="60"/>
      <c r="H818" s="60"/>
    </row>
    <row r="819" spans="1:8">
      <c r="A819" s="60"/>
      <c r="B819" s="60"/>
      <c r="C819" s="60"/>
      <c r="D819" s="60"/>
      <c r="E819" s="60"/>
      <c r="F819" s="60"/>
      <c r="G819" s="60"/>
      <c r="H819" s="60"/>
    </row>
    <row r="820" spans="1:8">
      <c r="A820" s="60" t="s">
        <v>186</v>
      </c>
      <c r="B820" s="60" t="s">
        <v>740</v>
      </c>
      <c r="C820" s="60"/>
      <c r="D820" s="60"/>
      <c r="E820" s="60"/>
      <c r="F820" s="60"/>
      <c r="G820" s="60"/>
      <c r="H820" s="60"/>
    </row>
    <row r="821" spans="1:8">
      <c r="A821" s="60" t="s">
        <v>188</v>
      </c>
      <c r="B821" s="60"/>
      <c r="C821" s="60"/>
      <c r="D821" s="60"/>
      <c r="E821" s="60"/>
      <c r="F821" s="60"/>
      <c r="G821" s="60"/>
      <c r="H821" s="60"/>
    </row>
    <row r="822" spans="1:8">
      <c r="A822" s="60" t="s">
        <v>189</v>
      </c>
      <c r="B822" s="60" t="s">
        <v>100</v>
      </c>
      <c r="C822" s="60" t="s">
        <v>102</v>
      </c>
      <c r="D822" s="60" t="s">
        <v>101</v>
      </c>
      <c r="E822" s="60" t="s">
        <v>190</v>
      </c>
      <c r="F822" s="60" t="s">
        <v>191</v>
      </c>
      <c r="G822" s="60"/>
      <c r="H822" s="60"/>
    </row>
    <row r="823" spans="1:8">
      <c r="A823" s="60">
        <v>5</v>
      </c>
      <c r="B823" s="60">
        <v>-6.0000000000000002E-5</v>
      </c>
      <c r="C823" s="60">
        <v>-4.0000000000000003E-5</v>
      </c>
      <c r="D823" s="60">
        <v>-9.0000000000000006E-5</v>
      </c>
      <c r="E823" s="60" t="s">
        <v>255</v>
      </c>
      <c r="F823" s="60" t="s">
        <v>256</v>
      </c>
      <c r="G823" s="60"/>
      <c r="H823" s="60"/>
    </row>
    <row r="824" spans="1:8">
      <c r="A824" s="60">
        <v>5</v>
      </c>
      <c r="B824" s="60">
        <v>406.2</v>
      </c>
      <c r="C824" s="60">
        <v>406.3</v>
      </c>
      <c r="D824" s="60">
        <v>406.1</v>
      </c>
      <c r="E824" s="60" t="s">
        <v>255</v>
      </c>
      <c r="F824" s="60" t="s">
        <v>257</v>
      </c>
      <c r="G824" s="60"/>
      <c r="H824" s="60"/>
    </row>
    <row r="825" spans="1:8">
      <c r="A825" s="60" t="s">
        <v>195</v>
      </c>
      <c r="B825" s="60"/>
      <c r="C825" s="60"/>
      <c r="D825" s="60"/>
      <c r="E825" s="60"/>
      <c r="F825" s="60"/>
      <c r="G825" s="60"/>
      <c r="H825" s="60"/>
    </row>
    <row r="826" spans="1:8">
      <c r="A826" s="60" t="s">
        <v>256</v>
      </c>
      <c r="B826" s="60" t="s">
        <v>257</v>
      </c>
      <c r="C826" s="60" t="s">
        <v>200</v>
      </c>
      <c r="D826" s="60" t="s">
        <v>201</v>
      </c>
      <c r="E826" s="60"/>
      <c r="F826" s="60"/>
      <c r="G826" s="60"/>
      <c r="H826" s="60"/>
    </row>
    <row r="827" spans="1:8">
      <c r="A827" s="60">
        <v>-6.0000000000000002E-5</v>
      </c>
      <c r="B827" s="60">
        <v>406.2</v>
      </c>
      <c r="C827" s="61">
        <v>45327</v>
      </c>
      <c r="D827" s="60" t="s">
        <v>741</v>
      </c>
      <c r="E827" s="60"/>
      <c r="F827" s="60"/>
      <c r="G827" s="60"/>
      <c r="H827" s="60"/>
    </row>
    <row r="828" spans="1:8">
      <c r="A828" s="60">
        <v>-4.0000000000000003E-5</v>
      </c>
      <c r="B828" s="60">
        <v>406.3</v>
      </c>
      <c r="C828" s="61">
        <v>45327</v>
      </c>
      <c r="D828" s="60" t="s">
        <v>742</v>
      </c>
      <c r="E828" s="60"/>
      <c r="F828" s="60"/>
      <c r="G828" s="60"/>
      <c r="H828" s="60"/>
    </row>
    <row r="829" spans="1:8">
      <c r="A829" s="60">
        <v>-5.0000000000000002E-5</v>
      </c>
      <c r="B829" s="60">
        <v>406.2</v>
      </c>
      <c r="C829" s="61">
        <v>45327</v>
      </c>
      <c r="D829" s="60" t="s">
        <v>743</v>
      </c>
      <c r="E829" s="60"/>
      <c r="F829" s="60"/>
      <c r="G829" s="60"/>
      <c r="H829" s="60"/>
    </row>
    <row r="830" spans="1:8">
      <c r="A830" s="60">
        <v>-9.0000000000000006E-5</v>
      </c>
      <c r="B830" s="60">
        <v>406.1</v>
      </c>
      <c r="C830" s="61">
        <v>45327</v>
      </c>
      <c r="D830" s="60" t="s">
        <v>744</v>
      </c>
      <c r="E830" s="60"/>
      <c r="F830" s="60"/>
      <c r="G830" s="60"/>
      <c r="H830" s="60"/>
    </row>
    <row r="831" spans="1:8">
      <c r="A831" s="60">
        <v>-4.0000000000000003E-5</v>
      </c>
      <c r="B831" s="60">
        <v>406.2</v>
      </c>
      <c r="C831" s="61">
        <v>45327</v>
      </c>
      <c r="D831" s="60" t="s">
        <v>745</v>
      </c>
      <c r="E831" s="60"/>
      <c r="F831" s="60"/>
      <c r="G831" s="60"/>
      <c r="H831" s="60"/>
    </row>
    <row r="832" spans="1:8">
      <c r="A832" s="60"/>
      <c r="B832" s="60"/>
      <c r="C832" s="60"/>
      <c r="D832" s="60"/>
      <c r="E832" s="60"/>
      <c r="F832" s="60"/>
      <c r="G832" s="60"/>
      <c r="H832" s="60"/>
    </row>
    <row r="833" spans="1:8">
      <c r="A833" s="60" t="s">
        <v>186</v>
      </c>
      <c r="B833" s="60" t="s">
        <v>746</v>
      </c>
      <c r="C833" s="60"/>
      <c r="D833" s="60"/>
      <c r="E833" s="60"/>
      <c r="F833" s="60"/>
      <c r="G833" s="60"/>
      <c r="H833" s="60"/>
    </row>
    <row r="834" spans="1:8">
      <c r="A834" s="60" t="s">
        <v>188</v>
      </c>
      <c r="B834" s="60"/>
      <c r="C834" s="60"/>
      <c r="D834" s="60"/>
      <c r="E834" s="60"/>
      <c r="F834" s="60"/>
      <c r="G834" s="60"/>
      <c r="H834" s="60"/>
    </row>
    <row r="835" spans="1:8">
      <c r="A835" s="60" t="s">
        <v>189</v>
      </c>
      <c r="B835" s="60" t="s">
        <v>100</v>
      </c>
      <c r="C835" s="60" t="s">
        <v>102</v>
      </c>
      <c r="D835" s="60" t="s">
        <v>101</v>
      </c>
      <c r="E835" s="60" t="s">
        <v>190</v>
      </c>
      <c r="F835" s="60" t="s">
        <v>191</v>
      </c>
      <c r="G835" s="60"/>
      <c r="H835" s="60"/>
    </row>
    <row r="836" spans="1:8">
      <c r="A836" s="60">
        <v>5</v>
      </c>
      <c r="B836" s="60">
        <v>-4.0000000000000003E-5</v>
      </c>
      <c r="C836" s="60">
        <v>-1.0000000000000001E-5</v>
      </c>
      <c r="D836" s="60">
        <v>-6.9999999999999994E-5</v>
      </c>
      <c r="E836" s="60" t="s">
        <v>255</v>
      </c>
      <c r="F836" s="60" t="s">
        <v>256</v>
      </c>
      <c r="G836" s="60"/>
      <c r="H836" s="60"/>
    </row>
    <row r="837" spans="1:8">
      <c r="A837" s="60">
        <v>5</v>
      </c>
      <c r="B837" s="60">
        <v>406.2</v>
      </c>
      <c r="C837" s="60">
        <v>406.3</v>
      </c>
      <c r="D837" s="60">
        <v>406.1</v>
      </c>
      <c r="E837" s="60" t="s">
        <v>255</v>
      </c>
      <c r="F837" s="60" t="s">
        <v>257</v>
      </c>
      <c r="G837" s="60"/>
      <c r="H837" s="60"/>
    </row>
    <row r="838" spans="1:8">
      <c r="A838" s="60" t="s">
        <v>195</v>
      </c>
      <c r="B838" s="60"/>
      <c r="C838" s="60"/>
      <c r="D838" s="60"/>
      <c r="E838" s="60"/>
      <c r="F838" s="60"/>
      <c r="G838" s="60"/>
      <c r="H838" s="60"/>
    </row>
    <row r="839" spans="1:8">
      <c r="A839" s="60" t="s">
        <v>256</v>
      </c>
      <c r="B839" s="60" t="s">
        <v>257</v>
      </c>
      <c r="C839" s="60" t="s">
        <v>200</v>
      </c>
      <c r="D839" s="60" t="s">
        <v>201</v>
      </c>
      <c r="E839" s="60"/>
      <c r="F839" s="60"/>
      <c r="G839" s="60"/>
      <c r="H839" s="60"/>
    </row>
    <row r="840" spans="1:8">
      <c r="A840" s="60">
        <v>-6.0000000000000002E-5</v>
      </c>
      <c r="B840" s="60">
        <v>406.2</v>
      </c>
      <c r="C840" s="61">
        <v>45327</v>
      </c>
      <c r="D840" s="60" t="s">
        <v>747</v>
      </c>
      <c r="E840" s="60"/>
      <c r="F840" s="60"/>
      <c r="G840" s="60"/>
      <c r="H840" s="60"/>
    </row>
    <row r="841" spans="1:8">
      <c r="A841" s="60">
        <v>-6.9999999999999994E-5</v>
      </c>
      <c r="B841" s="60">
        <v>406.3</v>
      </c>
      <c r="C841" s="61">
        <v>45327</v>
      </c>
      <c r="D841" s="60" t="s">
        <v>748</v>
      </c>
      <c r="E841" s="60"/>
      <c r="F841" s="60"/>
      <c r="G841" s="60"/>
      <c r="H841" s="60"/>
    </row>
    <row r="842" spans="1:8">
      <c r="A842" s="60">
        <v>-1.0000000000000001E-5</v>
      </c>
      <c r="B842" s="60">
        <v>406.3</v>
      </c>
      <c r="C842" s="61">
        <v>45327</v>
      </c>
      <c r="D842" s="60" t="s">
        <v>749</v>
      </c>
      <c r="E842" s="60"/>
      <c r="F842" s="60"/>
      <c r="G842" s="60"/>
      <c r="H842" s="60"/>
    </row>
    <row r="843" spans="1:8">
      <c r="A843" s="60">
        <v>-3.0000000000000001E-5</v>
      </c>
      <c r="B843" s="60">
        <v>406.1</v>
      </c>
      <c r="C843" s="61">
        <v>45327</v>
      </c>
      <c r="D843" s="60" t="s">
        <v>750</v>
      </c>
      <c r="E843" s="60"/>
      <c r="F843" s="60"/>
      <c r="G843" s="60"/>
      <c r="H843" s="60"/>
    </row>
    <row r="844" spans="1:8">
      <c r="A844" s="60">
        <v>-1.0000000000000001E-5</v>
      </c>
      <c r="B844" s="60">
        <v>406.2</v>
      </c>
      <c r="C844" s="61">
        <v>45327</v>
      </c>
      <c r="D844" s="60" t="s">
        <v>751</v>
      </c>
      <c r="E844" s="60"/>
      <c r="F844" s="60"/>
      <c r="G844" s="60"/>
      <c r="H844" s="60"/>
    </row>
    <row r="845" spans="1:8">
      <c r="A845" s="60"/>
      <c r="B845" s="60"/>
      <c r="C845" s="60"/>
      <c r="D845" s="60"/>
      <c r="E845" s="60"/>
      <c r="F845" s="60"/>
      <c r="G845" s="60"/>
      <c r="H845" s="60"/>
    </row>
    <row r="846" spans="1:8">
      <c r="A846" s="60" t="s">
        <v>186</v>
      </c>
      <c r="B846" s="60" t="s">
        <v>752</v>
      </c>
      <c r="C846" s="60"/>
      <c r="D846" s="60"/>
      <c r="E846" s="60"/>
      <c r="F846" s="60"/>
      <c r="G846" s="60"/>
      <c r="H846" s="60"/>
    </row>
    <row r="847" spans="1:8">
      <c r="A847" s="60" t="s">
        <v>188</v>
      </c>
      <c r="B847" s="60"/>
      <c r="C847" s="60"/>
      <c r="D847" s="60"/>
      <c r="E847" s="60"/>
      <c r="F847" s="60"/>
      <c r="G847" s="60"/>
      <c r="H847" s="60"/>
    </row>
    <row r="848" spans="1:8">
      <c r="A848" s="60" t="s">
        <v>189</v>
      </c>
      <c r="B848" s="60" t="s">
        <v>100</v>
      </c>
      <c r="C848" s="60" t="s">
        <v>102</v>
      </c>
      <c r="D848" s="60" t="s">
        <v>101</v>
      </c>
      <c r="E848" s="60" t="s">
        <v>190</v>
      </c>
      <c r="F848" s="60" t="s">
        <v>191</v>
      </c>
      <c r="G848" s="60"/>
      <c r="H848" s="60"/>
    </row>
    <row r="849" spans="1:8">
      <c r="A849" s="60">
        <v>10</v>
      </c>
      <c r="B849" s="60">
        <v>0.38346000000000002</v>
      </c>
      <c r="C849" s="60">
        <v>0.39418999999999998</v>
      </c>
      <c r="D849" s="60">
        <v>0.37490000000000001</v>
      </c>
      <c r="E849" s="60" t="s">
        <v>255</v>
      </c>
      <c r="F849" s="60" t="s">
        <v>256</v>
      </c>
      <c r="G849" s="60"/>
      <c r="H849" s="60"/>
    </row>
    <row r="850" spans="1:8">
      <c r="A850" s="60">
        <v>10</v>
      </c>
      <c r="B850" s="60">
        <v>406</v>
      </c>
      <c r="C850" s="60">
        <v>406</v>
      </c>
      <c r="D850" s="60">
        <v>405.9</v>
      </c>
      <c r="E850" s="60" t="s">
        <v>255</v>
      </c>
      <c r="F850" s="60" t="s">
        <v>257</v>
      </c>
      <c r="G850" s="60"/>
      <c r="H850" s="60"/>
    </row>
    <row r="851" spans="1:8">
      <c r="A851" s="60" t="s">
        <v>195</v>
      </c>
      <c r="B851" s="60"/>
      <c r="C851" s="60"/>
      <c r="D851" s="60"/>
      <c r="E851" s="60"/>
      <c r="F851" s="60"/>
      <c r="G851" s="60"/>
      <c r="H851" s="60"/>
    </row>
    <row r="852" spans="1:8">
      <c r="A852" s="60" t="s">
        <v>256</v>
      </c>
      <c r="B852" s="60" t="s">
        <v>257</v>
      </c>
      <c r="C852" s="60" t="s">
        <v>200</v>
      </c>
      <c r="D852" s="60" t="s">
        <v>201</v>
      </c>
      <c r="E852" s="60"/>
      <c r="F852" s="60"/>
      <c r="G852" s="60"/>
      <c r="H852" s="60"/>
    </row>
    <row r="853" spans="1:8">
      <c r="A853" s="60">
        <v>0.39418999999999998</v>
      </c>
      <c r="B853" s="60">
        <v>405.9</v>
      </c>
      <c r="C853" s="61">
        <v>45327</v>
      </c>
      <c r="D853" s="60" t="s">
        <v>753</v>
      </c>
      <c r="E853" s="60"/>
      <c r="F853" s="60"/>
      <c r="G853" s="60"/>
      <c r="H853" s="60"/>
    </row>
    <row r="854" spans="1:8">
      <c r="A854" s="60">
        <v>0.38512000000000002</v>
      </c>
      <c r="B854" s="60">
        <v>406</v>
      </c>
      <c r="C854" s="61">
        <v>45327</v>
      </c>
      <c r="D854" s="60" t="s">
        <v>754</v>
      </c>
      <c r="E854" s="60"/>
      <c r="F854" s="60"/>
      <c r="G854" s="60"/>
      <c r="H854" s="60"/>
    </row>
    <row r="855" spans="1:8">
      <c r="A855" s="60">
        <v>0.37924000000000002</v>
      </c>
      <c r="B855" s="60">
        <v>406</v>
      </c>
      <c r="C855" s="61">
        <v>45327</v>
      </c>
      <c r="D855" s="60" t="s">
        <v>755</v>
      </c>
      <c r="E855" s="60"/>
      <c r="F855" s="60"/>
      <c r="G855" s="60"/>
      <c r="H855" s="60"/>
    </row>
    <row r="856" spans="1:8">
      <c r="A856" s="60">
        <v>0.38521</v>
      </c>
      <c r="B856" s="60">
        <v>406</v>
      </c>
      <c r="C856" s="61">
        <v>45327</v>
      </c>
      <c r="D856" s="60" t="s">
        <v>756</v>
      </c>
      <c r="E856" s="60"/>
      <c r="F856" s="60"/>
      <c r="G856" s="60"/>
      <c r="H856" s="60"/>
    </row>
    <row r="857" spans="1:8">
      <c r="A857" s="60">
        <v>0.38018000000000002</v>
      </c>
      <c r="B857" s="60">
        <v>406</v>
      </c>
      <c r="C857" s="61">
        <v>45327</v>
      </c>
      <c r="D857" s="60" t="s">
        <v>757</v>
      </c>
      <c r="E857" s="60"/>
      <c r="F857" s="60"/>
      <c r="G857" s="60"/>
      <c r="H857" s="60"/>
    </row>
    <row r="858" spans="1:8">
      <c r="A858" s="60">
        <v>0.38472000000000001</v>
      </c>
      <c r="B858" s="60">
        <v>406</v>
      </c>
      <c r="C858" s="61">
        <v>45327</v>
      </c>
      <c r="D858" s="60" t="s">
        <v>758</v>
      </c>
      <c r="E858" s="60"/>
      <c r="F858" s="60"/>
      <c r="G858" s="60"/>
      <c r="H858" s="60"/>
    </row>
    <row r="859" spans="1:8">
      <c r="A859" s="60">
        <v>0.38264999999999999</v>
      </c>
      <c r="B859" s="60">
        <v>406</v>
      </c>
      <c r="C859" s="61">
        <v>45327</v>
      </c>
      <c r="D859" s="60" t="s">
        <v>759</v>
      </c>
      <c r="E859" s="60"/>
      <c r="F859" s="60"/>
      <c r="G859" s="60"/>
      <c r="H859" s="60"/>
    </row>
    <row r="860" spans="1:8">
      <c r="A860" s="60">
        <v>0.37490000000000001</v>
      </c>
      <c r="B860" s="60">
        <v>406</v>
      </c>
      <c r="C860" s="61">
        <v>45327</v>
      </c>
      <c r="D860" s="60" t="s">
        <v>760</v>
      </c>
      <c r="E860" s="60"/>
      <c r="F860" s="60"/>
      <c r="G860" s="60"/>
      <c r="H860" s="60"/>
    </row>
    <row r="861" spans="1:8">
      <c r="A861" s="60">
        <v>0.38327</v>
      </c>
      <c r="B861" s="60">
        <v>405.9</v>
      </c>
      <c r="C861" s="61">
        <v>45327</v>
      </c>
      <c r="D861" s="60" t="s">
        <v>761</v>
      </c>
      <c r="E861" s="60"/>
      <c r="F861" s="60"/>
      <c r="G861" s="60"/>
      <c r="H861" s="60"/>
    </row>
    <row r="862" spans="1:8">
      <c r="A862" s="60">
        <v>0.38511000000000001</v>
      </c>
      <c r="B862" s="60">
        <v>406</v>
      </c>
      <c r="C862" s="61">
        <v>45327</v>
      </c>
      <c r="D862" s="60" t="s">
        <v>762</v>
      </c>
      <c r="E862" s="60"/>
      <c r="F862" s="60"/>
      <c r="G862" s="60"/>
      <c r="H862" s="60"/>
    </row>
    <row r="863" spans="1:8">
      <c r="A863" s="60"/>
      <c r="B863" s="60"/>
      <c r="C863" s="60"/>
      <c r="D863" s="60"/>
      <c r="E863" s="60"/>
      <c r="F863" s="60"/>
      <c r="G863" s="60"/>
      <c r="H863" s="60"/>
    </row>
    <row r="864" spans="1:8">
      <c r="A864" s="60" t="s">
        <v>186</v>
      </c>
      <c r="B864" s="60" t="s">
        <v>763</v>
      </c>
      <c r="C864" s="60"/>
      <c r="D864" s="60"/>
      <c r="E864" s="60"/>
      <c r="F864" s="60"/>
      <c r="G864" s="60"/>
      <c r="H864" s="60"/>
    </row>
    <row r="865" spans="1:8">
      <c r="A865" s="60" t="s">
        <v>188</v>
      </c>
      <c r="B865" s="60"/>
      <c r="C865" s="60"/>
      <c r="D865" s="60"/>
      <c r="E865" s="60"/>
      <c r="F865" s="60"/>
      <c r="G865" s="60"/>
      <c r="H865" s="60"/>
    </row>
    <row r="866" spans="1:8">
      <c r="A866" s="60" t="s">
        <v>189</v>
      </c>
      <c r="B866" s="60" t="s">
        <v>100</v>
      </c>
      <c r="C866" s="60" t="s">
        <v>102</v>
      </c>
      <c r="D866" s="60" t="s">
        <v>101</v>
      </c>
      <c r="E866" s="60" t="s">
        <v>190</v>
      </c>
      <c r="F866" s="60" t="s">
        <v>191</v>
      </c>
      <c r="G866" s="60"/>
      <c r="H866" s="60"/>
    </row>
    <row r="867" spans="1:8">
      <c r="A867" s="60">
        <v>10</v>
      </c>
      <c r="B867" s="60">
        <v>0.38072</v>
      </c>
      <c r="C867" s="60">
        <v>0.38550000000000001</v>
      </c>
      <c r="D867" s="60">
        <v>0.37486999999999998</v>
      </c>
      <c r="E867" s="60" t="s">
        <v>255</v>
      </c>
      <c r="F867" s="60" t="s">
        <v>256</v>
      </c>
      <c r="G867" s="60"/>
      <c r="H867" s="60"/>
    </row>
    <row r="868" spans="1:8">
      <c r="A868" s="60">
        <v>10</v>
      </c>
      <c r="B868" s="60">
        <v>406</v>
      </c>
      <c r="C868" s="60">
        <v>406</v>
      </c>
      <c r="D868" s="60">
        <v>405.9</v>
      </c>
      <c r="E868" s="60" t="s">
        <v>255</v>
      </c>
      <c r="F868" s="60" t="s">
        <v>257</v>
      </c>
      <c r="G868" s="60"/>
      <c r="H868" s="60"/>
    </row>
    <row r="869" spans="1:8">
      <c r="A869" s="60" t="s">
        <v>195</v>
      </c>
      <c r="B869" s="60"/>
      <c r="C869" s="60"/>
      <c r="D869" s="60"/>
      <c r="E869" s="60"/>
      <c r="F869" s="60"/>
      <c r="G869" s="60"/>
      <c r="H869" s="60"/>
    </row>
    <row r="870" spans="1:8">
      <c r="A870" s="60" t="s">
        <v>256</v>
      </c>
      <c r="B870" s="60" t="s">
        <v>257</v>
      </c>
      <c r="C870" s="60" t="s">
        <v>200</v>
      </c>
      <c r="D870" s="60" t="s">
        <v>201</v>
      </c>
      <c r="E870" s="60"/>
      <c r="F870" s="60"/>
      <c r="G870" s="60"/>
      <c r="H870" s="60"/>
    </row>
    <row r="871" spans="1:8">
      <c r="A871" s="60">
        <v>0.38503999999999999</v>
      </c>
      <c r="B871" s="60">
        <v>405.9</v>
      </c>
      <c r="C871" s="61">
        <v>45327</v>
      </c>
      <c r="D871" s="60" t="s">
        <v>764</v>
      </c>
      <c r="E871" s="60"/>
      <c r="F871" s="60"/>
      <c r="G871" s="60"/>
      <c r="H871" s="60"/>
    </row>
    <row r="872" spans="1:8">
      <c r="A872" s="60">
        <v>0.37946999999999997</v>
      </c>
      <c r="B872" s="60">
        <v>405.9</v>
      </c>
      <c r="C872" s="61">
        <v>45327</v>
      </c>
      <c r="D872" s="60" t="s">
        <v>765</v>
      </c>
      <c r="E872" s="60"/>
      <c r="F872" s="60"/>
      <c r="G872" s="60"/>
      <c r="H872" s="60"/>
    </row>
    <row r="873" spans="1:8">
      <c r="A873" s="60">
        <v>0.38492999999999999</v>
      </c>
      <c r="B873" s="60">
        <v>406</v>
      </c>
      <c r="C873" s="61">
        <v>45327</v>
      </c>
      <c r="D873" s="60" t="s">
        <v>766</v>
      </c>
      <c r="E873" s="60"/>
      <c r="F873" s="60"/>
      <c r="G873" s="60"/>
      <c r="H873" s="60"/>
    </row>
    <row r="874" spans="1:8">
      <c r="A874" s="60">
        <v>0.38550000000000001</v>
      </c>
      <c r="B874" s="60">
        <v>406</v>
      </c>
      <c r="C874" s="61">
        <v>45327</v>
      </c>
      <c r="D874" s="60" t="s">
        <v>767</v>
      </c>
      <c r="E874" s="60"/>
      <c r="F874" s="60"/>
      <c r="G874" s="60"/>
      <c r="H874" s="60"/>
    </row>
    <row r="875" spans="1:8">
      <c r="A875" s="60">
        <v>0.37769999999999998</v>
      </c>
      <c r="B875" s="60">
        <v>405.9</v>
      </c>
      <c r="C875" s="61">
        <v>45327</v>
      </c>
      <c r="D875" s="60" t="s">
        <v>768</v>
      </c>
      <c r="E875" s="60"/>
      <c r="F875" s="60"/>
      <c r="G875" s="60"/>
      <c r="H875" s="60"/>
    </row>
    <row r="876" spans="1:8">
      <c r="A876" s="60">
        <v>0.37486999999999998</v>
      </c>
      <c r="B876" s="60">
        <v>406</v>
      </c>
      <c r="C876" s="61">
        <v>45327</v>
      </c>
      <c r="D876" s="60" t="s">
        <v>769</v>
      </c>
      <c r="E876" s="60"/>
      <c r="F876" s="60"/>
      <c r="G876" s="60"/>
      <c r="H876" s="60"/>
    </row>
    <row r="877" spans="1:8">
      <c r="A877" s="60">
        <v>0.38236999999999999</v>
      </c>
      <c r="B877" s="60">
        <v>405.9</v>
      </c>
      <c r="C877" s="61">
        <v>45327</v>
      </c>
      <c r="D877" s="60" t="s">
        <v>770</v>
      </c>
      <c r="E877" s="60"/>
      <c r="F877" s="60"/>
      <c r="G877" s="60"/>
      <c r="H877" s="60"/>
    </row>
    <row r="878" spans="1:8">
      <c r="A878" s="60">
        <v>0.38136999999999999</v>
      </c>
      <c r="B878" s="60">
        <v>406</v>
      </c>
      <c r="C878" s="61">
        <v>45327</v>
      </c>
      <c r="D878" s="60" t="s">
        <v>771</v>
      </c>
      <c r="E878" s="60"/>
      <c r="F878" s="60"/>
      <c r="G878" s="60"/>
      <c r="H878" s="60"/>
    </row>
    <row r="879" spans="1:8">
      <c r="A879" s="60">
        <v>0.38020999999999999</v>
      </c>
      <c r="B879" s="60">
        <v>406</v>
      </c>
      <c r="C879" s="61">
        <v>45327</v>
      </c>
      <c r="D879" s="60" t="s">
        <v>772</v>
      </c>
      <c r="E879" s="60"/>
      <c r="F879" s="60"/>
      <c r="G879" s="60"/>
      <c r="H879" s="60"/>
    </row>
    <row r="880" spans="1:8">
      <c r="A880" s="60">
        <v>0.37576999999999999</v>
      </c>
      <c r="B880" s="60">
        <v>405.9</v>
      </c>
      <c r="C880" s="61">
        <v>45327</v>
      </c>
      <c r="D880" s="60" t="s">
        <v>773</v>
      </c>
      <c r="E880" s="60"/>
      <c r="F880" s="60"/>
      <c r="G880" s="60"/>
      <c r="H880" s="60"/>
    </row>
    <row r="881" spans="1:8">
      <c r="A881" s="60"/>
      <c r="B881" s="60"/>
      <c r="C881" s="60"/>
      <c r="D881" s="60"/>
      <c r="E881" s="60"/>
      <c r="F881" s="60"/>
      <c r="G881" s="60"/>
      <c r="H881" s="60"/>
    </row>
    <row r="882" spans="1:8">
      <c r="A882" s="60" t="s">
        <v>186</v>
      </c>
      <c r="B882" s="60" t="s">
        <v>774</v>
      </c>
      <c r="C882" s="60"/>
      <c r="D882" s="60"/>
      <c r="E882" s="60"/>
      <c r="F882" s="60"/>
      <c r="G882" s="60"/>
      <c r="H882" s="60"/>
    </row>
    <row r="883" spans="1:8">
      <c r="A883" s="60" t="s">
        <v>188</v>
      </c>
      <c r="B883" s="60"/>
      <c r="C883" s="60"/>
      <c r="D883" s="60"/>
      <c r="E883" s="60"/>
      <c r="F883" s="60"/>
      <c r="G883" s="60"/>
      <c r="H883" s="60"/>
    </row>
    <row r="884" spans="1:8">
      <c r="A884" s="60" t="s">
        <v>189</v>
      </c>
      <c r="B884" s="60" t="s">
        <v>100</v>
      </c>
      <c r="C884" s="60" t="s">
        <v>102</v>
      </c>
      <c r="D884" s="60" t="s">
        <v>101</v>
      </c>
      <c r="E884" s="60" t="s">
        <v>190</v>
      </c>
      <c r="F884" s="60" t="s">
        <v>191</v>
      </c>
      <c r="G884" s="60"/>
      <c r="H884" s="60"/>
    </row>
    <row r="885" spans="1:8">
      <c r="A885" s="60">
        <v>10</v>
      </c>
      <c r="B885" s="60">
        <v>0.38374999999999998</v>
      </c>
      <c r="C885" s="60">
        <v>0.38807999999999998</v>
      </c>
      <c r="D885" s="60">
        <v>0.37589</v>
      </c>
      <c r="E885" s="60" t="s">
        <v>255</v>
      </c>
      <c r="F885" s="60" t="s">
        <v>256</v>
      </c>
      <c r="G885" s="60"/>
      <c r="H885" s="60"/>
    </row>
    <row r="886" spans="1:8">
      <c r="A886" s="60">
        <v>10</v>
      </c>
      <c r="B886" s="60">
        <v>405.9</v>
      </c>
      <c r="C886" s="60">
        <v>406</v>
      </c>
      <c r="D886" s="60">
        <v>405.8</v>
      </c>
      <c r="E886" s="60" t="s">
        <v>255</v>
      </c>
      <c r="F886" s="60" t="s">
        <v>257</v>
      </c>
      <c r="G886" s="60"/>
      <c r="H886" s="60"/>
    </row>
    <row r="887" spans="1:8">
      <c r="A887" s="60" t="s">
        <v>195</v>
      </c>
      <c r="B887" s="60"/>
      <c r="C887" s="60"/>
      <c r="D887" s="60"/>
      <c r="E887" s="60"/>
      <c r="F887" s="60"/>
      <c r="G887" s="60"/>
      <c r="H887" s="60"/>
    </row>
    <row r="888" spans="1:8">
      <c r="A888" s="60" t="s">
        <v>256</v>
      </c>
      <c r="B888" s="60" t="s">
        <v>257</v>
      </c>
      <c r="C888" s="60" t="s">
        <v>200</v>
      </c>
      <c r="D888" s="60" t="s">
        <v>201</v>
      </c>
      <c r="E888" s="60"/>
      <c r="F888" s="60"/>
      <c r="G888" s="60"/>
      <c r="H888" s="60"/>
    </row>
    <row r="889" spans="1:8">
      <c r="A889" s="60">
        <v>0.38518999999999998</v>
      </c>
      <c r="B889" s="60">
        <v>405.9</v>
      </c>
      <c r="C889" s="61">
        <v>45327</v>
      </c>
      <c r="D889" s="60" t="s">
        <v>775</v>
      </c>
      <c r="E889" s="60"/>
      <c r="F889" s="60"/>
      <c r="G889" s="60"/>
      <c r="H889" s="60"/>
    </row>
    <row r="890" spans="1:8">
      <c r="A890" s="60">
        <v>0.38490000000000002</v>
      </c>
      <c r="B890" s="60">
        <v>405.9</v>
      </c>
      <c r="C890" s="61">
        <v>45327</v>
      </c>
      <c r="D890" s="60" t="s">
        <v>776</v>
      </c>
      <c r="E890" s="60"/>
      <c r="F890" s="60"/>
      <c r="G890" s="60"/>
      <c r="H890" s="60"/>
    </row>
    <row r="891" spans="1:8">
      <c r="A891" s="60">
        <v>0.38807999999999998</v>
      </c>
      <c r="B891" s="60">
        <v>405.8</v>
      </c>
      <c r="C891" s="61">
        <v>45327</v>
      </c>
      <c r="D891" s="60" t="s">
        <v>777</v>
      </c>
      <c r="E891" s="60"/>
      <c r="F891" s="60"/>
      <c r="G891" s="60"/>
      <c r="H891" s="60"/>
    </row>
    <row r="892" spans="1:8">
      <c r="A892" s="60">
        <v>0.38367000000000001</v>
      </c>
      <c r="B892" s="60">
        <v>405.9</v>
      </c>
      <c r="C892" s="61">
        <v>45327</v>
      </c>
      <c r="D892" s="60" t="s">
        <v>778</v>
      </c>
      <c r="E892" s="60"/>
      <c r="F892" s="60"/>
      <c r="G892" s="60"/>
      <c r="H892" s="60"/>
    </row>
    <row r="893" spans="1:8">
      <c r="A893" s="60">
        <v>0.38622000000000001</v>
      </c>
      <c r="B893" s="60">
        <v>405.9</v>
      </c>
      <c r="C893" s="61">
        <v>45327</v>
      </c>
      <c r="D893" s="60" t="s">
        <v>779</v>
      </c>
      <c r="E893" s="60"/>
      <c r="F893" s="60"/>
      <c r="G893" s="60"/>
      <c r="H893" s="60"/>
    </row>
    <row r="894" spans="1:8">
      <c r="A894" s="60">
        <v>0.38474000000000003</v>
      </c>
      <c r="B894" s="60">
        <v>406</v>
      </c>
      <c r="C894" s="61">
        <v>45327</v>
      </c>
      <c r="D894" s="60" t="s">
        <v>780</v>
      </c>
      <c r="E894" s="60"/>
      <c r="F894" s="60"/>
      <c r="G894" s="60"/>
      <c r="H894" s="60"/>
    </row>
    <row r="895" spans="1:8">
      <c r="A895" s="60">
        <v>0.37589</v>
      </c>
      <c r="B895" s="60">
        <v>405.9</v>
      </c>
      <c r="C895" s="61">
        <v>45327</v>
      </c>
      <c r="D895" s="60" t="s">
        <v>781</v>
      </c>
      <c r="E895" s="60"/>
      <c r="F895" s="60"/>
      <c r="G895" s="60"/>
      <c r="H895" s="60"/>
    </row>
    <row r="896" spans="1:8">
      <c r="A896" s="60">
        <v>0.37955</v>
      </c>
      <c r="B896" s="60">
        <v>405.9</v>
      </c>
      <c r="C896" s="61">
        <v>45327</v>
      </c>
      <c r="D896" s="60" t="s">
        <v>782</v>
      </c>
      <c r="E896" s="60"/>
      <c r="F896" s="60"/>
      <c r="G896" s="60"/>
      <c r="H896" s="60"/>
    </row>
    <row r="897" spans="1:8">
      <c r="A897" s="60">
        <v>0.38207000000000002</v>
      </c>
      <c r="B897" s="60">
        <v>405.9</v>
      </c>
      <c r="C897" s="61">
        <v>45327</v>
      </c>
      <c r="D897" s="60" t="s">
        <v>783</v>
      </c>
      <c r="E897" s="60"/>
      <c r="F897" s="60"/>
      <c r="G897" s="60"/>
      <c r="H897" s="60"/>
    </row>
    <row r="898" spans="1:8">
      <c r="A898" s="60">
        <v>0.38718999999999998</v>
      </c>
      <c r="B898" s="60">
        <v>406</v>
      </c>
      <c r="C898" s="61">
        <v>45327</v>
      </c>
      <c r="D898" s="60" t="s">
        <v>784</v>
      </c>
      <c r="E898" s="60"/>
      <c r="F898" s="60"/>
      <c r="G898" s="60"/>
      <c r="H898" s="60"/>
    </row>
    <row r="899" spans="1:8">
      <c r="A899" s="60"/>
      <c r="B899" s="60"/>
      <c r="C899" s="60"/>
      <c r="D899" s="60"/>
      <c r="E899" s="60"/>
      <c r="F899" s="60"/>
      <c r="G899" s="60"/>
      <c r="H899" s="60"/>
    </row>
    <row r="900" spans="1:8">
      <c r="A900" s="60" t="s">
        <v>186</v>
      </c>
      <c r="B900" s="60" t="s">
        <v>785</v>
      </c>
      <c r="C900" s="60"/>
      <c r="D900" s="60"/>
      <c r="E900" s="60"/>
      <c r="F900" s="60"/>
      <c r="G900" s="60"/>
      <c r="H900" s="60"/>
    </row>
    <row r="901" spans="1:8">
      <c r="A901" s="60" t="s">
        <v>188</v>
      </c>
      <c r="B901" s="60"/>
      <c r="C901" s="60"/>
      <c r="D901" s="60"/>
      <c r="E901" s="60"/>
      <c r="F901" s="60"/>
      <c r="G901" s="60"/>
      <c r="H901" s="60"/>
    </row>
    <row r="902" spans="1:8">
      <c r="A902" s="60" t="s">
        <v>189</v>
      </c>
      <c r="B902" s="60" t="s">
        <v>100</v>
      </c>
      <c r="C902" s="60" t="s">
        <v>102</v>
      </c>
      <c r="D902" s="60" t="s">
        <v>101</v>
      </c>
      <c r="E902" s="60" t="s">
        <v>190</v>
      </c>
      <c r="F902" s="60" t="s">
        <v>191</v>
      </c>
      <c r="G902" s="60"/>
      <c r="H902" s="60"/>
    </row>
    <row r="903" spans="1:8">
      <c r="A903" s="60">
        <v>10</v>
      </c>
      <c r="B903" s="60">
        <v>0.37989000000000001</v>
      </c>
      <c r="C903" s="60">
        <v>0.38597999999999999</v>
      </c>
      <c r="D903" s="60">
        <v>0.37340000000000001</v>
      </c>
      <c r="E903" s="60" t="s">
        <v>255</v>
      </c>
      <c r="F903" s="60" t="s">
        <v>256</v>
      </c>
      <c r="G903" s="60"/>
      <c r="H903" s="60"/>
    </row>
    <row r="904" spans="1:8">
      <c r="A904" s="60">
        <v>10</v>
      </c>
      <c r="B904" s="60">
        <v>405.9</v>
      </c>
      <c r="C904" s="60">
        <v>405.9</v>
      </c>
      <c r="D904" s="60">
        <v>405.8</v>
      </c>
      <c r="E904" s="60" t="s">
        <v>255</v>
      </c>
      <c r="F904" s="60" t="s">
        <v>257</v>
      </c>
      <c r="G904" s="60"/>
      <c r="H904" s="60"/>
    </row>
    <row r="905" spans="1:8">
      <c r="A905" s="60" t="s">
        <v>195</v>
      </c>
      <c r="B905" s="60"/>
      <c r="C905" s="60"/>
      <c r="D905" s="60"/>
      <c r="E905" s="60"/>
      <c r="F905" s="60"/>
      <c r="G905" s="60"/>
      <c r="H905" s="60"/>
    </row>
    <row r="906" spans="1:8">
      <c r="A906" s="60" t="s">
        <v>256</v>
      </c>
      <c r="B906" s="60" t="s">
        <v>257</v>
      </c>
      <c r="C906" s="60" t="s">
        <v>200</v>
      </c>
      <c r="D906" s="60" t="s">
        <v>201</v>
      </c>
      <c r="E906" s="60"/>
      <c r="F906" s="60"/>
      <c r="G906" s="60"/>
      <c r="H906" s="60"/>
    </row>
    <row r="907" spans="1:8">
      <c r="A907" s="60">
        <v>0.38390000000000002</v>
      </c>
      <c r="B907" s="60">
        <v>405.9</v>
      </c>
      <c r="C907" s="61">
        <v>45327</v>
      </c>
      <c r="D907" s="60" t="s">
        <v>786</v>
      </c>
      <c r="E907" s="60"/>
      <c r="F907" s="60"/>
      <c r="G907" s="60"/>
      <c r="H907" s="60"/>
    </row>
    <row r="908" spans="1:8">
      <c r="A908" s="60">
        <v>0.37606000000000001</v>
      </c>
      <c r="B908" s="60">
        <v>405.8</v>
      </c>
      <c r="C908" s="61">
        <v>45327</v>
      </c>
      <c r="D908" s="60" t="s">
        <v>787</v>
      </c>
      <c r="E908" s="60"/>
      <c r="F908" s="60"/>
      <c r="G908" s="60"/>
      <c r="H908" s="60"/>
    </row>
    <row r="909" spans="1:8">
      <c r="A909" s="60">
        <v>0.38575999999999999</v>
      </c>
      <c r="B909" s="60">
        <v>405.9</v>
      </c>
      <c r="C909" s="61">
        <v>45327</v>
      </c>
      <c r="D909" s="60" t="s">
        <v>788</v>
      </c>
      <c r="E909" s="60"/>
      <c r="F909" s="60"/>
      <c r="G909" s="60"/>
      <c r="H909" s="60"/>
    </row>
    <row r="910" spans="1:8">
      <c r="A910" s="60">
        <v>0.37413000000000002</v>
      </c>
      <c r="B910" s="60">
        <v>405.9</v>
      </c>
      <c r="C910" s="61">
        <v>45327</v>
      </c>
      <c r="D910" s="60" t="s">
        <v>789</v>
      </c>
      <c r="E910" s="60"/>
      <c r="F910" s="60"/>
      <c r="G910" s="60"/>
      <c r="H910" s="60"/>
    </row>
    <row r="911" spans="1:8">
      <c r="A911" s="60">
        <v>0.37905</v>
      </c>
      <c r="B911" s="60">
        <v>405.9</v>
      </c>
      <c r="C911" s="61">
        <v>45327</v>
      </c>
      <c r="D911" s="60" t="s">
        <v>790</v>
      </c>
      <c r="E911" s="60"/>
      <c r="F911" s="60"/>
      <c r="G911" s="60"/>
      <c r="H911" s="60"/>
    </row>
    <row r="912" spans="1:8">
      <c r="A912" s="60">
        <v>0.38597999999999999</v>
      </c>
      <c r="B912" s="60">
        <v>405.9</v>
      </c>
      <c r="C912" s="61">
        <v>45327</v>
      </c>
      <c r="D912" s="60" t="s">
        <v>791</v>
      </c>
      <c r="E912" s="60"/>
      <c r="F912" s="60"/>
      <c r="G912" s="60"/>
      <c r="H912" s="60"/>
    </row>
    <row r="913" spans="1:8">
      <c r="A913" s="60">
        <v>0.37340000000000001</v>
      </c>
      <c r="B913" s="60">
        <v>405.9</v>
      </c>
      <c r="C913" s="61">
        <v>45327</v>
      </c>
      <c r="D913" s="60" t="s">
        <v>792</v>
      </c>
      <c r="E913" s="60"/>
      <c r="F913" s="60"/>
      <c r="G913" s="60"/>
      <c r="H913" s="60"/>
    </row>
    <row r="914" spans="1:8">
      <c r="A914" s="60">
        <v>0.37692999999999999</v>
      </c>
      <c r="B914" s="60">
        <v>405.8</v>
      </c>
      <c r="C914" s="61">
        <v>45327</v>
      </c>
      <c r="D914" s="60" t="s">
        <v>793</v>
      </c>
      <c r="E914" s="60"/>
      <c r="F914" s="60"/>
      <c r="G914" s="60"/>
      <c r="H914" s="60"/>
    </row>
    <row r="915" spans="1:8">
      <c r="A915" s="60">
        <v>0.37869999999999998</v>
      </c>
      <c r="B915" s="60">
        <v>405.9</v>
      </c>
      <c r="C915" s="61">
        <v>45327</v>
      </c>
      <c r="D915" s="60" t="s">
        <v>794</v>
      </c>
      <c r="E915" s="60"/>
      <c r="F915" s="60"/>
      <c r="G915" s="60"/>
      <c r="H915" s="60"/>
    </row>
    <row r="916" spans="1:8">
      <c r="A916" s="60">
        <v>0.38496999999999998</v>
      </c>
      <c r="B916" s="60">
        <v>405.9</v>
      </c>
      <c r="C916" s="61">
        <v>45327</v>
      </c>
      <c r="D916" s="60" t="s">
        <v>795</v>
      </c>
      <c r="E916" s="60"/>
      <c r="F916" s="60"/>
      <c r="G916" s="60"/>
      <c r="H916" s="60"/>
    </row>
    <row r="918" spans="1:8">
      <c r="A918" t="s">
        <v>186</v>
      </c>
      <c r="B918" t="s">
        <v>796</v>
      </c>
      <c r="C918" s="4" t="s">
        <v>585</v>
      </c>
    </row>
    <row r="919" spans="1:8">
      <c r="A919" t="s">
        <v>188</v>
      </c>
    </row>
    <row r="920" spans="1:8">
      <c r="A920" t="s">
        <v>189</v>
      </c>
      <c r="B920" t="s">
        <v>100</v>
      </c>
      <c r="C920" t="s">
        <v>102</v>
      </c>
      <c r="D920" t="s">
        <v>101</v>
      </c>
      <c r="E920" t="s">
        <v>190</v>
      </c>
      <c r="F920" t="s">
        <v>191</v>
      </c>
    </row>
    <row r="921" spans="1:8">
      <c r="A921">
        <v>2</v>
      </c>
      <c r="B921">
        <v>263</v>
      </c>
      <c r="C921">
        <v>271</v>
      </c>
      <c r="D921">
        <v>254</v>
      </c>
      <c r="E921" t="s">
        <v>192</v>
      </c>
      <c r="F921" t="s">
        <v>193</v>
      </c>
    </row>
    <row r="922" spans="1:8">
      <c r="A922">
        <v>2</v>
      </c>
      <c r="B922">
        <v>51.56</v>
      </c>
      <c r="C922">
        <v>53.24</v>
      </c>
      <c r="D922">
        <v>49.88</v>
      </c>
      <c r="E922" t="s">
        <v>95</v>
      </c>
      <c r="F922" t="s">
        <v>645</v>
      </c>
    </row>
    <row r="923" spans="1:8">
      <c r="A923" t="s">
        <v>195</v>
      </c>
    </row>
    <row r="924" spans="1:8">
      <c r="A924" t="s">
        <v>196</v>
      </c>
      <c r="B924" t="s">
        <v>197</v>
      </c>
      <c r="C924" t="s">
        <v>198</v>
      </c>
      <c r="D924" t="s">
        <v>199</v>
      </c>
      <c r="E924" t="s">
        <v>200</v>
      </c>
      <c r="F924" t="s">
        <v>201</v>
      </c>
    </row>
    <row r="925" spans="1:8">
      <c r="A925">
        <v>271</v>
      </c>
      <c r="B925">
        <v>53.24</v>
      </c>
      <c r="C925">
        <v>1</v>
      </c>
      <c r="D925">
        <v>106</v>
      </c>
      <c r="E925" s="29">
        <v>45327</v>
      </c>
      <c r="F925" t="s">
        <v>797</v>
      </c>
    </row>
    <row r="926" spans="1:8">
      <c r="A926">
        <v>254</v>
      </c>
      <c r="B926">
        <v>49.88</v>
      </c>
      <c r="C926">
        <v>1</v>
      </c>
      <c r="D926">
        <v>106</v>
      </c>
      <c r="E926" s="29">
        <v>45327</v>
      </c>
      <c r="F926" t="s">
        <v>798</v>
      </c>
    </row>
    <row r="928" spans="1:8">
      <c r="A928" t="s">
        <v>186</v>
      </c>
      <c r="B928" t="s">
        <v>799</v>
      </c>
      <c r="C928" s="4" t="s">
        <v>14</v>
      </c>
    </row>
    <row r="929" spans="1:6">
      <c r="A929" t="s">
        <v>188</v>
      </c>
    </row>
    <row r="930" spans="1:6">
      <c r="A930" t="s">
        <v>189</v>
      </c>
      <c r="B930" t="s">
        <v>100</v>
      </c>
      <c r="C930" t="s">
        <v>102</v>
      </c>
      <c r="D930" t="s">
        <v>101</v>
      </c>
      <c r="E930" t="s">
        <v>190</v>
      </c>
      <c r="F930" t="s">
        <v>191</v>
      </c>
    </row>
    <row r="931" spans="1:6">
      <c r="A931">
        <v>12</v>
      </c>
      <c r="B931">
        <v>305</v>
      </c>
      <c r="C931">
        <v>421</v>
      </c>
      <c r="D931">
        <v>252</v>
      </c>
      <c r="E931" t="s">
        <v>192</v>
      </c>
      <c r="F931" t="s">
        <v>193</v>
      </c>
    </row>
    <row r="932" spans="1:6">
      <c r="A932">
        <v>12</v>
      </c>
      <c r="B932">
        <v>59.92</v>
      </c>
      <c r="C932">
        <v>82.62</v>
      </c>
      <c r="D932">
        <v>49.4</v>
      </c>
      <c r="E932" t="s">
        <v>95</v>
      </c>
      <c r="F932" t="s">
        <v>645</v>
      </c>
    </row>
    <row r="933" spans="1:6">
      <c r="A933" t="s">
        <v>195</v>
      </c>
    </row>
    <row r="934" spans="1:6">
      <c r="A934" t="s">
        <v>196</v>
      </c>
      <c r="B934" t="s">
        <v>197</v>
      </c>
      <c r="C934" t="s">
        <v>198</v>
      </c>
      <c r="D934" t="s">
        <v>199</v>
      </c>
      <c r="E934" t="s">
        <v>200</v>
      </c>
      <c r="F934" t="s">
        <v>201</v>
      </c>
    </row>
    <row r="935" spans="1:6">
      <c r="A935">
        <v>263</v>
      </c>
      <c r="B935">
        <v>51.67</v>
      </c>
      <c r="C935">
        <v>1</v>
      </c>
      <c r="D935">
        <v>106</v>
      </c>
      <c r="E935" s="29">
        <v>45327</v>
      </c>
      <c r="F935" t="s">
        <v>800</v>
      </c>
    </row>
    <row r="936" spans="1:6">
      <c r="A936">
        <v>258</v>
      </c>
      <c r="B936">
        <v>50.69</v>
      </c>
      <c r="C936">
        <v>1</v>
      </c>
      <c r="D936">
        <v>106</v>
      </c>
      <c r="E936" s="29">
        <v>45327</v>
      </c>
      <c r="F936" t="s">
        <v>801</v>
      </c>
    </row>
    <row r="937" spans="1:6">
      <c r="A937">
        <v>252</v>
      </c>
      <c r="B937">
        <v>49.4</v>
      </c>
      <c r="C937">
        <v>1</v>
      </c>
      <c r="D937">
        <v>106</v>
      </c>
      <c r="E937" s="29">
        <v>45327</v>
      </c>
      <c r="F937" t="s">
        <v>802</v>
      </c>
    </row>
    <row r="938" spans="1:6">
      <c r="A938">
        <v>336</v>
      </c>
      <c r="B938">
        <v>65.959999999999994</v>
      </c>
      <c r="C938">
        <v>1</v>
      </c>
      <c r="D938">
        <v>106</v>
      </c>
      <c r="E938" s="29">
        <v>45327</v>
      </c>
      <c r="F938" t="s">
        <v>803</v>
      </c>
    </row>
    <row r="939" spans="1:6">
      <c r="A939">
        <v>407</v>
      </c>
      <c r="B939">
        <v>79.89</v>
      </c>
      <c r="C939">
        <v>1</v>
      </c>
      <c r="D939">
        <v>106</v>
      </c>
      <c r="E939" s="29">
        <v>45327</v>
      </c>
      <c r="F939" t="s">
        <v>804</v>
      </c>
    </row>
    <row r="940" spans="1:6">
      <c r="A940">
        <v>421</v>
      </c>
      <c r="B940">
        <v>82.62</v>
      </c>
      <c r="C940">
        <v>1</v>
      </c>
      <c r="D940">
        <v>106</v>
      </c>
      <c r="E940" s="29">
        <v>45327</v>
      </c>
      <c r="F940" t="s">
        <v>805</v>
      </c>
    </row>
    <row r="941" spans="1:6">
      <c r="A941">
        <v>302</v>
      </c>
      <c r="B941">
        <v>59.22</v>
      </c>
      <c r="C941">
        <v>1</v>
      </c>
      <c r="D941">
        <v>106</v>
      </c>
      <c r="E941" s="29">
        <v>45327</v>
      </c>
      <c r="F941" t="s">
        <v>806</v>
      </c>
    </row>
    <row r="942" spans="1:6">
      <c r="A942">
        <v>300</v>
      </c>
      <c r="B942">
        <v>58.96</v>
      </c>
      <c r="C942">
        <v>1</v>
      </c>
      <c r="D942">
        <v>106</v>
      </c>
      <c r="E942" s="29">
        <v>45327</v>
      </c>
      <c r="F942" t="s">
        <v>807</v>
      </c>
    </row>
    <row r="943" spans="1:6">
      <c r="A943">
        <v>255</v>
      </c>
      <c r="B943">
        <v>50.1</v>
      </c>
      <c r="C943">
        <v>1</v>
      </c>
      <c r="D943">
        <v>106</v>
      </c>
      <c r="E943" s="29">
        <v>45327</v>
      </c>
      <c r="F943" t="s">
        <v>808</v>
      </c>
    </row>
    <row r="944" spans="1:6">
      <c r="A944">
        <v>285</v>
      </c>
      <c r="B944">
        <v>55.91</v>
      </c>
      <c r="C944">
        <v>1</v>
      </c>
      <c r="D944">
        <v>106</v>
      </c>
      <c r="E944" s="29">
        <v>45327</v>
      </c>
      <c r="F944" t="s">
        <v>809</v>
      </c>
    </row>
    <row r="945" spans="1:6">
      <c r="A945">
        <v>303</v>
      </c>
      <c r="B945">
        <v>59.58</v>
      </c>
      <c r="C945">
        <v>1</v>
      </c>
      <c r="D945">
        <v>106</v>
      </c>
      <c r="E945" s="29">
        <v>45327</v>
      </c>
      <c r="F945" t="s">
        <v>810</v>
      </c>
    </row>
    <row r="946" spans="1:6">
      <c r="A946">
        <v>280</v>
      </c>
      <c r="B946">
        <v>54.99</v>
      </c>
      <c r="C946">
        <v>1</v>
      </c>
      <c r="D946">
        <v>106</v>
      </c>
      <c r="E946" s="29">
        <v>45327</v>
      </c>
      <c r="F946" t="s">
        <v>811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851D7-8810-4591-ABD5-45DEB7C36CF8}">
  <dimension ref="A1:E26"/>
  <sheetViews>
    <sheetView topLeftCell="A7" workbookViewId="0">
      <selection activeCell="A26" sqref="A26"/>
    </sheetView>
  </sheetViews>
  <sheetFormatPr defaultRowHeight="15"/>
  <sheetData>
    <row r="1" spans="1:4">
      <c r="A1" t="s">
        <v>812</v>
      </c>
    </row>
    <row r="2" spans="1:4">
      <c r="A2" s="31" t="s">
        <v>813</v>
      </c>
    </row>
    <row r="3" spans="1:4">
      <c r="A3" t="s">
        <v>814</v>
      </c>
    </row>
    <row r="5" spans="1:4">
      <c r="A5" t="s">
        <v>815</v>
      </c>
    </row>
    <row r="6" spans="1:4">
      <c r="A6" t="s">
        <v>816</v>
      </c>
      <c r="B6">
        <v>1.1E-4</v>
      </c>
      <c r="C6">
        <v>9.0000000000000006E-5</v>
      </c>
      <c r="D6">
        <v>1.3999999999999999E-4</v>
      </c>
    </row>
    <row r="7" spans="1:4">
      <c r="A7" t="s">
        <v>817</v>
      </c>
      <c r="B7">
        <v>1.2E-4</v>
      </c>
      <c r="C7">
        <v>9.0000000000000006E-5</v>
      </c>
      <c r="D7">
        <v>1.2999999999999999E-4</v>
      </c>
    </row>
    <row r="8" spans="1:4">
      <c r="A8" t="s">
        <v>818</v>
      </c>
    </row>
    <row r="10" spans="1:4">
      <c r="A10" t="s">
        <v>819</v>
      </c>
    </row>
    <row r="11" spans="1:4">
      <c r="A11" t="s">
        <v>816</v>
      </c>
      <c r="B11">
        <v>-4.0000000000000003E-5</v>
      </c>
      <c r="C11">
        <v>-6.9999999999999994E-5</v>
      </c>
      <c r="D11">
        <v>-1.0000000000000001E-5</v>
      </c>
    </row>
    <row r="12" spans="1:4">
      <c r="A12" t="s">
        <v>817</v>
      </c>
      <c r="B12">
        <v>-6.0000000000000002E-5</v>
      </c>
      <c r="C12">
        <v>-9.0000000000000006E-5</v>
      </c>
      <c r="D12">
        <v>-4.0000000000000003E-5</v>
      </c>
    </row>
    <row r="13" spans="1:4">
      <c r="A13" t="s">
        <v>820</v>
      </c>
    </row>
    <row r="15" spans="1:4">
      <c r="A15" t="s">
        <v>819</v>
      </c>
    </row>
    <row r="16" spans="1:4">
      <c r="A16" t="s">
        <v>821</v>
      </c>
    </row>
    <row r="17" spans="1:5">
      <c r="A17" t="s">
        <v>816</v>
      </c>
      <c r="B17">
        <v>0.38346000000000002</v>
      </c>
      <c r="C17">
        <v>0.37490000000000001</v>
      </c>
      <c r="D17">
        <v>0.39418999999999998</v>
      </c>
      <c r="E17" s="4" t="s">
        <v>822</v>
      </c>
    </row>
    <row r="18" spans="1:5">
      <c r="A18" t="s">
        <v>817</v>
      </c>
      <c r="B18">
        <v>0.38072</v>
      </c>
      <c r="C18">
        <v>0.37486999999999998</v>
      </c>
      <c r="D18">
        <v>0.38550000000000001</v>
      </c>
    </row>
    <row r="19" spans="1:5">
      <c r="A19" t="s">
        <v>816</v>
      </c>
      <c r="B19">
        <v>0.38374999999999998</v>
      </c>
      <c r="C19">
        <v>0.37589</v>
      </c>
      <c r="D19">
        <v>0.38807999999999998</v>
      </c>
    </row>
    <row r="20" spans="1:5">
      <c r="A20" t="s">
        <v>817</v>
      </c>
      <c r="B20">
        <v>0.37989000000000001</v>
      </c>
      <c r="C20">
        <v>0.37340000000000001</v>
      </c>
      <c r="D20">
        <v>0.38597999999999999</v>
      </c>
    </row>
    <row r="21" spans="1:5">
      <c r="A21" t="s">
        <v>823</v>
      </c>
      <c r="B21">
        <f>AVERAGE(B17,B19)</f>
        <v>0.38360499999999997</v>
      </c>
    </row>
    <row r="22" spans="1:5">
      <c r="A22" t="s">
        <v>824</v>
      </c>
      <c r="B22">
        <f>AVERAGE(B18,B20)</f>
        <v>0.380305</v>
      </c>
    </row>
    <row r="23" spans="1:5">
      <c r="A23" t="s">
        <v>825</v>
      </c>
    </row>
    <row r="24" spans="1:5">
      <c r="A24" t="s">
        <v>826</v>
      </c>
    </row>
    <row r="26" spans="1:5">
      <c r="A26" t="s">
        <v>827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82657-93EB-498F-9372-1DFADAB6F1AF}">
  <dimension ref="A2:M45"/>
  <sheetViews>
    <sheetView workbookViewId="0">
      <selection activeCell="B3" sqref="B3"/>
    </sheetView>
  </sheetViews>
  <sheetFormatPr defaultRowHeight="15"/>
  <cols>
    <col min="1" max="1" width="28" customWidth="1"/>
    <col min="7" max="7" width="20.42578125" customWidth="1"/>
    <col min="9" max="9" width="19.85546875" customWidth="1"/>
    <col min="10" max="10" width="13.5703125" customWidth="1"/>
  </cols>
  <sheetData>
    <row r="2" spans="1:13">
      <c r="A2" t="s">
        <v>828</v>
      </c>
      <c r="B2" t="s">
        <v>829</v>
      </c>
      <c r="G2" s="4" t="s">
        <v>830</v>
      </c>
    </row>
    <row r="3" spans="1:13">
      <c r="A3" t="s">
        <v>831</v>
      </c>
      <c r="B3">
        <v>6.7000000000000004E-2</v>
      </c>
      <c r="G3" s="4" t="s">
        <v>832</v>
      </c>
      <c r="H3" t="s">
        <v>833</v>
      </c>
      <c r="I3" t="s">
        <v>834</v>
      </c>
      <c r="J3" t="s">
        <v>835</v>
      </c>
      <c r="K3" t="s">
        <v>836</v>
      </c>
    </row>
    <row r="4" spans="1:13">
      <c r="A4" t="s">
        <v>837</v>
      </c>
      <c r="B4">
        <v>2.0000000000000001E-4</v>
      </c>
      <c r="G4" s="23" t="s">
        <v>838</v>
      </c>
      <c r="H4">
        <v>0.16300000000000001</v>
      </c>
    </row>
    <row r="5" spans="1:13">
      <c r="A5" t="s">
        <v>839</v>
      </c>
      <c r="B5">
        <v>6.4999999999999997E-3</v>
      </c>
      <c r="G5" s="23" t="s">
        <v>840</v>
      </c>
      <c r="H5">
        <v>0.27200000000000002</v>
      </c>
    </row>
    <row r="6" spans="1:13">
      <c r="A6" t="s">
        <v>841</v>
      </c>
      <c r="B6">
        <v>3.909E-2</v>
      </c>
      <c r="C6" s="4" t="s">
        <v>842</v>
      </c>
      <c r="G6" s="23" t="s">
        <v>843</v>
      </c>
      <c r="I6">
        <v>0.38949</v>
      </c>
      <c r="J6">
        <v>0.38</v>
      </c>
      <c r="K6">
        <v>0.39578999999999998</v>
      </c>
      <c r="L6" s="4" t="s">
        <v>844</v>
      </c>
    </row>
    <row r="7" spans="1:13">
      <c r="A7" t="s">
        <v>845</v>
      </c>
      <c r="B7">
        <v>1.6E-2</v>
      </c>
      <c r="G7" s="23" t="s">
        <v>846</v>
      </c>
      <c r="I7">
        <v>0.38873000000000002</v>
      </c>
      <c r="J7">
        <v>0.38457999999999998</v>
      </c>
      <c r="K7">
        <v>0.39182</v>
      </c>
      <c r="L7" s="31" t="s">
        <v>847</v>
      </c>
      <c r="M7" t="s">
        <v>848</v>
      </c>
    </row>
    <row r="8" spans="1:13">
      <c r="A8" t="s">
        <v>849</v>
      </c>
      <c r="B8">
        <v>-0.159</v>
      </c>
      <c r="G8" s="4" t="s">
        <v>850</v>
      </c>
      <c r="I8">
        <v>0.31384000000000001</v>
      </c>
      <c r="J8">
        <v>0.30153999999999997</v>
      </c>
      <c r="K8">
        <v>0.31835999999999998</v>
      </c>
      <c r="L8" s="4" t="s">
        <v>851</v>
      </c>
    </row>
    <row r="9" spans="1:13">
      <c r="A9" t="s">
        <v>852</v>
      </c>
      <c r="B9">
        <v>2.4299999999999999E-2</v>
      </c>
    </row>
    <row r="10" spans="1:13">
      <c r="A10" t="s">
        <v>853</v>
      </c>
      <c r="B10">
        <v>0.13500000000000001</v>
      </c>
      <c r="G10" s="4" t="s">
        <v>832</v>
      </c>
      <c r="H10" t="s">
        <v>854</v>
      </c>
      <c r="I10" t="s">
        <v>834</v>
      </c>
      <c r="J10" t="s">
        <v>835</v>
      </c>
      <c r="K10" t="s">
        <v>836</v>
      </c>
    </row>
    <row r="11" spans="1:13">
      <c r="G11" s="23" t="s">
        <v>838</v>
      </c>
      <c r="H11">
        <v>11</v>
      </c>
      <c r="I11">
        <v>0.16983999999999999</v>
      </c>
      <c r="J11">
        <v>0.16653000000000001</v>
      </c>
      <c r="K11">
        <v>0.17146</v>
      </c>
      <c r="L11" s="4" t="s">
        <v>855</v>
      </c>
    </row>
    <row r="12" spans="1:13">
      <c r="G12" s="23" t="s">
        <v>840</v>
      </c>
      <c r="H12">
        <v>5</v>
      </c>
      <c r="I12">
        <v>0.26829999999999998</v>
      </c>
      <c r="J12">
        <v>0.26543</v>
      </c>
      <c r="K12">
        <v>0.27202999999999999</v>
      </c>
      <c r="L12" s="4" t="s">
        <v>856</v>
      </c>
    </row>
    <row r="13" spans="1:13">
      <c r="G13" s="23" t="s">
        <v>857</v>
      </c>
      <c r="H13">
        <v>10</v>
      </c>
      <c r="I13">
        <v>0.39199000000000001</v>
      </c>
      <c r="J13">
        <v>0.38568999999999998</v>
      </c>
      <c r="K13">
        <v>0.39754</v>
      </c>
      <c r="L13" s="4" t="s">
        <v>858</v>
      </c>
    </row>
    <row r="14" spans="1:13">
      <c r="G14" s="23" t="s">
        <v>859</v>
      </c>
      <c r="H14">
        <v>5</v>
      </c>
      <c r="I14">
        <v>0.16886000000000001</v>
      </c>
      <c r="J14">
        <v>0.15762000000000001</v>
      </c>
      <c r="K14">
        <v>0.17501</v>
      </c>
      <c r="L14" s="4" t="s">
        <v>860</v>
      </c>
    </row>
    <row r="15" spans="1:13">
      <c r="G15" s="4" t="s">
        <v>861</v>
      </c>
      <c r="H15">
        <v>4</v>
      </c>
      <c r="I15">
        <v>0.22056999999999999</v>
      </c>
      <c r="J15">
        <v>0.21790000000000001</v>
      </c>
      <c r="K15">
        <v>0.22338</v>
      </c>
      <c r="L15" s="4" t="s">
        <v>862</v>
      </c>
    </row>
    <row r="16" spans="1:13">
      <c r="A16" t="s">
        <v>863</v>
      </c>
    </row>
    <row r="18" spans="7:10">
      <c r="G18" t="s">
        <v>864</v>
      </c>
      <c r="I18">
        <f>I11/I13</f>
        <v>0.4332763590907931</v>
      </c>
      <c r="J18">
        <f>I18^0.5</f>
        <v>0.65823731213810199</v>
      </c>
    </row>
    <row r="19" spans="7:10">
      <c r="G19" t="s">
        <v>865</v>
      </c>
      <c r="I19">
        <f>I12/I13</f>
        <v>0.68445623612847262</v>
      </c>
      <c r="J19">
        <f>I19^0.5</f>
        <v>0.82731870287602749</v>
      </c>
    </row>
    <row r="45" spans="1:1">
      <c r="A45" t="s">
        <v>866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C079D-8481-479A-887E-F18F8FBA11B9}">
  <dimension ref="A1:Z38"/>
  <sheetViews>
    <sheetView topLeftCell="AA5" workbookViewId="0">
      <selection activeCell="AA5" sqref="AA5"/>
    </sheetView>
  </sheetViews>
  <sheetFormatPr defaultRowHeight="15"/>
  <cols>
    <col min="7" max="8" width="10.42578125" bestFit="1" customWidth="1"/>
    <col min="12" max="18" width="10.42578125" bestFit="1" customWidth="1"/>
  </cols>
  <sheetData>
    <row r="1" spans="1:19">
      <c r="A1" s="4" t="s">
        <v>867</v>
      </c>
    </row>
    <row r="2" spans="1:19">
      <c r="A2" t="s">
        <v>868</v>
      </c>
    </row>
    <row r="3" spans="1:19">
      <c r="A3" t="s">
        <v>869</v>
      </c>
    </row>
    <row r="4" spans="1:19">
      <c r="A4" t="s">
        <v>870</v>
      </c>
    </row>
    <row r="5" spans="1:19">
      <c r="A5" t="s">
        <v>871</v>
      </c>
    </row>
    <row r="8" spans="1:19">
      <c r="A8" t="s">
        <v>872</v>
      </c>
      <c r="K8" t="s">
        <v>873</v>
      </c>
    </row>
    <row r="9" spans="1:19">
      <c r="B9">
        <v>1</v>
      </c>
      <c r="C9">
        <v>2</v>
      </c>
      <c r="D9">
        <v>3</v>
      </c>
      <c r="E9">
        <v>4</v>
      </c>
      <c r="F9">
        <v>5</v>
      </c>
      <c r="L9">
        <v>1</v>
      </c>
      <c r="M9">
        <v>2</v>
      </c>
      <c r="N9">
        <v>3</v>
      </c>
      <c r="O9">
        <v>4</v>
      </c>
      <c r="P9">
        <v>5</v>
      </c>
    </row>
    <row r="10" spans="1:19">
      <c r="A10">
        <v>5</v>
      </c>
      <c r="B10" s="3">
        <f>AVERAGE('Traverse West'!B19,'Traverse West'!B32,'Traverse West'!B45)</f>
        <v>423.33333333333331</v>
      </c>
      <c r="C10" s="3">
        <f>AVERAGE('Traverse West'!C19,'Traverse West'!C32,'Traverse West'!C45)</f>
        <v>481</v>
      </c>
      <c r="D10" s="3">
        <f>AVERAGE('Traverse West'!D19,'Traverse West'!D32,'Traverse West'!D45)</f>
        <v>601</v>
      </c>
      <c r="E10" s="3">
        <f>AVERAGE('Traverse West'!E19,'Traverse West'!E32,'Traverse West'!E45)</f>
        <v>765</v>
      </c>
      <c r="F10" s="3">
        <f>AVERAGE('Traverse West'!F19,'Traverse West'!F32,'Traverse West'!F45)</f>
        <v>783.66666666666663</v>
      </c>
      <c r="K10">
        <v>5</v>
      </c>
      <c r="L10" s="3">
        <f>AVERAGE('Traverse East'!B17,'Traverse East'!B32,'Traverse East'!B47)</f>
        <v>398.33333333333331</v>
      </c>
      <c r="M10" s="3">
        <f>AVERAGE('Traverse East'!C17,'Traverse East'!C32,'Traverse East'!C47)</f>
        <v>445.33333333333331</v>
      </c>
      <c r="N10" s="3">
        <f>AVERAGE('Traverse East'!D17,'Traverse East'!D32,'Traverse East'!D47)</f>
        <v>450</v>
      </c>
      <c r="O10" s="3">
        <f>AVERAGE('Traverse East'!E17,'Traverse East'!E32,'Traverse East'!E47)</f>
        <v>447.33333333333331</v>
      </c>
      <c r="P10" s="3">
        <f>AVERAGE('Traverse East'!F17,'Traverse East'!F32,'Traverse East'!F47)</f>
        <v>427.66666666666669</v>
      </c>
    </row>
    <row r="11" spans="1:19">
      <c r="A11">
        <v>4</v>
      </c>
      <c r="B11" s="3">
        <f>AVERAGE('Traverse West'!B20,'Traverse West'!B33,'Traverse West'!B46)</f>
        <v>568.33333333333337</v>
      </c>
      <c r="C11" s="3">
        <f>AVERAGE('Traverse West'!C20,'Traverse West'!C33,'Traverse West'!C46)</f>
        <v>606.33333333333337</v>
      </c>
      <c r="D11" s="3">
        <f>AVERAGE('Traverse West'!D20,'Traverse West'!D33,'Traverse West'!D46)</f>
        <v>732</v>
      </c>
      <c r="E11" s="3">
        <f>AVERAGE('Traverse West'!E20,'Traverse West'!E33,'Traverse West'!E46)</f>
        <v>791</v>
      </c>
      <c r="F11" s="3">
        <f>AVERAGE('Traverse West'!F20,'Traverse West'!F33,'Traverse West'!F46)</f>
        <v>890.33333333333337</v>
      </c>
      <c r="K11">
        <v>4</v>
      </c>
      <c r="L11" s="3">
        <f>AVERAGE('Traverse East'!B18,'Traverse East'!B33,'Traverse East'!B48)</f>
        <v>427</v>
      </c>
      <c r="M11" s="3">
        <f>AVERAGE('Traverse East'!C18,'Traverse East'!C33,'Traverse East'!C48)</f>
        <v>439</v>
      </c>
      <c r="N11" s="3">
        <f>AVERAGE('Traverse East'!D18,'Traverse East'!D33,'Traverse East'!D48)</f>
        <v>414.33333333333331</v>
      </c>
      <c r="O11" s="3">
        <f>AVERAGE('Traverse East'!E18,'Traverse East'!E33,'Traverse East'!E48)</f>
        <v>441</v>
      </c>
      <c r="P11" s="3">
        <f>AVERAGE('Traverse East'!F18,'Traverse East'!F33,'Traverse East'!F48)</f>
        <v>459</v>
      </c>
    </row>
    <row r="12" spans="1:19">
      <c r="A12">
        <v>3</v>
      </c>
      <c r="B12" s="3">
        <f>AVERAGE('Traverse West'!B21,'Traverse West'!B34,'Traverse West'!B47)</f>
        <v>515.66666666666663</v>
      </c>
      <c r="C12" s="3">
        <f>AVERAGE('Traverse West'!C21,'Traverse West'!C34,'Traverse West'!C47)</f>
        <v>532.66666666666663</v>
      </c>
      <c r="D12" s="3">
        <f>AVERAGE('Traverse West'!D21,'Traverse West'!D34,'Traverse West'!D47)</f>
        <v>592.33333333333337</v>
      </c>
      <c r="E12" s="3">
        <f>AVERAGE('Traverse West'!E21,'Traverse West'!E34,'Traverse West'!E47)</f>
        <v>745</v>
      </c>
      <c r="F12" s="3">
        <f>AVERAGE('Traverse West'!F21,'Traverse West'!F34,'Traverse West'!F47)</f>
        <v>837.66666666666663</v>
      </c>
      <c r="K12">
        <v>3</v>
      </c>
      <c r="L12" s="3">
        <f>AVERAGE('Traverse East'!B19,'Traverse East'!B34,'Traverse East'!B49)</f>
        <v>453.33333333333331</v>
      </c>
      <c r="M12" s="3">
        <f>AVERAGE('Traverse East'!C19,'Traverse East'!C34,'Traverse East'!C49)</f>
        <v>422.66666666666669</v>
      </c>
      <c r="N12" s="3">
        <f>AVERAGE('Traverse East'!D19,'Traverse East'!D34,'Traverse East'!D49)</f>
        <v>413</v>
      </c>
      <c r="O12" s="3">
        <f>AVERAGE('Traverse East'!E19,'Traverse East'!E34,'Traverse East'!E49)</f>
        <v>419</v>
      </c>
      <c r="P12" s="3">
        <f>AVERAGE('Traverse East'!F19,'Traverse East'!F34,'Traverse East'!F49)</f>
        <v>461.33333333333331</v>
      </c>
    </row>
    <row r="13" spans="1:19">
      <c r="A13">
        <v>2</v>
      </c>
      <c r="B13" s="3">
        <f>AVERAGE('Traverse West'!B22,'Traverse West'!B35,'Traverse West'!B48)</f>
        <v>388.33333333333331</v>
      </c>
      <c r="C13" s="3">
        <f>AVERAGE('Traverse West'!C22,'Traverse West'!C35,'Traverse West'!C48)</f>
        <v>390.33333333333331</v>
      </c>
      <c r="D13" s="3">
        <f>AVERAGE('Traverse West'!D22,'Traverse West'!D35,'Traverse West'!D48)</f>
        <v>480.33333333333331</v>
      </c>
      <c r="E13" s="3">
        <f>AVERAGE('Traverse West'!E22,'Traverse West'!E35,'Traverse West'!E48)</f>
        <v>715.66666666666663</v>
      </c>
      <c r="F13" s="3">
        <f>AVERAGE('Traverse West'!F22,'Traverse West'!F35,'Traverse West'!F48)</f>
        <v>795.33333333333337</v>
      </c>
      <c r="K13">
        <v>2</v>
      </c>
      <c r="L13" s="3">
        <f>AVERAGE('Traverse East'!B20,'Traverse East'!B35,'Traverse East'!B50)</f>
        <v>450</v>
      </c>
      <c r="M13" s="3">
        <f>AVERAGE('Traverse East'!C20,'Traverse East'!C35,'Traverse East'!C50)</f>
        <v>437.66666666666669</v>
      </c>
      <c r="N13" s="3">
        <f>AVERAGE('Traverse East'!D20,'Traverse East'!D35,'Traverse East'!D50)</f>
        <v>430.33333333333331</v>
      </c>
      <c r="O13" s="3">
        <f>AVERAGE('Traverse East'!E20,'Traverse East'!E35,'Traverse East'!E50)</f>
        <v>436</v>
      </c>
      <c r="P13" s="3">
        <f>AVERAGE('Traverse East'!F20,'Traverse East'!F35,'Traverse East'!F50)</f>
        <v>438</v>
      </c>
    </row>
    <row r="14" spans="1:19">
      <c r="A14">
        <v>1</v>
      </c>
      <c r="B14" s="3">
        <f>AVERAGE('Traverse West'!B23,'Traverse West'!B36,'Traverse West'!B49)</f>
        <v>314</v>
      </c>
      <c r="C14" s="3">
        <f>AVERAGE('Traverse West'!C23,'Traverse West'!C36,'Traverse West'!C49)</f>
        <v>315</v>
      </c>
      <c r="D14" s="3">
        <f>AVERAGE('Traverse West'!D23,'Traverse West'!D36,'Traverse West'!D49)</f>
        <v>443</v>
      </c>
      <c r="E14" s="3">
        <f>AVERAGE('Traverse West'!E23,'Traverse West'!E36,'Traverse West'!E49)</f>
        <v>622</v>
      </c>
      <c r="F14" s="3">
        <f>AVERAGE('Traverse West'!F23,'Traverse West'!F36,'Traverse West'!F49)</f>
        <v>740.33333333333337</v>
      </c>
      <c r="G14" t="s">
        <v>100</v>
      </c>
      <c r="H14" t="s">
        <v>102</v>
      </c>
      <c r="I14" t="s">
        <v>874</v>
      </c>
      <c r="K14">
        <v>1</v>
      </c>
      <c r="L14" s="3">
        <f>AVERAGE('Traverse East'!B21,'Traverse East'!B36,'Traverse East'!B51)</f>
        <v>317</v>
      </c>
      <c r="M14" s="3">
        <f>AVERAGE('Traverse East'!C21,'Traverse East'!C36,'Traverse East'!C51)</f>
        <v>373.33333333333331</v>
      </c>
      <c r="N14" s="3">
        <f>AVERAGE('Traverse East'!D21,'Traverse East'!D36,'Traverse East'!D51)</f>
        <v>377.33333333333331</v>
      </c>
      <c r="O14" s="3">
        <f>AVERAGE('Traverse East'!E21,'Traverse East'!E36,'Traverse East'!E51)</f>
        <v>384.33333333333331</v>
      </c>
      <c r="P14" s="3">
        <f>AVERAGE('Traverse East'!F21,'Traverse East'!F36,'Traverse East'!F51)</f>
        <v>416.66666666666669</v>
      </c>
      <c r="Q14" t="s">
        <v>100</v>
      </c>
      <c r="R14" t="s">
        <v>102</v>
      </c>
      <c r="S14" t="s">
        <v>874</v>
      </c>
    </row>
    <row r="15" spans="1:19">
      <c r="G15" s="3">
        <f>AVERAGE(B10:F14)</f>
        <v>602.78666666666675</v>
      </c>
      <c r="H15" s="3">
        <f>MAX(B10:F14)</f>
        <v>890.33333333333337</v>
      </c>
      <c r="I15" s="65">
        <f>H15/G15</f>
        <v>1.4770289101727532</v>
      </c>
      <c r="Q15" s="3">
        <f>AVERAGE(L10:P14)</f>
        <v>423.16</v>
      </c>
      <c r="R15" s="3">
        <f>MAX(L10:P14)</f>
        <v>461.33333333333331</v>
      </c>
      <c r="S15" s="65">
        <f>R15/Q15</f>
        <v>1.0902101647918832</v>
      </c>
    </row>
    <row r="16" spans="1:19">
      <c r="A16" t="s">
        <v>875</v>
      </c>
      <c r="G16" s="3"/>
      <c r="H16" s="3"/>
      <c r="I16" s="65"/>
      <c r="K16" t="s">
        <v>876</v>
      </c>
      <c r="Q16" s="3"/>
      <c r="R16" s="3"/>
      <c r="S16" s="65"/>
    </row>
    <row r="17" spans="1:26">
      <c r="B17">
        <v>544</v>
      </c>
      <c r="C17">
        <v>636</v>
      </c>
      <c r="D17">
        <v>774</v>
      </c>
      <c r="E17">
        <v>893</v>
      </c>
      <c r="F17">
        <v>884</v>
      </c>
      <c r="G17" s="3"/>
      <c r="H17" s="3"/>
      <c r="I17" s="65"/>
      <c r="L17">
        <v>426</v>
      </c>
      <c r="M17">
        <v>356</v>
      </c>
      <c r="N17">
        <v>416</v>
      </c>
      <c r="O17">
        <v>367</v>
      </c>
      <c r="P17">
        <v>465</v>
      </c>
      <c r="Q17" s="3"/>
      <c r="R17" s="3"/>
      <c r="S17" s="65"/>
    </row>
    <row r="18" spans="1:26">
      <c r="B18">
        <v>585</v>
      </c>
      <c r="C18">
        <v>651</v>
      </c>
      <c r="D18">
        <v>804</v>
      </c>
      <c r="E18">
        <v>900</v>
      </c>
      <c r="F18">
        <v>881</v>
      </c>
      <c r="G18" s="3"/>
      <c r="H18" s="3"/>
      <c r="I18" s="65"/>
      <c r="L18">
        <v>482</v>
      </c>
      <c r="M18">
        <v>458</v>
      </c>
      <c r="N18">
        <v>426</v>
      </c>
      <c r="O18">
        <v>391</v>
      </c>
      <c r="P18">
        <v>495</v>
      </c>
      <c r="Q18" s="3"/>
      <c r="R18" s="3"/>
      <c r="S18" s="65"/>
    </row>
    <row r="19" spans="1:26">
      <c r="B19">
        <v>595</v>
      </c>
      <c r="C19">
        <v>615</v>
      </c>
      <c r="D19">
        <v>700</v>
      </c>
      <c r="E19">
        <v>803</v>
      </c>
      <c r="F19">
        <v>858</v>
      </c>
      <c r="G19" s="3"/>
      <c r="H19" s="3"/>
      <c r="I19" s="65"/>
      <c r="L19">
        <v>481</v>
      </c>
      <c r="M19">
        <v>468</v>
      </c>
      <c r="N19">
        <v>447</v>
      </c>
      <c r="O19">
        <v>486</v>
      </c>
      <c r="P19">
        <v>506</v>
      </c>
      <c r="Q19" s="3"/>
      <c r="R19" s="3"/>
      <c r="S19" s="65"/>
    </row>
    <row r="20" spans="1:26">
      <c r="B20">
        <v>457</v>
      </c>
      <c r="C20">
        <v>535</v>
      </c>
      <c r="D20">
        <v>598</v>
      </c>
      <c r="E20">
        <v>761</v>
      </c>
      <c r="F20">
        <v>725</v>
      </c>
      <c r="G20" s="3"/>
      <c r="H20" s="3"/>
      <c r="I20" s="65"/>
      <c r="L20">
        <v>481</v>
      </c>
      <c r="M20">
        <v>497</v>
      </c>
      <c r="N20">
        <v>513</v>
      </c>
      <c r="O20">
        <v>511</v>
      </c>
      <c r="P20">
        <v>520</v>
      </c>
      <c r="Q20" s="3"/>
      <c r="R20" s="3"/>
      <c r="S20" s="65"/>
    </row>
    <row r="21" spans="1:26">
      <c r="B21">
        <v>303</v>
      </c>
      <c r="C21">
        <v>343</v>
      </c>
      <c r="D21">
        <v>460</v>
      </c>
      <c r="E21">
        <v>631</v>
      </c>
      <c r="F21">
        <v>638</v>
      </c>
      <c r="G21" t="s">
        <v>100</v>
      </c>
      <c r="H21" t="s">
        <v>102</v>
      </c>
      <c r="I21" t="s">
        <v>874</v>
      </c>
      <c r="L21">
        <v>345</v>
      </c>
      <c r="M21">
        <v>461</v>
      </c>
      <c r="N21">
        <v>465</v>
      </c>
      <c r="O21">
        <v>490</v>
      </c>
      <c r="P21">
        <v>387</v>
      </c>
      <c r="Q21" t="s">
        <v>100</v>
      </c>
      <c r="R21" t="s">
        <v>102</v>
      </c>
      <c r="S21" t="s">
        <v>874</v>
      </c>
    </row>
    <row r="22" spans="1:26">
      <c r="G22" s="3">
        <f>AVERAGE(B17:F21)</f>
        <v>662.96</v>
      </c>
      <c r="H22" s="3">
        <f>MAX(B17:F21)</f>
        <v>900</v>
      </c>
      <c r="I22" s="65">
        <f>H22/G22</f>
        <v>1.3575479666948231</v>
      </c>
      <c r="Q22" s="3">
        <f>AVERAGE(L17:P21)</f>
        <v>453.6</v>
      </c>
      <c r="R22" s="3">
        <f>MAX(L17:P21)</f>
        <v>520</v>
      </c>
      <c r="S22" s="65">
        <f>R22/Q22</f>
        <v>1.1463844797178131</v>
      </c>
    </row>
    <row r="23" spans="1:26">
      <c r="A23" t="s">
        <v>877</v>
      </c>
      <c r="G23" s="3"/>
      <c r="H23" s="3"/>
      <c r="I23" s="65"/>
      <c r="K23" t="s">
        <v>877</v>
      </c>
      <c r="Q23" s="3"/>
      <c r="R23" s="3"/>
      <c r="S23" s="65"/>
      <c r="U23" t="s">
        <v>878</v>
      </c>
    </row>
    <row r="24" spans="1:26">
      <c r="B24" s="65">
        <f>B17/B10-1</f>
        <v>0.28503937007874014</v>
      </c>
      <c r="C24" s="65">
        <f t="shared" ref="C24:F24" si="0">C17/C10-1</f>
        <v>0.32224532224532232</v>
      </c>
      <c r="D24" s="65">
        <f t="shared" si="0"/>
        <v>0.28785357737104822</v>
      </c>
      <c r="E24" s="65">
        <f t="shared" si="0"/>
        <v>0.16732026143790857</v>
      </c>
      <c r="F24" s="65">
        <f t="shared" si="0"/>
        <v>0.1280306252658443</v>
      </c>
      <c r="G24" s="3"/>
      <c r="H24" s="3"/>
      <c r="I24" s="65"/>
      <c r="L24" s="65">
        <f>L17/L10-1</f>
        <v>6.9456066945606798E-2</v>
      </c>
      <c r="M24" s="65">
        <f t="shared" ref="M24:P24" si="1">M17/M10-1</f>
        <v>-0.20059880239520955</v>
      </c>
      <c r="N24" s="65">
        <f t="shared" si="1"/>
        <v>-7.5555555555555598E-2</v>
      </c>
      <c r="O24" s="65">
        <f t="shared" si="1"/>
        <v>-0.17958271236959755</v>
      </c>
      <c r="P24" s="65">
        <f t="shared" si="1"/>
        <v>8.7295401402961659E-2</v>
      </c>
      <c r="Q24" s="3"/>
      <c r="R24" s="3"/>
      <c r="S24" s="65"/>
      <c r="U24" s="65">
        <f>ABS(L24)</f>
        <v>6.9456066945606798E-2</v>
      </c>
      <c r="V24" s="65">
        <f t="shared" ref="V24:V28" si="2">ABS(M24)</f>
        <v>0.20059880239520955</v>
      </c>
      <c r="W24" s="65">
        <f t="shared" ref="W24:W28" si="3">ABS(N24)</f>
        <v>7.5555555555555598E-2</v>
      </c>
      <c r="X24" s="65">
        <f t="shared" ref="X24:X28" si="4">ABS(O24)</f>
        <v>0.17958271236959755</v>
      </c>
      <c r="Y24" s="65">
        <f t="shared" ref="Y24:Y28" si="5">ABS(P24)</f>
        <v>8.7295401402961659E-2</v>
      </c>
      <c r="Z24" s="65"/>
    </row>
    <row r="25" spans="1:26">
      <c r="B25" s="65">
        <f t="shared" ref="B25:F25" si="6">B18/B11-1</f>
        <v>2.9325513196480912E-2</v>
      </c>
      <c r="C25" s="65">
        <f t="shared" si="6"/>
        <v>7.3666849917537025E-2</v>
      </c>
      <c r="D25" s="65">
        <f t="shared" si="6"/>
        <v>9.8360655737705027E-2</v>
      </c>
      <c r="E25" s="65">
        <f t="shared" si="6"/>
        <v>0.13780025284450059</v>
      </c>
      <c r="F25" s="65">
        <f t="shared" si="6"/>
        <v>-1.0482965181579984E-2</v>
      </c>
      <c r="G25" s="3"/>
      <c r="H25" s="3"/>
      <c r="I25" s="65"/>
      <c r="L25" s="65">
        <f t="shared" ref="L25:P25" si="7">L18/L11-1</f>
        <v>0.12880562060889922</v>
      </c>
      <c r="M25" s="65">
        <f t="shared" si="7"/>
        <v>4.3280182232346309E-2</v>
      </c>
      <c r="N25" s="65">
        <f t="shared" si="7"/>
        <v>2.8157683024939706E-2</v>
      </c>
      <c r="O25" s="65">
        <f t="shared" si="7"/>
        <v>-0.11337868480725621</v>
      </c>
      <c r="P25" s="65">
        <f t="shared" si="7"/>
        <v>7.8431372549019551E-2</v>
      </c>
      <c r="Q25" s="3"/>
      <c r="R25" s="3"/>
      <c r="S25" s="65"/>
      <c r="U25" s="65">
        <f t="shared" ref="U25:U28" si="8">ABS(L25)</f>
        <v>0.12880562060889922</v>
      </c>
      <c r="V25" s="65">
        <f t="shared" si="2"/>
        <v>4.3280182232346309E-2</v>
      </c>
      <c r="W25" s="65">
        <f t="shared" si="3"/>
        <v>2.8157683024939706E-2</v>
      </c>
      <c r="X25" s="65">
        <f t="shared" si="4"/>
        <v>0.11337868480725621</v>
      </c>
      <c r="Y25" s="65">
        <f t="shared" si="5"/>
        <v>7.8431372549019551E-2</v>
      </c>
      <c r="Z25" s="65"/>
    </row>
    <row r="26" spans="1:26">
      <c r="B26" s="65">
        <f t="shared" ref="B26:F26" si="9">B19/B12-1</f>
        <v>0.15384615384615397</v>
      </c>
      <c r="C26" s="65">
        <f t="shared" si="9"/>
        <v>0.15456821026282852</v>
      </c>
      <c r="D26" s="65">
        <f t="shared" si="9"/>
        <v>0.18176702307259429</v>
      </c>
      <c r="E26" s="65">
        <f t="shared" si="9"/>
        <v>7.7852348993288523E-2</v>
      </c>
      <c r="F26" s="65">
        <f t="shared" si="9"/>
        <v>2.4273776362912836E-2</v>
      </c>
      <c r="G26" s="3"/>
      <c r="H26" s="3"/>
      <c r="I26" s="65"/>
      <c r="L26" s="65">
        <f t="shared" ref="L26:P26" si="10">L19/L12-1</f>
        <v>6.1029411764705888E-2</v>
      </c>
      <c r="M26" s="65">
        <f t="shared" si="10"/>
        <v>0.10725552050473186</v>
      </c>
      <c r="N26" s="65">
        <f t="shared" si="10"/>
        <v>8.2324455205811109E-2</v>
      </c>
      <c r="O26" s="65">
        <f t="shared" si="10"/>
        <v>0.15990453460620535</v>
      </c>
      <c r="P26" s="65">
        <f t="shared" si="10"/>
        <v>9.6820809248554962E-2</v>
      </c>
      <c r="Q26" s="3"/>
      <c r="R26" s="3"/>
      <c r="S26" s="65"/>
      <c r="U26" s="65">
        <f t="shared" si="8"/>
        <v>6.1029411764705888E-2</v>
      </c>
      <c r="V26" s="65">
        <f t="shared" si="2"/>
        <v>0.10725552050473186</v>
      </c>
      <c r="W26" s="65">
        <f t="shared" si="3"/>
        <v>8.2324455205811109E-2</v>
      </c>
      <c r="X26" s="65">
        <f t="shared" si="4"/>
        <v>0.15990453460620535</v>
      </c>
      <c r="Y26" s="65">
        <f t="shared" si="5"/>
        <v>9.6820809248554962E-2</v>
      </c>
      <c r="Z26" s="65"/>
    </row>
    <row r="27" spans="1:26">
      <c r="B27" s="65">
        <f t="shared" ref="B27:F27" si="11">B20/B13-1</f>
        <v>0.17682403433476401</v>
      </c>
      <c r="C27" s="65">
        <f t="shared" si="11"/>
        <v>0.37062339880444073</v>
      </c>
      <c r="D27" s="65">
        <f t="shared" si="11"/>
        <v>0.24496877168632891</v>
      </c>
      <c r="E27" s="65">
        <f t="shared" si="11"/>
        <v>6.3344201210992157E-2</v>
      </c>
      <c r="F27" s="65">
        <f t="shared" si="11"/>
        <v>-8.8432523051131695E-2</v>
      </c>
      <c r="G27" s="3"/>
      <c r="H27" s="3"/>
      <c r="I27" s="65"/>
      <c r="L27" s="65">
        <f t="shared" ref="L27:P27" si="12">L20/L13-1</f>
        <v>6.8888888888888999E-2</v>
      </c>
      <c r="M27" s="65">
        <f t="shared" si="12"/>
        <v>0.1355674028941356</v>
      </c>
      <c r="N27" s="65">
        <f t="shared" si="12"/>
        <v>0.19209914794732774</v>
      </c>
      <c r="O27" s="65">
        <f t="shared" si="12"/>
        <v>0.17201834862385312</v>
      </c>
      <c r="P27" s="65">
        <f t="shared" si="12"/>
        <v>0.18721461187214605</v>
      </c>
      <c r="Q27" s="3"/>
      <c r="R27" s="3"/>
      <c r="S27" s="65"/>
      <c r="U27" s="65">
        <f t="shared" si="8"/>
        <v>6.8888888888888999E-2</v>
      </c>
      <c r="V27" s="65">
        <f t="shared" si="2"/>
        <v>0.1355674028941356</v>
      </c>
      <c r="W27" s="65">
        <f t="shared" si="3"/>
        <v>0.19209914794732774</v>
      </c>
      <c r="X27" s="65">
        <f t="shared" si="4"/>
        <v>0.17201834862385312</v>
      </c>
      <c r="Y27" s="65">
        <f t="shared" si="5"/>
        <v>0.18721461187214605</v>
      </c>
      <c r="Z27" s="65"/>
    </row>
    <row r="28" spans="1:26">
      <c r="B28" s="65">
        <f t="shared" ref="B28:F28" si="13">B21/B14-1</f>
        <v>-3.5031847133757954E-2</v>
      </c>
      <c r="C28" s="65">
        <f t="shared" si="13"/>
        <v>8.8888888888888795E-2</v>
      </c>
      <c r="D28" s="65">
        <f t="shared" si="13"/>
        <v>3.8374717832957206E-2</v>
      </c>
      <c r="E28" s="65">
        <f t="shared" si="13"/>
        <v>1.4469453376205754E-2</v>
      </c>
      <c r="F28" s="65">
        <f t="shared" si="13"/>
        <v>-0.13822602431337239</v>
      </c>
      <c r="G28" t="s">
        <v>100</v>
      </c>
      <c r="H28" t="s">
        <v>102</v>
      </c>
      <c r="I28" t="s">
        <v>874</v>
      </c>
      <c r="L28" s="65">
        <f t="shared" ref="L28:P28" si="14">L21/L14-1</f>
        <v>8.8328075709779075E-2</v>
      </c>
      <c r="M28" s="65">
        <f t="shared" si="14"/>
        <v>0.23482142857142874</v>
      </c>
      <c r="N28" s="65">
        <f t="shared" si="14"/>
        <v>0.2323321554770319</v>
      </c>
      <c r="O28" s="65">
        <f t="shared" si="14"/>
        <v>0.27493495229835219</v>
      </c>
      <c r="P28" s="65">
        <f t="shared" si="14"/>
        <v>-7.1200000000000041E-2</v>
      </c>
      <c r="Q28" t="s">
        <v>100</v>
      </c>
      <c r="R28" t="s">
        <v>102</v>
      </c>
      <c r="S28" t="s">
        <v>874</v>
      </c>
      <c r="U28" s="65">
        <f t="shared" si="8"/>
        <v>8.8328075709779075E-2</v>
      </c>
      <c r="V28" s="65">
        <f t="shared" si="2"/>
        <v>0.23482142857142874</v>
      </c>
      <c r="W28" s="65">
        <f t="shared" si="3"/>
        <v>0.2323321554770319</v>
      </c>
      <c r="X28" s="65">
        <f t="shared" si="4"/>
        <v>0.27493495229835219</v>
      </c>
      <c r="Y28" s="65">
        <f t="shared" si="5"/>
        <v>7.1200000000000041E-2</v>
      </c>
      <c r="Z28" s="65"/>
    </row>
    <row r="29" spans="1:26">
      <c r="G29" s="65">
        <f>AVERAGE(B24:F28)</f>
        <v>0.11389080188350402</v>
      </c>
      <c r="H29" s="65">
        <f>MAX(B24:F28)</f>
        <v>0.37062339880444073</v>
      </c>
      <c r="I29" s="65">
        <f>H29/G29</f>
        <v>3.2541995725303776</v>
      </c>
      <c r="Q29" s="65">
        <f>AVERAGE(L24:P28)</f>
        <v>7.5546012609964283E-2</v>
      </c>
      <c r="R29" s="65">
        <f>MAX(L24:P28)</f>
        <v>0.27493495229835219</v>
      </c>
      <c r="S29" s="65">
        <f>R29/Q29</f>
        <v>3.6393046144978025</v>
      </c>
      <c r="U29" s="65"/>
      <c r="V29" s="65"/>
      <c r="W29" s="65"/>
      <c r="X29" s="65"/>
      <c r="Y29" s="65"/>
      <c r="Z29" s="65">
        <f>AVERAGE(U24:Y28)</f>
        <v>0.1267712730201738</v>
      </c>
    </row>
    <row r="30" spans="1:26">
      <c r="A30" t="s">
        <v>879</v>
      </c>
      <c r="K30" t="s">
        <v>879</v>
      </c>
      <c r="U30" s="65"/>
      <c r="V30" s="65"/>
      <c r="W30" s="65"/>
      <c r="X30" s="65"/>
      <c r="Y30" s="65"/>
      <c r="Z30" s="65"/>
    </row>
    <row r="31" spans="1:26">
      <c r="B31" s="3">
        <f>AVERAGE(B10,B17)</f>
        <v>483.66666666666663</v>
      </c>
      <c r="C31" s="3">
        <f t="shared" ref="C31:F31" si="15">AVERAGE(C10,C17)</f>
        <v>558.5</v>
      </c>
      <c r="D31" s="3">
        <f t="shared" si="15"/>
        <v>687.5</v>
      </c>
      <c r="E31" s="3">
        <f t="shared" si="15"/>
        <v>829</v>
      </c>
      <c r="F31" s="3">
        <f t="shared" si="15"/>
        <v>833.83333333333326</v>
      </c>
      <c r="L31" s="3">
        <f>AVERAGE(L10,L17)</f>
        <v>412.16666666666663</v>
      </c>
      <c r="M31" s="3">
        <f t="shared" ref="M31:P31" si="16">AVERAGE(M10,M17)</f>
        <v>400.66666666666663</v>
      </c>
      <c r="N31" s="3">
        <f t="shared" si="16"/>
        <v>433</v>
      </c>
      <c r="O31" s="3">
        <f t="shared" si="16"/>
        <v>407.16666666666663</v>
      </c>
      <c r="P31" s="3">
        <f t="shared" si="16"/>
        <v>446.33333333333337</v>
      </c>
      <c r="U31" s="65"/>
      <c r="V31" s="65"/>
      <c r="W31" s="65"/>
      <c r="X31" s="65"/>
      <c r="Y31" s="65"/>
      <c r="Z31" s="65"/>
    </row>
    <row r="32" spans="1:26">
      <c r="B32" s="3">
        <f t="shared" ref="B32:F32" si="17">AVERAGE(B11,B18)</f>
        <v>576.66666666666674</v>
      </c>
      <c r="C32" s="3">
        <f t="shared" si="17"/>
        <v>628.66666666666674</v>
      </c>
      <c r="D32" s="3">
        <f t="shared" si="17"/>
        <v>768</v>
      </c>
      <c r="E32" s="3">
        <f t="shared" si="17"/>
        <v>845.5</v>
      </c>
      <c r="F32" s="3">
        <f t="shared" si="17"/>
        <v>885.66666666666674</v>
      </c>
      <c r="L32" s="3">
        <f t="shared" ref="L32:P32" si="18">AVERAGE(L11,L18)</f>
        <v>454.5</v>
      </c>
      <c r="M32" s="3">
        <f t="shared" si="18"/>
        <v>448.5</v>
      </c>
      <c r="N32" s="3">
        <f t="shared" si="18"/>
        <v>420.16666666666663</v>
      </c>
      <c r="O32" s="3">
        <f t="shared" si="18"/>
        <v>416</v>
      </c>
      <c r="P32" s="3">
        <f t="shared" si="18"/>
        <v>477</v>
      </c>
    </row>
    <row r="33" spans="1:16">
      <c r="B33" s="3">
        <f t="shared" ref="B33:F33" si="19">AVERAGE(B12,B19)</f>
        <v>555.33333333333326</v>
      </c>
      <c r="C33" s="3">
        <f t="shared" si="19"/>
        <v>573.83333333333326</v>
      </c>
      <c r="D33" s="3">
        <f t="shared" si="19"/>
        <v>646.16666666666674</v>
      </c>
      <c r="E33" s="3">
        <f t="shared" si="19"/>
        <v>774</v>
      </c>
      <c r="F33" s="3">
        <f t="shared" si="19"/>
        <v>847.83333333333326</v>
      </c>
      <c r="L33" s="3">
        <f t="shared" ref="L33:P33" si="20">AVERAGE(L12,L19)</f>
        <v>467.16666666666663</v>
      </c>
      <c r="M33" s="3">
        <f t="shared" si="20"/>
        <v>445.33333333333337</v>
      </c>
      <c r="N33" s="3">
        <f t="shared" si="20"/>
        <v>430</v>
      </c>
      <c r="O33" s="3">
        <f t="shared" si="20"/>
        <v>452.5</v>
      </c>
      <c r="P33" s="3">
        <f t="shared" si="20"/>
        <v>483.66666666666663</v>
      </c>
    </row>
    <row r="34" spans="1:16">
      <c r="B34" s="3">
        <f t="shared" ref="B34:F34" si="21">AVERAGE(B13,B20)</f>
        <v>422.66666666666663</v>
      </c>
      <c r="C34" s="3">
        <f t="shared" si="21"/>
        <v>462.66666666666663</v>
      </c>
      <c r="D34" s="3">
        <f t="shared" si="21"/>
        <v>539.16666666666663</v>
      </c>
      <c r="E34" s="3">
        <f t="shared" si="21"/>
        <v>738.33333333333326</v>
      </c>
      <c r="F34" s="3">
        <f t="shared" si="21"/>
        <v>760.16666666666674</v>
      </c>
      <c r="L34" s="3">
        <f t="shared" ref="L34:P34" si="22">AVERAGE(L13,L20)</f>
        <v>465.5</v>
      </c>
      <c r="M34" s="3">
        <f t="shared" si="22"/>
        <v>467.33333333333337</v>
      </c>
      <c r="N34" s="3">
        <f t="shared" si="22"/>
        <v>471.66666666666663</v>
      </c>
      <c r="O34" s="3">
        <f t="shared" si="22"/>
        <v>473.5</v>
      </c>
      <c r="P34" s="3">
        <f t="shared" si="22"/>
        <v>479</v>
      </c>
    </row>
    <row r="35" spans="1:16">
      <c r="B35" s="3">
        <f t="shared" ref="B35:F35" si="23">AVERAGE(B14,B21)</f>
        <v>308.5</v>
      </c>
      <c r="C35" s="3">
        <f t="shared" si="23"/>
        <v>329</v>
      </c>
      <c r="D35" s="3">
        <f t="shared" si="23"/>
        <v>451.5</v>
      </c>
      <c r="E35" s="3">
        <f t="shared" si="23"/>
        <v>626.5</v>
      </c>
      <c r="F35" s="3">
        <f t="shared" si="23"/>
        <v>689.16666666666674</v>
      </c>
      <c r="L35" s="3">
        <f t="shared" ref="L35:P35" si="24">AVERAGE(L14,L21)</f>
        <v>331</v>
      </c>
      <c r="M35" s="3">
        <f t="shared" si="24"/>
        <v>417.16666666666663</v>
      </c>
      <c r="N35" s="3">
        <f t="shared" si="24"/>
        <v>421.16666666666663</v>
      </c>
      <c r="O35" s="3">
        <f t="shared" si="24"/>
        <v>437.16666666666663</v>
      </c>
      <c r="P35" s="3">
        <f t="shared" si="24"/>
        <v>401.83333333333337</v>
      </c>
    </row>
    <row r="37" spans="1:16">
      <c r="A37" t="s">
        <v>880</v>
      </c>
      <c r="K37" t="s">
        <v>880</v>
      </c>
    </row>
    <row r="38" spans="1:16">
      <c r="B38">
        <f>CORREL(B24:F28,B31:F35)</f>
        <v>-0.22948047593023946</v>
      </c>
      <c r="L38">
        <f>CORREL(L24:P28,L31:P35)</f>
        <v>0.37517073854189709</v>
      </c>
    </row>
  </sheetData>
  <sortState xmlns:xlrd2="http://schemas.microsoft.com/office/spreadsheetml/2017/richdata2" ref="V17:AA21">
    <sortCondition descending="1" ref="AA17:AA21"/>
  </sortState>
  <conditionalFormatting sqref="B17:F21">
    <cfRule type="colorScale" priority="26">
      <colorScale>
        <cfvo type="min"/>
        <cfvo type="percentile" val="50"/>
        <cfvo type="max"/>
        <color rgb="FFF8696B"/>
        <color rgb="FFFFEB84"/>
        <color rgb="FF63BE7B"/>
      </colorScale>
    </cfRule>
  </conditionalFormatting>
  <conditionalFormatting sqref="B17:F21">
    <cfRule type="colorScale" priority="25">
      <colorScale>
        <cfvo type="min"/>
        <cfvo type="percentile" val="50"/>
        <cfvo type="max"/>
        <color rgb="FFF8696B"/>
        <color rgb="FFFFEB84"/>
        <color rgb="FF63BE7B"/>
      </colorScale>
    </cfRule>
  </conditionalFormatting>
  <conditionalFormatting sqref="B10:F14">
    <cfRule type="colorScale" priority="24">
      <colorScale>
        <cfvo type="min"/>
        <cfvo type="percentile" val="50"/>
        <cfvo type="max"/>
        <color rgb="FFF8696B"/>
        <color rgb="FFFFEB84"/>
        <color rgb="FF63BE7B"/>
      </colorScale>
    </cfRule>
  </conditionalFormatting>
  <conditionalFormatting sqref="B24:F28">
    <cfRule type="colorScale" priority="23">
      <colorScale>
        <cfvo type="min"/>
        <cfvo type="percentile" val="50"/>
        <cfvo type="max"/>
        <color rgb="FFF8696B"/>
        <color rgb="FFFFEB84"/>
        <color rgb="FF63BE7B"/>
      </colorScale>
    </cfRule>
  </conditionalFormatting>
  <conditionalFormatting sqref="B24:F28">
    <cfRule type="colorScale" priority="22">
      <colorScale>
        <cfvo type="min"/>
        <cfvo type="percentile" val="50"/>
        <cfvo type="max"/>
        <color rgb="FFF8696B"/>
        <color rgb="FFFFEB84"/>
        <color rgb="FF63BE7B"/>
      </colorScale>
    </cfRule>
  </conditionalFormatting>
  <conditionalFormatting sqref="B17:F21 G22">
    <cfRule type="colorScale" priority="21">
      <colorScale>
        <cfvo type="min"/>
        <cfvo type="percentile" val="50"/>
        <cfvo type="max"/>
        <color rgb="FFF8696B"/>
        <color rgb="FFFFEB84"/>
        <color rgb="FF63BE7B"/>
      </colorScale>
    </cfRule>
  </conditionalFormatting>
  <conditionalFormatting sqref="B10:F14">
    <cfRule type="colorScale" priority="20">
      <colorScale>
        <cfvo type="min"/>
        <cfvo type="percentile" val="50"/>
        <cfvo type="max"/>
        <color rgb="FFF8696B"/>
        <color rgb="FFFFEB84"/>
        <color rgb="FF63BE7B"/>
      </colorScale>
    </cfRule>
  </conditionalFormatting>
  <conditionalFormatting sqref="L10:P14">
    <cfRule type="colorScale" priority="19">
      <colorScale>
        <cfvo type="min"/>
        <cfvo type="percentile" val="50"/>
        <cfvo type="max"/>
        <color rgb="FFF8696B"/>
        <color rgb="FFFFEB84"/>
        <color rgb="FF63BE7B"/>
      </colorScale>
    </cfRule>
  </conditionalFormatting>
  <conditionalFormatting sqref="L17:P21">
    <cfRule type="colorScale" priority="18">
      <colorScale>
        <cfvo type="min"/>
        <cfvo type="percentile" val="50"/>
        <cfvo type="max"/>
        <color rgb="FFF8696B"/>
        <color rgb="FFFFEB84"/>
        <color rgb="FF63BE7B"/>
      </colorScale>
    </cfRule>
  </conditionalFormatting>
  <conditionalFormatting sqref="L24:P28">
    <cfRule type="colorScale" priority="17">
      <colorScale>
        <cfvo type="min"/>
        <cfvo type="percentile" val="50"/>
        <cfvo type="max"/>
        <color rgb="FFF8696B"/>
        <color rgb="FFFFEB84"/>
        <color rgb="FF63BE7B"/>
      </colorScale>
    </cfRule>
  </conditionalFormatting>
  <conditionalFormatting sqref="L24:P28">
    <cfRule type="colorScale" priority="16">
      <colorScale>
        <cfvo type="min"/>
        <cfvo type="percentile" val="50"/>
        <cfvo type="max"/>
        <color rgb="FFF8696B"/>
        <color rgb="FFFFEB84"/>
        <color rgb="FF63BE7B"/>
      </colorScale>
    </cfRule>
  </conditionalFormatting>
  <conditionalFormatting sqref="L24:Q27 L28:P29">
    <cfRule type="colorScale" priority="15">
      <colorScale>
        <cfvo type="min"/>
        <cfvo type="percentile" val="50"/>
        <cfvo type="max"/>
        <color rgb="FFF8696B"/>
        <color rgb="FFFFEB84"/>
        <color rgb="FF63BE7B"/>
      </colorScale>
    </cfRule>
  </conditionalFormatting>
  <conditionalFormatting sqref="V17:Z21">
    <cfRule type="colorScale" priority="14">
      <colorScale>
        <cfvo type="min"/>
        <cfvo type="percentile" val="50"/>
        <cfvo type="max"/>
        <color rgb="FFF8696B"/>
        <color rgb="FFFFEB84"/>
        <color rgb="FF63BE7B"/>
      </colorScale>
    </cfRule>
  </conditionalFormatting>
  <conditionalFormatting sqref="L24:P28">
    <cfRule type="colorScale" priority="4">
      <colorScale>
        <cfvo type="min"/>
        <cfvo type="percentile" val="50"/>
        <cfvo type="max"/>
        <color rgb="FFF8696B"/>
        <color rgb="FFFFEB84"/>
        <color rgb="FF63BE7B"/>
      </colorScale>
    </cfRule>
  </conditionalFormatting>
  <conditionalFormatting sqref="G15">
    <cfRule type="colorScale" priority="3">
      <colorScale>
        <cfvo type="min"/>
        <cfvo type="percentile" val="50"/>
        <cfvo type="max"/>
        <color rgb="FFF8696B"/>
        <color rgb="FFFFEB84"/>
        <color rgb="FF63BE7B"/>
      </colorScale>
    </cfRule>
  </conditionalFormatting>
  <conditionalFormatting sqref="Q15">
    <cfRule type="colorScale" priority="2">
      <colorScale>
        <cfvo type="min"/>
        <cfvo type="percentile" val="50"/>
        <cfvo type="max"/>
        <color rgb="FFF8696B"/>
        <color rgb="FFFFEB84"/>
        <color rgb="FF63BE7B"/>
      </colorScale>
    </cfRule>
  </conditionalFormatting>
  <conditionalFormatting sqref="U24:Y28">
    <cfRule type="colorScale" priority="1">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407935E43F4149BD27F899D609E5A1" ma:contentTypeVersion="16" ma:contentTypeDescription="Create a new document." ma:contentTypeScope="" ma:versionID="0d98a4a85856e805976a4336218c1f78">
  <xsd:schema xmlns:xsd="http://www.w3.org/2001/XMLSchema" xmlns:xs="http://www.w3.org/2001/XMLSchema" xmlns:p="http://schemas.microsoft.com/office/2006/metadata/properties" xmlns:ns3="e857edc0-520f-4533-8f0e-2471aabd30f4" xmlns:ns4="f3cc449e-d972-460a-b378-179ab45bd9c2" targetNamespace="http://schemas.microsoft.com/office/2006/metadata/properties" ma:root="true" ma:fieldsID="8948dc48abf2f2e76ab2f8f3f3c371d4" ns3:_="" ns4:_="">
    <xsd:import namespace="e857edc0-520f-4533-8f0e-2471aabd30f4"/>
    <xsd:import namespace="f3cc449e-d972-460a-b378-179ab45bd9c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element ref="ns3:MediaServiceObjectDetectorVersions" minOccurs="0"/>
                <xsd:element ref="ns3:MediaServiceSystemTag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57edc0-520f-4533-8f0e-2471aabd30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3cc449e-d972-460a-b378-179ab45bd9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857edc0-520f-4533-8f0e-2471aabd30f4" xsi:nil="true"/>
  </documentManagement>
</p:properties>
</file>

<file path=customXml/itemProps1.xml><?xml version="1.0" encoding="utf-8"?>
<ds:datastoreItem xmlns:ds="http://schemas.openxmlformats.org/officeDocument/2006/customXml" ds:itemID="{80F1F847-00A7-48EC-A42E-BADB5D0F1023}"/>
</file>

<file path=customXml/itemProps2.xml><?xml version="1.0" encoding="utf-8"?>
<ds:datastoreItem xmlns:ds="http://schemas.openxmlformats.org/officeDocument/2006/customXml" ds:itemID="{048790B8-6F26-4B22-944F-C59131FE6005}"/>
</file>

<file path=customXml/itemProps3.xml><?xml version="1.0" encoding="utf-8"?>
<ds:datastoreItem xmlns:ds="http://schemas.openxmlformats.org/officeDocument/2006/customXml" ds:itemID="{4543DE70-A8F7-4F23-A2D8-718A50EA3AD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Brownsberger, William (SEN)</dc:creator>
  <cp:keywords/>
  <dc:description/>
  <cp:lastModifiedBy/>
  <cp:revision/>
  <dcterms:created xsi:type="dcterms:W3CDTF">2024-02-03T16:11:39Z</dcterms:created>
  <dcterms:modified xsi:type="dcterms:W3CDTF">2024-02-08T04:02:43Z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0x010100FD407935E43F4149BD27F899D609E5A1</vt:lpwstr>
  </property>
</Properties>
</file>