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8_{732B2DAA-9551-47E8-9BA3-E4874719F177}" xr6:coauthVersionLast="47" xr6:coauthVersionMax="47" xr10:uidLastSave="{00000000-0000-0000-0000-000000000000}"/>
  <bookViews>
    <workbookView xWindow="38400" yWindow="0" windowWidth="38400" windowHeight="20910" tabRatio="996" xr2:uid="{00000000-000D-0000-FFFF-FFFF00000000}"/>
  </bookViews>
  <sheets>
    <sheet name="Table of contents" sheetId="35" r:id="rId1"/>
    <sheet name="RECS Consumption" sheetId="1" r:id="rId2"/>
    <sheet name="DEP Emissions" sheetId="13" r:id="rId3"/>
    <sheet name="EIA Emissions" sheetId="5" r:id="rId4"/>
    <sheet name="EIA Energy Use " sheetId="6" r:id="rId5"/>
    <sheet name="Double Count of SGF" sheetId="33" r:id="rId6"/>
    <sheet name="EoER 1987" sheetId="34" r:id="rId7"/>
    <sheet name="Energy Use Ratios" sheetId="2" r:id="rId8"/>
    <sheet name="Vintage vs Units" sheetId="21" r:id="rId9"/>
    <sheet name="Vintage vs Energy" sheetId="22" r:id="rId10"/>
    <sheet name="kbtu-sqft-year" sheetId="23" r:id="rId11"/>
    <sheet name="Logan Data" sheetId="8" r:id="rId12"/>
    <sheet name="Logan Pivot" sheetId="9" r:id="rId13"/>
  </sheets>
  <externalReferences>
    <externalReference r:id="rId14"/>
  </externalReferences>
  <calcPr calcId="191028"/>
  <pivotCaches>
    <pivotCache cacheId="0"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88" i="23" l="1"/>
  <c r="AX88" i="23"/>
  <c r="AV88" i="23"/>
  <c r="AL88" i="23"/>
  <c r="AM88" i="23"/>
  <c r="N22" i="9"/>
  <c r="M22" i="9"/>
  <c r="L22" i="9"/>
  <c r="AH73" i="23"/>
  <c r="AH74" i="23" s="1"/>
  <c r="AH75" i="23" s="1"/>
  <c r="AH76" i="23" s="1"/>
  <c r="AH77" i="23" s="1"/>
  <c r="AH78" i="23" s="1"/>
  <c r="AH79" i="23" s="1"/>
  <c r="AH80" i="23" s="1"/>
  <c r="AH81" i="23" s="1"/>
  <c r="Q91" i="2"/>
  <c r="L69" i="2"/>
  <c r="K69" i="2"/>
  <c r="J69" i="2"/>
  <c r="I69" i="2"/>
  <c r="L68" i="2"/>
  <c r="K68" i="2"/>
  <c r="J68" i="2"/>
  <c r="I68" i="2"/>
  <c r="L67" i="2"/>
  <c r="K67" i="2"/>
  <c r="J67" i="2"/>
  <c r="I67" i="2"/>
  <c r="L66" i="2"/>
  <c r="K66" i="2"/>
  <c r="J66" i="2"/>
  <c r="I66" i="2"/>
  <c r="L65" i="2"/>
  <c r="K65" i="2"/>
  <c r="J65" i="2"/>
  <c r="I65" i="2"/>
  <c r="L64" i="2"/>
  <c r="K64" i="2"/>
  <c r="J64" i="2"/>
  <c r="I64" i="2"/>
  <c r="L63" i="2"/>
  <c r="K63" i="2"/>
  <c r="J63" i="2"/>
  <c r="I63" i="2"/>
  <c r="L62" i="2"/>
  <c r="K62" i="2"/>
  <c r="J62" i="2"/>
  <c r="I62" i="2"/>
  <c r="L61" i="2"/>
  <c r="K61" i="2"/>
  <c r="J61" i="2"/>
  <c r="I61" i="2"/>
  <c r="L60" i="2"/>
  <c r="K60" i="2"/>
  <c r="J60" i="2"/>
  <c r="I60" i="2"/>
  <c r="L59" i="2"/>
  <c r="K59" i="2"/>
  <c r="J59" i="2"/>
  <c r="I59" i="2"/>
  <c r="L58" i="2"/>
  <c r="K58" i="2"/>
  <c r="J58" i="2"/>
  <c r="I58" i="2"/>
  <c r="L57" i="2"/>
  <c r="K57" i="2"/>
  <c r="J57" i="2"/>
  <c r="I57" i="2"/>
  <c r="L56" i="2"/>
  <c r="K56" i="2"/>
  <c r="J56" i="2"/>
  <c r="I56" i="2"/>
  <c r="L55" i="2"/>
  <c r="K55" i="2"/>
  <c r="J55" i="2"/>
  <c r="I55" i="2"/>
  <c r="L54" i="2"/>
  <c r="K54" i="2"/>
  <c r="J54" i="2"/>
  <c r="I54" i="2"/>
  <c r="L53" i="2"/>
  <c r="K53" i="2"/>
  <c r="J53" i="2"/>
  <c r="I53" i="2"/>
  <c r="L52" i="2"/>
  <c r="K52" i="2"/>
  <c r="J52" i="2"/>
  <c r="I52" i="2"/>
  <c r="L51" i="2"/>
  <c r="K51" i="2"/>
  <c r="J51" i="2"/>
  <c r="I51" i="2"/>
  <c r="L50" i="2"/>
  <c r="K50" i="2"/>
  <c r="J50" i="2"/>
  <c r="I50" i="2"/>
  <c r="L49" i="2"/>
  <c r="K49" i="2"/>
  <c r="J49" i="2"/>
  <c r="I49" i="2"/>
  <c r="L48" i="2"/>
  <c r="K48" i="2"/>
  <c r="J48" i="2"/>
  <c r="I48" i="2"/>
  <c r="L47" i="2"/>
  <c r="K47" i="2"/>
  <c r="J47" i="2"/>
  <c r="I47" i="2"/>
  <c r="L46" i="2"/>
  <c r="K46" i="2"/>
  <c r="J46" i="2"/>
  <c r="I46" i="2"/>
  <c r="L45" i="2"/>
  <c r="K45" i="2"/>
  <c r="J45" i="2"/>
  <c r="I45" i="2"/>
  <c r="L44" i="2"/>
  <c r="K44" i="2"/>
  <c r="J44" i="2"/>
  <c r="I44" i="2"/>
  <c r="L43" i="2"/>
  <c r="K43" i="2"/>
  <c r="J43" i="2"/>
  <c r="I43" i="2"/>
  <c r="L42" i="2"/>
  <c r="K42" i="2"/>
  <c r="J42" i="2"/>
  <c r="I42" i="2"/>
  <c r="L41" i="2"/>
  <c r="K41" i="2"/>
  <c r="J41" i="2"/>
  <c r="I41" i="2"/>
  <c r="L40" i="2"/>
  <c r="K40" i="2"/>
  <c r="J40" i="2"/>
  <c r="I40" i="2"/>
  <c r="L39" i="2"/>
  <c r="K39" i="2"/>
  <c r="J39" i="2"/>
  <c r="I39" i="2"/>
  <c r="L38" i="2"/>
  <c r="K38" i="2"/>
  <c r="J38" i="2"/>
  <c r="I38" i="2"/>
  <c r="L37" i="2"/>
  <c r="K37" i="2"/>
  <c r="J37" i="2"/>
  <c r="I37" i="2"/>
  <c r="L36" i="2"/>
  <c r="K36" i="2"/>
  <c r="J36" i="2"/>
  <c r="I36" i="2"/>
  <c r="L35" i="2"/>
  <c r="K35" i="2"/>
  <c r="J35" i="2"/>
  <c r="I35" i="2"/>
  <c r="L34" i="2"/>
  <c r="K34" i="2"/>
  <c r="J34" i="2"/>
  <c r="I34" i="2"/>
  <c r="L33" i="2"/>
  <c r="K33" i="2"/>
  <c r="J33" i="2"/>
  <c r="I33" i="2"/>
  <c r="L32" i="2"/>
  <c r="K32" i="2"/>
  <c r="J32" i="2"/>
  <c r="I32" i="2"/>
  <c r="L31" i="2"/>
  <c r="K31" i="2"/>
  <c r="J31" i="2"/>
  <c r="I31" i="2"/>
  <c r="L30" i="2"/>
  <c r="K30" i="2"/>
  <c r="J30" i="2"/>
  <c r="I30" i="2"/>
  <c r="L29" i="2"/>
  <c r="K29" i="2"/>
  <c r="J29" i="2"/>
  <c r="I29" i="2"/>
  <c r="L28" i="2"/>
  <c r="K28" i="2"/>
  <c r="J28" i="2"/>
  <c r="I28" i="2"/>
  <c r="L27" i="2"/>
  <c r="K27" i="2"/>
  <c r="J27" i="2"/>
  <c r="I27" i="2"/>
  <c r="L26" i="2"/>
  <c r="K26" i="2"/>
  <c r="J26" i="2"/>
  <c r="I26" i="2"/>
  <c r="L25" i="2"/>
  <c r="K25" i="2"/>
  <c r="J25" i="2"/>
  <c r="I25" i="2"/>
  <c r="L24" i="2"/>
  <c r="K24" i="2"/>
  <c r="J24" i="2"/>
  <c r="I24" i="2"/>
  <c r="L23" i="2"/>
  <c r="K23" i="2"/>
  <c r="J23" i="2"/>
  <c r="I23" i="2"/>
  <c r="L22" i="2"/>
  <c r="K22" i="2"/>
  <c r="J22" i="2"/>
  <c r="I22" i="2"/>
  <c r="L21" i="2"/>
  <c r="K21" i="2"/>
  <c r="J21" i="2"/>
  <c r="I21" i="2"/>
  <c r="L20" i="2"/>
  <c r="K20" i="2"/>
  <c r="J20" i="2"/>
  <c r="I20" i="2"/>
  <c r="L19" i="2"/>
  <c r="K19" i="2"/>
  <c r="J19" i="2"/>
  <c r="I19" i="2"/>
  <c r="L18" i="2"/>
  <c r="K18" i="2"/>
  <c r="J18" i="2"/>
  <c r="I18" i="2"/>
  <c r="L17" i="2"/>
  <c r="K17" i="2"/>
  <c r="J17" i="2"/>
  <c r="I17" i="2"/>
  <c r="L16" i="2"/>
  <c r="K16" i="2"/>
  <c r="J16" i="2"/>
  <c r="I16" i="2"/>
  <c r="L15" i="2"/>
  <c r="K15" i="2"/>
  <c r="J15" i="2"/>
  <c r="I15" i="2"/>
  <c r="L14" i="2"/>
  <c r="K14" i="2"/>
  <c r="J14" i="2"/>
  <c r="I14" i="2"/>
  <c r="L13" i="2"/>
  <c r="K13" i="2"/>
  <c r="J13" i="2"/>
  <c r="I13" i="2"/>
  <c r="L12" i="2"/>
  <c r="K12" i="2"/>
  <c r="J12" i="2"/>
  <c r="I12" i="2"/>
  <c r="L11" i="2"/>
  <c r="K11" i="2"/>
  <c r="J11" i="2"/>
  <c r="I11" i="2"/>
  <c r="L10" i="2"/>
  <c r="K10" i="2"/>
  <c r="J10" i="2"/>
  <c r="I10" i="2"/>
  <c r="L9" i="2"/>
  <c r="K9" i="2"/>
  <c r="J9" i="2"/>
  <c r="I9" i="2"/>
  <c r="I8" i="2"/>
  <c r="R31" i="2"/>
  <c r="Q31" i="2"/>
  <c r="R30" i="2"/>
  <c r="S30" i="2" s="1"/>
  <c r="Q30" i="2"/>
  <c r="R29" i="2"/>
  <c r="S29" i="2" s="1"/>
  <c r="Q29" i="2"/>
  <c r="R28" i="2"/>
  <c r="S28" i="2" s="1"/>
  <c r="Q28" i="2"/>
  <c r="R27" i="2"/>
  <c r="Q27" i="2"/>
  <c r="R26" i="2"/>
  <c r="Q26" i="2"/>
  <c r="R25" i="2"/>
  <c r="Q25" i="2"/>
  <c r="S25" i="2" l="1"/>
  <c r="S26" i="2"/>
  <c r="S27" i="2"/>
  <c r="S31" i="2"/>
  <c r="BN12" i="2" l="1"/>
  <c r="B50" i="33"/>
  <c r="B49" i="33"/>
  <c r="B48" i="33"/>
  <c r="B47" i="33"/>
  <c r="B46" i="33"/>
  <c r="B45" i="33"/>
  <c r="B44" i="33"/>
  <c r="B43" i="33"/>
  <c r="B42" i="33"/>
  <c r="B41" i="33"/>
  <c r="B40" i="33"/>
  <c r="B39" i="33"/>
  <c r="B38" i="33"/>
  <c r="B37" i="33"/>
  <c r="B36" i="33"/>
  <c r="R13" i="34"/>
  <c r="R12" i="34"/>
  <c r="R11" i="34"/>
  <c r="R10" i="34"/>
  <c r="R9" i="34"/>
  <c r="R8" i="34"/>
  <c r="R7" i="34"/>
  <c r="R6" i="34"/>
  <c r="X13" i="34"/>
  <c r="W13" i="34"/>
  <c r="V13" i="34"/>
  <c r="U13" i="34"/>
  <c r="T13" i="34"/>
  <c r="S13" i="34"/>
  <c r="X12" i="34"/>
  <c r="W12" i="34"/>
  <c r="V12" i="34"/>
  <c r="U12" i="34"/>
  <c r="T12" i="34"/>
  <c r="S12" i="34"/>
  <c r="X11" i="34"/>
  <c r="W11" i="34"/>
  <c r="V11" i="34"/>
  <c r="U11" i="34"/>
  <c r="T11" i="34"/>
  <c r="S11" i="34"/>
  <c r="X10" i="34"/>
  <c r="W10" i="34"/>
  <c r="V10" i="34"/>
  <c r="U10" i="34"/>
  <c r="T10" i="34"/>
  <c r="S10" i="34"/>
  <c r="X9" i="34"/>
  <c r="W9" i="34"/>
  <c r="V9" i="34"/>
  <c r="U9" i="34"/>
  <c r="T9" i="34"/>
  <c r="S9" i="34"/>
  <c r="X8" i="34"/>
  <c r="W8" i="34"/>
  <c r="V8" i="34"/>
  <c r="U8" i="34"/>
  <c r="T8" i="34"/>
  <c r="S8" i="34"/>
  <c r="X7" i="34"/>
  <c r="W7" i="34"/>
  <c r="V7" i="34"/>
  <c r="U7" i="34"/>
  <c r="T7" i="34"/>
  <c r="S7" i="34"/>
  <c r="X6" i="34"/>
  <c r="W6" i="34"/>
  <c r="V6" i="34"/>
  <c r="U6" i="34"/>
  <c r="T6" i="34"/>
  <c r="S6" i="34"/>
  <c r="X5" i="34"/>
  <c r="W5" i="34"/>
  <c r="V5" i="34"/>
  <c r="U5" i="34"/>
  <c r="T5" i="34"/>
  <c r="S5" i="34"/>
  <c r="R5" i="34"/>
  <c r="O13" i="34"/>
  <c r="N13" i="34"/>
  <c r="M13" i="34"/>
  <c r="L13" i="34"/>
  <c r="K13" i="34"/>
  <c r="J13" i="34"/>
  <c r="P13" i="34" s="1"/>
  <c r="O12" i="34"/>
  <c r="N12" i="34"/>
  <c r="M12" i="34"/>
  <c r="L12" i="34"/>
  <c r="K12" i="34"/>
  <c r="J12" i="34"/>
  <c r="P12" i="34" s="1"/>
  <c r="O11" i="34"/>
  <c r="N11" i="34"/>
  <c r="M11" i="34"/>
  <c r="L11" i="34"/>
  <c r="K11" i="34"/>
  <c r="J11" i="34"/>
  <c r="P11" i="34" s="1"/>
  <c r="O10" i="34"/>
  <c r="N10" i="34"/>
  <c r="P10" i="34" s="1"/>
  <c r="M10" i="34"/>
  <c r="L10" i="34"/>
  <c r="K10" i="34"/>
  <c r="J10" i="34"/>
  <c r="O9" i="34"/>
  <c r="N9" i="34"/>
  <c r="M9" i="34"/>
  <c r="L9" i="34"/>
  <c r="K9" i="34"/>
  <c r="J9" i="34"/>
  <c r="P9" i="34" s="1"/>
  <c r="O8" i="34"/>
  <c r="N8" i="34"/>
  <c r="M8" i="34"/>
  <c r="L8" i="34"/>
  <c r="K8" i="34"/>
  <c r="J8" i="34"/>
  <c r="P8" i="34" s="1"/>
  <c r="O7" i="34"/>
  <c r="N7" i="34"/>
  <c r="M7" i="34"/>
  <c r="L7" i="34"/>
  <c r="K7" i="34"/>
  <c r="P7" i="34" s="1"/>
  <c r="J7" i="34"/>
  <c r="O6" i="34"/>
  <c r="N6" i="34"/>
  <c r="M6" i="34"/>
  <c r="L6" i="34"/>
  <c r="K6" i="34"/>
  <c r="J6" i="34"/>
  <c r="P6" i="34" s="1"/>
  <c r="Q20" i="6"/>
  <c r="J5" i="34"/>
  <c r="M5" i="34"/>
  <c r="Q17" i="6"/>
  <c r="O5" i="34"/>
  <c r="N5" i="34"/>
  <c r="K5" i="34"/>
  <c r="L5" i="34"/>
  <c r="P5" i="34"/>
  <c r="H13" i="34"/>
  <c r="H12" i="34"/>
  <c r="H11" i="34"/>
  <c r="H10" i="34"/>
  <c r="H9" i="34"/>
  <c r="H8" i="34"/>
  <c r="H7" i="34"/>
  <c r="H6" i="34"/>
  <c r="H5" i="34"/>
  <c r="A6" i="34"/>
  <c r="A7" i="34" s="1"/>
  <c r="A8" i="34" s="1"/>
  <c r="A9" i="34" s="1"/>
  <c r="A10" i="34" s="1"/>
  <c r="A11" i="34" s="1"/>
  <c r="A12" i="34" s="1"/>
  <c r="A13" i="34" s="1"/>
  <c r="E50" i="33"/>
  <c r="E49" i="33"/>
  <c r="E48" i="33"/>
  <c r="E47" i="33"/>
  <c r="E46" i="33"/>
  <c r="E45" i="33"/>
  <c r="E44" i="33"/>
  <c r="E43" i="33"/>
  <c r="E42" i="33"/>
  <c r="E41" i="33"/>
  <c r="E40" i="33"/>
  <c r="E39" i="33"/>
  <c r="E38" i="33"/>
  <c r="E37" i="33"/>
  <c r="E36" i="33"/>
  <c r="A121" i="6"/>
  <c r="A122" i="6" s="1"/>
  <c r="A123" i="6" s="1"/>
  <c r="A124" i="6" s="1"/>
  <c r="A125" i="6" s="1"/>
  <c r="A126" i="6" s="1"/>
  <c r="A127" i="6" s="1"/>
  <c r="A128" i="6" s="1"/>
  <c r="A120" i="6"/>
  <c r="A107" i="6"/>
  <c r="A108" i="6" s="1"/>
  <c r="A109" i="6" s="1"/>
  <c r="A110" i="6" s="1"/>
  <c r="A111" i="6" s="1"/>
  <c r="A112" i="6" s="1"/>
  <c r="A113" i="6" s="1"/>
  <c r="A114" i="6" s="1"/>
  <c r="A115" i="6" s="1"/>
  <c r="A116" i="6" s="1"/>
  <c r="A117" i="6" s="1"/>
  <c r="A118" i="6" s="1"/>
  <c r="A119" i="6" s="1"/>
  <c r="G77" i="33"/>
  <c r="D77" i="33" s="1"/>
  <c r="G76" i="33"/>
  <c r="D76" i="33" s="1"/>
  <c r="G75" i="33"/>
  <c r="D75" i="33" s="1"/>
  <c r="G74" i="33"/>
  <c r="D74" i="33" s="1"/>
  <c r="G73" i="33"/>
  <c r="D73" i="33" s="1"/>
  <c r="G72" i="33"/>
  <c r="D72" i="33" s="1"/>
  <c r="G71" i="33"/>
  <c r="D71" i="33" s="1"/>
  <c r="G70" i="33"/>
  <c r="D70" i="33" s="1"/>
  <c r="G69" i="33"/>
  <c r="D69" i="33" s="1"/>
  <c r="G68" i="33"/>
  <c r="D68" i="33" s="1"/>
  <c r="G67" i="33"/>
  <c r="D67" i="33" s="1"/>
  <c r="G66" i="33"/>
  <c r="D66" i="33" s="1"/>
  <c r="G65" i="33"/>
  <c r="D65" i="33" s="1"/>
  <c r="G64" i="33"/>
  <c r="D64" i="33" s="1"/>
  <c r="G63" i="33"/>
  <c r="D63" i="33" s="1"/>
  <c r="G62" i="33"/>
  <c r="D62" i="33" s="1"/>
  <c r="G61" i="33"/>
  <c r="D61" i="33" s="1"/>
  <c r="G60" i="33"/>
  <c r="D60" i="33" s="1"/>
  <c r="G59" i="33"/>
  <c r="D59" i="33" s="1"/>
  <c r="G58" i="33"/>
  <c r="D58" i="33" s="1"/>
  <c r="G57" i="33"/>
  <c r="D57" i="33" s="1"/>
  <c r="G56" i="33"/>
  <c r="D56" i="33" s="1"/>
  <c r="G55" i="33"/>
  <c r="D55" i="33" s="1"/>
  <c r="G54" i="33"/>
  <c r="D54" i="33" s="1"/>
  <c r="G53" i="33"/>
  <c r="D53" i="33" s="1"/>
  <c r="G52" i="33"/>
  <c r="D52" i="33" s="1"/>
  <c r="G51" i="33"/>
  <c r="D51" i="33" s="1"/>
  <c r="G50" i="33"/>
  <c r="D50" i="33" s="1"/>
  <c r="C50" i="33" s="1"/>
  <c r="A50" i="33" s="1"/>
  <c r="S39" i="6" s="1"/>
  <c r="G49" i="33"/>
  <c r="D49" i="33" s="1"/>
  <c r="G48" i="33"/>
  <c r="D48" i="33" s="1"/>
  <c r="G47" i="33"/>
  <c r="D47" i="33" s="1"/>
  <c r="G46" i="33"/>
  <c r="D46" i="33" s="1"/>
  <c r="G45" i="33"/>
  <c r="D45" i="33" s="1"/>
  <c r="G44" i="33"/>
  <c r="D44" i="33" s="1"/>
  <c r="G43" i="33"/>
  <c r="D43" i="33" s="1"/>
  <c r="G42" i="33"/>
  <c r="D42" i="33" s="1"/>
  <c r="G41" i="33"/>
  <c r="D41" i="33" s="1"/>
  <c r="G40" i="33"/>
  <c r="D40" i="33" s="1"/>
  <c r="G39" i="33"/>
  <c r="D39" i="33" s="1"/>
  <c r="G38" i="33"/>
  <c r="D38" i="33" s="1"/>
  <c r="G37" i="33"/>
  <c r="D37" i="33" s="1"/>
  <c r="G36" i="33"/>
  <c r="D36" i="33" s="1"/>
  <c r="G35" i="33"/>
  <c r="D35" i="33" s="1"/>
  <c r="G34" i="33"/>
  <c r="D34" i="33" s="1"/>
  <c r="G33" i="33"/>
  <c r="D33" i="33" s="1"/>
  <c r="G32" i="33"/>
  <c r="D32" i="33" s="1"/>
  <c r="G31" i="33"/>
  <c r="D31" i="33" s="1"/>
  <c r="G30" i="33"/>
  <c r="D30" i="33" s="1"/>
  <c r="G29" i="33"/>
  <c r="D29" i="33" s="1"/>
  <c r="G28" i="33"/>
  <c r="D28" i="33" s="1"/>
  <c r="G27" i="33"/>
  <c r="D27" i="33" s="1"/>
  <c r="G26" i="33"/>
  <c r="D26" i="33" s="1"/>
  <c r="G25" i="33"/>
  <c r="D25" i="33" s="1"/>
  <c r="G24" i="33"/>
  <c r="D24" i="33" s="1"/>
  <c r="G23" i="33"/>
  <c r="D23" i="33" s="1"/>
  <c r="G22" i="33"/>
  <c r="D22" i="33" s="1"/>
  <c r="G21" i="33"/>
  <c r="D21" i="33" s="1"/>
  <c r="G20" i="33"/>
  <c r="D20" i="33" s="1"/>
  <c r="G19" i="33"/>
  <c r="D19" i="33" s="1"/>
  <c r="G18" i="33"/>
  <c r="D18" i="33" s="1"/>
  <c r="G17" i="33"/>
  <c r="D17" i="33" s="1"/>
  <c r="G16" i="33"/>
  <c r="D16" i="33" s="1"/>
  <c r="A87" i="6"/>
  <c r="A88" i="6" s="1"/>
  <c r="A89" i="6" s="1"/>
  <c r="A90" i="6" s="1"/>
  <c r="A91" i="6" s="1"/>
  <c r="A92" i="6" s="1"/>
  <c r="A93" i="6" s="1"/>
  <c r="A94" i="6" s="1"/>
  <c r="A95" i="6" s="1"/>
  <c r="A96" i="6" s="1"/>
  <c r="A97" i="6" s="1"/>
  <c r="A98" i="6" s="1"/>
  <c r="A99" i="6" s="1"/>
  <c r="A100" i="6" s="1"/>
  <c r="A101" i="6" s="1"/>
  <c r="A102" i="6" s="1"/>
  <c r="A103" i="6" s="1"/>
  <c r="A104" i="6" s="1"/>
  <c r="A105" i="6" s="1"/>
  <c r="A106" i="6" s="1"/>
  <c r="A86" i="6"/>
  <c r="C37" i="33" l="1"/>
  <c r="A37" i="33" s="1"/>
  <c r="S26" i="6" s="1"/>
  <c r="C38" i="33"/>
  <c r="A38" i="33" s="1"/>
  <c r="S27" i="6" s="1"/>
  <c r="C41" i="33"/>
  <c r="A41" i="33" s="1"/>
  <c r="S30" i="6" s="1"/>
  <c r="C47" i="33"/>
  <c r="A47" i="33" s="1"/>
  <c r="S36" i="6" s="1"/>
  <c r="C46" i="33"/>
  <c r="A46" i="33" s="1"/>
  <c r="S35" i="6" s="1"/>
  <c r="C48" i="33"/>
  <c r="A48" i="33" s="1"/>
  <c r="S37" i="6" s="1"/>
  <c r="C39" i="33"/>
  <c r="A39" i="33" s="1"/>
  <c r="S28" i="6" s="1"/>
  <c r="C40" i="33"/>
  <c r="A40" i="33" s="1"/>
  <c r="S29" i="6" s="1"/>
  <c r="C45" i="33"/>
  <c r="A45" i="33" s="1"/>
  <c r="S34" i="6" s="1"/>
  <c r="C49" i="33"/>
  <c r="A49" i="33" s="1"/>
  <c r="S38" i="6" s="1"/>
  <c r="C42" i="33"/>
  <c r="A42" i="33" s="1"/>
  <c r="S31" i="6" s="1"/>
  <c r="C43" i="33"/>
  <c r="A43" i="33" s="1"/>
  <c r="S32" i="6" s="1"/>
  <c r="C44" i="33"/>
  <c r="A44" i="33" s="1"/>
  <c r="S33" i="6" s="1"/>
  <c r="C36" i="33"/>
  <c r="A36" i="33" s="1"/>
  <c r="S25" i="6" s="1"/>
  <c r="V27" i="6"/>
  <c r="W27" i="6"/>
  <c r="U93" i="23"/>
  <c r="U92" i="23"/>
  <c r="U90" i="23"/>
  <c r="AH61" i="23"/>
  <c r="AH62" i="23" s="1"/>
  <c r="AH63" i="23" s="1"/>
  <c r="AH64" i="23" s="1"/>
  <c r="AH65" i="23" s="1"/>
  <c r="AH66" i="23" s="1"/>
  <c r="AH67" i="23" s="1"/>
  <c r="AH68" i="23" s="1"/>
  <c r="AH69" i="23" s="1"/>
  <c r="AH70" i="23" s="1"/>
  <c r="AH71" i="23" s="1"/>
  <c r="AH72" i="23" s="1"/>
  <c r="AA81" i="23" l="1"/>
  <c r="Z81" i="23"/>
  <c r="Y81" i="23"/>
  <c r="X81" i="23"/>
  <c r="W81" i="23"/>
  <c r="V81" i="23"/>
  <c r="U81" i="23"/>
  <c r="T81" i="23"/>
  <c r="AA80" i="23"/>
  <c r="Z80" i="23"/>
  <c r="Y80" i="23"/>
  <c r="X80" i="23"/>
  <c r="W80" i="23"/>
  <c r="V80" i="23"/>
  <c r="U80" i="23"/>
  <c r="T80" i="23"/>
  <c r="AA79" i="23"/>
  <c r="Z79" i="23"/>
  <c r="Y79" i="23"/>
  <c r="X79" i="23"/>
  <c r="W79" i="23"/>
  <c r="V79" i="23"/>
  <c r="U79" i="23"/>
  <c r="T79" i="23"/>
  <c r="AA78" i="23"/>
  <c r="Z78" i="23"/>
  <c r="Y78" i="23"/>
  <c r="X78" i="23"/>
  <c r="W78" i="23"/>
  <c r="V78" i="23"/>
  <c r="U78" i="23"/>
  <c r="T78" i="23"/>
  <c r="AA77" i="23"/>
  <c r="Z77" i="23"/>
  <c r="Y77" i="23"/>
  <c r="X77" i="23"/>
  <c r="W77" i="23"/>
  <c r="V77" i="23"/>
  <c r="U77" i="23"/>
  <c r="T77" i="23"/>
  <c r="AA76" i="23"/>
  <c r="Z76" i="23"/>
  <c r="Y76" i="23"/>
  <c r="X76" i="23"/>
  <c r="W76" i="23"/>
  <c r="V76" i="23"/>
  <c r="U76" i="23"/>
  <c r="T76" i="23"/>
  <c r="AA75" i="23"/>
  <c r="Z75" i="23"/>
  <c r="Y75" i="23"/>
  <c r="X75" i="23"/>
  <c r="W75" i="23"/>
  <c r="V75" i="23"/>
  <c r="U75" i="23"/>
  <c r="T75" i="23"/>
  <c r="AA74" i="23"/>
  <c r="Z74" i="23"/>
  <c r="Y74" i="23"/>
  <c r="X74" i="23"/>
  <c r="W74" i="23"/>
  <c r="V74" i="23"/>
  <c r="U74" i="23"/>
  <c r="T74" i="23"/>
  <c r="AA73" i="23"/>
  <c r="Z73" i="23"/>
  <c r="Y73" i="23"/>
  <c r="X73" i="23"/>
  <c r="W73" i="23"/>
  <c r="V73" i="23"/>
  <c r="U73" i="23"/>
  <c r="T73" i="23"/>
  <c r="AA72" i="23"/>
  <c r="Z72" i="23"/>
  <c r="Y72" i="23"/>
  <c r="X72" i="23"/>
  <c r="W72" i="23"/>
  <c r="V72" i="23"/>
  <c r="U72" i="23"/>
  <c r="T72" i="23"/>
  <c r="AA71" i="23"/>
  <c r="Z71" i="23"/>
  <c r="Y71" i="23"/>
  <c r="X71" i="23"/>
  <c r="W71" i="23"/>
  <c r="V71" i="23"/>
  <c r="U71" i="23"/>
  <c r="T71" i="23"/>
  <c r="AA70" i="23"/>
  <c r="Z70" i="23"/>
  <c r="Y70" i="23"/>
  <c r="X70" i="23"/>
  <c r="W70" i="23"/>
  <c r="V70" i="23"/>
  <c r="U70" i="23"/>
  <c r="T70" i="23"/>
  <c r="AA69" i="23"/>
  <c r="Z69" i="23"/>
  <c r="Y69" i="23"/>
  <c r="X69" i="23"/>
  <c r="W69" i="23"/>
  <c r="V69" i="23"/>
  <c r="U69" i="23"/>
  <c r="T69" i="23"/>
  <c r="AA68" i="23"/>
  <c r="Z68" i="23"/>
  <c r="Y68" i="23"/>
  <c r="X68" i="23"/>
  <c r="W68" i="23"/>
  <c r="V68" i="23"/>
  <c r="U68" i="23"/>
  <c r="T68" i="23"/>
  <c r="AA67" i="23"/>
  <c r="Z67" i="23"/>
  <c r="Y67" i="23"/>
  <c r="X67" i="23"/>
  <c r="W67" i="23"/>
  <c r="V67" i="23"/>
  <c r="U67" i="23"/>
  <c r="T67" i="23"/>
  <c r="AA66" i="23"/>
  <c r="Z66" i="23"/>
  <c r="Y66" i="23"/>
  <c r="X66" i="23"/>
  <c r="W66" i="23"/>
  <c r="V66" i="23"/>
  <c r="U66" i="23"/>
  <c r="T66" i="23"/>
  <c r="AA65" i="23"/>
  <c r="Z65" i="23"/>
  <c r="Y65" i="23"/>
  <c r="X65" i="23"/>
  <c r="W65" i="23"/>
  <c r="V65" i="23"/>
  <c r="U65" i="23"/>
  <c r="T65" i="23"/>
  <c r="AA64" i="23"/>
  <c r="Z64" i="23"/>
  <c r="Y64" i="23"/>
  <c r="X64" i="23"/>
  <c r="W64" i="23"/>
  <c r="V64" i="23"/>
  <c r="U64" i="23"/>
  <c r="T64" i="23"/>
  <c r="AA63" i="23"/>
  <c r="Z63" i="23"/>
  <c r="Y63" i="23"/>
  <c r="X63" i="23"/>
  <c r="W63" i="23"/>
  <c r="V63" i="23"/>
  <c r="U63" i="23"/>
  <c r="T63" i="23"/>
  <c r="AA62" i="23"/>
  <c r="Z62" i="23"/>
  <c r="Y62" i="23"/>
  <c r="X62" i="23"/>
  <c r="W62" i="23"/>
  <c r="V62" i="23"/>
  <c r="U62" i="23"/>
  <c r="T62" i="23"/>
  <c r="AA61" i="23"/>
  <c r="Z61" i="23"/>
  <c r="Y61" i="23"/>
  <c r="X61" i="23"/>
  <c r="W61" i="23"/>
  <c r="V61" i="23"/>
  <c r="U61" i="23"/>
  <c r="T61" i="23"/>
  <c r="AA60" i="23"/>
  <c r="Z60" i="23"/>
  <c r="Y60" i="23"/>
  <c r="X60" i="23"/>
  <c r="W60" i="23"/>
  <c r="V60" i="23"/>
  <c r="U60" i="23"/>
  <c r="T60" i="23"/>
  <c r="AA59" i="23"/>
  <c r="Z59" i="23"/>
  <c r="Y59" i="23"/>
  <c r="X59" i="23"/>
  <c r="W59" i="23"/>
  <c r="V59" i="23"/>
  <c r="U59" i="23"/>
  <c r="T59" i="23"/>
  <c r="AA58" i="23"/>
  <c r="Z58" i="23"/>
  <c r="Y58" i="23"/>
  <c r="X58" i="23"/>
  <c r="W58" i="23"/>
  <c r="V58" i="23"/>
  <c r="U58" i="23"/>
  <c r="T58" i="23"/>
  <c r="AA57" i="23"/>
  <c r="Z57" i="23"/>
  <c r="Y57" i="23"/>
  <c r="X57" i="23"/>
  <c r="W57" i="23"/>
  <c r="V57" i="23"/>
  <c r="U57" i="23"/>
  <c r="T57" i="23"/>
  <c r="AA56" i="23"/>
  <c r="Z56" i="23"/>
  <c r="Y56" i="23"/>
  <c r="X56" i="23"/>
  <c r="W56" i="23"/>
  <c r="V56" i="23"/>
  <c r="U56" i="23"/>
  <c r="T56" i="23"/>
  <c r="AA55" i="23"/>
  <c r="Z55" i="23"/>
  <c r="Y55" i="23"/>
  <c r="X55" i="23"/>
  <c r="W55" i="23"/>
  <c r="V55" i="23"/>
  <c r="U55" i="23"/>
  <c r="T55" i="23"/>
  <c r="AA54" i="23"/>
  <c r="Z54" i="23"/>
  <c r="Y54" i="23"/>
  <c r="X54" i="23"/>
  <c r="W54" i="23"/>
  <c r="V54" i="23"/>
  <c r="U54" i="23"/>
  <c r="T54" i="23"/>
  <c r="AA53" i="23"/>
  <c r="Z53" i="23"/>
  <c r="Y53" i="23"/>
  <c r="X53" i="23"/>
  <c r="W53" i="23"/>
  <c r="V53" i="23"/>
  <c r="U53" i="23"/>
  <c r="T53" i="23"/>
  <c r="AA52" i="23"/>
  <c r="Z52" i="23"/>
  <c r="Y52" i="23"/>
  <c r="X52" i="23"/>
  <c r="W52" i="23"/>
  <c r="V52" i="23"/>
  <c r="U52" i="23"/>
  <c r="T52" i="23"/>
  <c r="AA51" i="23"/>
  <c r="Z51" i="23"/>
  <c r="Y51" i="23"/>
  <c r="X51" i="23"/>
  <c r="W51" i="23"/>
  <c r="V51" i="23"/>
  <c r="U51" i="23"/>
  <c r="T51" i="23"/>
  <c r="AA50" i="23"/>
  <c r="Z50" i="23"/>
  <c r="Y50" i="23"/>
  <c r="X50" i="23"/>
  <c r="W50" i="23"/>
  <c r="V50" i="23"/>
  <c r="U50" i="23"/>
  <c r="T50" i="23"/>
  <c r="AA49" i="23"/>
  <c r="Z49" i="23"/>
  <c r="Y49" i="23"/>
  <c r="X49" i="23"/>
  <c r="W49" i="23"/>
  <c r="V49" i="23"/>
  <c r="U49" i="23"/>
  <c r="T49" i="23"/>
  <c r="AA48" i="23"/>
  <c r="Z48" i="23"/>
  <c r="Y48" i="23"/>
  <c r="X48" i="23"/>
  <c r="W48" i="23"/>
  <c r="V48" i="23"/>
  <c r="U48" i="23"/>
  <c r="T48" i="23"/>
  <c r="AA47" i="23"/>
  <c r="Z47" i="23"/>
  <c r="Y47" i="23"/>
  <c r="X47" i="23"/>
  <c r="W47" i="23"/>
  <c r="V47" i="23"/>
  <c r="U47" i="23"/>
  <c r="T47" i="23"/>
  <c r="AA46" i="23"/>
  <c r="Z46" i="23"/>
  <c r="Y46" i="23"/>
  <c r="X46" i="23"/>
  <c r="W46" i="23"/>
  <c r="V46" i="23"/>
  <c r="U46" i="23"/>
  <c r="T46" i="23"/>
  <c r="AA45" i="23"/>
  <c r="Z45" i="23"/>
  <c r="Y45" i="23"/>
  <c r="X45" i="23"/>
  <c r="W45" i="23"/>
  <c r="V45" i="23"/>
  <c r="U45" i="23"/>
  <c r="T45" i="23"/>
  <c r="AA44" i="23"/>
  <c r="Z44" i="23"/>
  <c r="Y44" i="23"/>
  <c r="X44" i="23"/>
  <c r="W44" i="23"/>
  <c r="V44" i="23"/>
  <c r="U44" i="23"/>
  <c r="T44" i="23"/>
  <c r="AA43" i="23"/>
  <c r="Z43" i="23"/>
  <c r="Y43" i="23"/>
  <c r="X43" i="23"/>
  <c r="W43" i="23"/>
  <c r="V43" i="23"/>
  <c r="U43" i="23"/>
  <c r="T43" i="23"/>
  <c r="AA42" i="23"/>
  <c r="Z42" i="23"/>
  <c r="Y42" i="23"/>
  <c r="X42" i="23"/>
  <c r="W42" i="23"/>
  <c r="V42" i="23"/>
  <c r="U42" i="23"/>
  <c r="T42" i="23"/>
  <c r="AA41" i="23"/>
  <c r="Z41" i="23"/>
  <c r="Y41" i="23"/>
  <c r="X41" i="23"/>
  <c r="W41" i="23"/>
  <c r="V41" i="23"/>
  <c r="U41" i="23"/>
  <c r="T41" i="23"/>
  <c r="AA40" i="23"/>
  <c r="Z40" i="23"/>
  <c r="Y40" i="23"/>
  <c r="X40" i="23"/>
  <c r="W40" i="23"/>
  <c r="V40" i="23"/>
  <c r="U40" i="23"/>
  <c r="T40" i="23"/>
  <c r="AA39" i="23"/>
  <c r="Z39" i="23"/>
  <c r="Y39" i="23"/>
  <c r="X39" i="23"/>
  <c r="W39" i="23"/>
  <c r="V39" i="23"/>
  <c r="U39" i="23"/>
  <c r="T39" i="23"/>
  <c r="AA38" i="23"/>
  <c r="Z38" i="23"/>
  <c r="Y38" i="23"/>
  <c r="X38" i="23"/>
  <c r="W38" i="23"/>
  <c r="V38" i="23"/>
  <c r="U38" i="23"/>
  <c r="T38" i="23"/>
  <c r="AA37" i="23"/>
  <c r="Z37" i="23"/>
  <c r="Y37" i="23"/>
  <c r="X37" i="23"/>
  <c r="W37" i="23"/>
  <c r="V37" i="23"/>
  <c r="U37" i="23"/>
  <c r="T37" i="23"/>
  <c r="AA36" i="23"/>
  <c r="Z36" i="23"/>
  <c r="Y36" i="23"/>
  <c r="X36" i="23"/>
  <c r="W36" i="23"/>
  <c r="V36" i="23"/>
  <c r="U36" i="23"/>
  <c r="T36" i="23"/>
  <c r="AA35" i="23"/>
  <c r="Z35" i="23"/>
  <c r="Y35" i="23"/>
  <c r="X35" i="23"/>
  <c r="W35" i="23"/>
  <c r="V35" i="23"/>
  <c r="U35" i="23"/>
  <c r="T35" i="23"/>
  <c r="AA34" i="23"/>
  <c r="Z34" i="23"/>
  <c r="Y34" i="23"/>
  <c r="X34" i="23"/>
  <c r="W34" i="23"/>
  <c r="V34" i="23"/>
  <c r="U34" i="23"/>
  <c r="T34" i="23"/>
  <c r="AA33" i="23"/>
  <c r="Z33" i="23"/>
  <c r="Y33" i="23"/>
  <c r="X33" i="23"/>
  <c r="W33" i="23"/>
  <c r="V33" i="23"/>
  <c r="U33" i="23"/>
  <c r="T33" i="23"/>
  <c r="AA32" i="23"/>
  <c r="Z32" i="23"/>
  <c r="Y32" i="23"/>
  <c r="X32" i="23"/>
  <c r="W32" i="23"/>
  <c r="V32" i="23"/>
  <c r="U32" i="23"/>
  <c r="T32" i="23"/>
  <c r="AA31" i="23"/>
  <c r="Z31" i="23"/>
  <c r="Y31" i="23"/>
  <c r="X31" i="23"/>
  <c r="W31" i="23"/>
  <c r="V31" i="23"/>
  <c r="U31" i="23"/>
  <c r="T31" i="23"/>
  <c r="AA30" i="23"/>
  <c r="Z30" i="23"/>
  <c r="Y30" i="23"/>
  <c r="X30" i="23"/>
  <c r="W30" i="23"/>
  <c r="V30" i="23"/>
  <c r="U30" i="23"/>
  <c r="T30" i="23"/>
  <c r="AA29" i="23"/>
  <c r="Z29" i="23"/>
  <c r="Y29" i="23"/>
  <c r="X29" i="23"/>
  <c r="W29" i="23"/>
  <c r="V29" i="23"/>
  <c r="U29" i="23"/>
  <c r="T29" i="23"/>
  <c r="AA28" i="23"/>
  <c r="Z28" i="23"/>
  <c r="Y28" i="23"/>
  <c r="X28" i="23"/>
  <c r="W28" i="23"/>
  <c r="V28" i="23"/>
  <c r="U28" i="23"/>
  <c r="T28" i="23"/>
  <c r="AA27" i="23"/>
  <c r="Z27" i="23"/>
  <c r="Y27" i="23"/>
  <c r="X27" i="23"/>
  <c r="W27" i="23"/>
  <c r="V27" i="23"/>
  <c r="U27" i="23"/>
  <c r="T27" i="23"/>
  <c r="AA26" i="23"/>
  <c r="Z26" i="23"/>
  <c r="Y26" i="23"/>
  <c r="X26" i="23"/>
  <c r="W26" i="23"/>
  <c r="V26" i="23"/>
  <c r="U26" i="23"/>
  <c r="T26" i="23"/>
  <c r="AA25" i="23"/>
  <c r="Z25" i="23"/>
  <c r="Y25" i="23"/>
  <c r="X25" i="23"/>
  <c r="W25" i="23"/>
  <c r="V25" i="23"/>
  <c r="U25" i="23"/>
  <c r="T25" i="23"/>
  <c r="AA24" i="23"/>
  <c r="Z24" i="23"/>
  <c r="Y24" i="23"/>
  <c r="X24" i="23"/>
  <c r="W24" i="23"/>
  <c r="V24" i="23"/>
  <c r="U24" i="23"/>
  <c r="T24" i="23"/>
  <c r="AA23" i="23"/>
  <c r="Z23" i="23"/>
  <c r="Y23" i="23"/>
  <c r="X23" i="23"/>
  <c r="W23" i="23"/>
  <c r="V23" i="23"/>
  <c r="U23" i="23"/>
  <c r="T23" i="23"/>
  <c r="AA22" i="23"/>
  <c r="Z22" i="23"/>
  <c r="Y22" i="23"/>
  <c r="X22" i="23"/>
  <c r="W22" i="23"/>
  <c r="V22" i="23"/>
  <c r="U22" i="23"/>
  <c r="T22" i="23"/>
  <c r="AA21" i="23"/>
  <c r="Z21" i="23"/>
  <c r="Y21" i="23"/>
  <c r="X21" i="23"/>
  <c r="W21" i="23"/>
  <c r="V21" i="23"/>
  <c r="U21" i="23"/>
  <c r="T21" i="23"/>
  <c r="AA20" i="23"/>
  <c r="Z20" i="23"/>
  <c r="Y20" i="23"/>
  <c r="X20" i="23"/>
  <c r="W20" i="23"/>
  <c r="V20" i="23"/>
  <c r="U20" i="23"/>
  <c r="T20" i="23"/>
  <c r="AA19" i="23"/>
  <c r="Z19" i="23"/>
  <c r="Y19" i="23"/>
  <c r="X19" i="23"/>
  <c r="W19" i="23"/>
  <c r="V19" i="23"/>
  <c r="U19" i="23"/>
  <c r="T19" i="23"/>
  <c r="AA18" i="23"/>
  <c r="Z18" i="23"/>
  <c r="Y18" i="23"/>
  <c r="X18" i="23"/>
  <c r="W18" i="23"/>
  <c r="V18" i="23"/>
  <c r="U18" i="23"/>
  <c r="T18" i="23"/>
  <c r="AA17" i="23"/>
  <c r="Z17" i="23"/>
  <c r="Y17" i="23"/>
  <c r="X17" i="23"/>
  <c r="W17" i="23"/>
  <c r="V17" i="23"/>
  <c r="U17" i="23"/>
  <c r="T17" i="23"/>
  <c r="AA16" i="23"/>
  <c r="Z16" i="23"/>
  <c r="Y16" i="23"/>
  <c r="X16" i="23"/>
  <c r="W16" i="23"/>
  <c r="V16" i="23"/>
  <c r="U16" i="23"/>
  <c r="T16" i="23"/>
  <c r="AA15" i="23"/>
  <c r="Z15" i="23"/>
  <c r="Y15" i="23"/>
  <c r="X15" i="23"/>
  <c r="W15" i="23"/>
  <c r="V15" i="23"/>
  <c r="U15" i="23"/>
  <c r="T15" i="23"/>
  <c r="AA14" i="23"/>
  <c r="Z14" i="23"/>
  <c r="Y14" i="23"/>
  <c r="X14" i="23"/>
  <c r="W14" i="23"/>
  <c r="V14" i="23"/>
  <c r="U14" i="23"/>
  <c r="T14" i="23"/>
  <c r="AA13" i="23"/>
  <c r="Z13" i="23"/>
  <c r="Y13" i="23"/>
  <c r="X13" i="23"/>
  <c r="W13" i="23"/>
  <c r="V13" i="23"/>
  <c r="U13" i="23"/>
  <c r="T13" i="23"/>
  <c r="AA12" i="23"/>
  <c r="Z12" i="23"/>
  <c r="Y12" i="23"/>
  <c r="X12" i="23"/>
  <c r="W12" i="23"/>
  <c r="V12" i="23"/>
  <c r="U12" i="23"/>
  <c r="T12" i="23"/>
  <c r="AA11" i="23"/>
  <c r="Z11" i="23"/>
  <c r="Y11" i="23"/>
  <c r="X11" i="23"/>
  <c r="W11" i="23"/>
  <c r="V11" i="23"/>
  <c r="U11" i="23"/>
  <c r="T11" i="23"/>
  <c r="AA10" i="23"/>
  <c r="Z10" i="23"/>
  <c r="Y10" i="23"/>
  <c r="X10" i="23"/>
  <c r="W10" i="23"/>
  <c r="V10" i="23"/>
  <c r="U10" i="23"/>
  <c r="T10" i="23"/>
  <c r="AA9" i="23"/>
  <c r="Z9" i="23"/>
  <c r="Y9" i="23"/>
  <c r="X9" i="23"/>
  <c r="W9" i="23"/>
  <c r="V9" i="23"/>
  <c r="U9" i="23"/>
  <c r="T9" i="23"/>
  <c r="AB9" i="23" l="1"/>
  <c r="AB21" i="23"/>
  <c r="AC21" i="23" s="1"/>
  <c r="AB30" i="23"/>
  <c r="AC30" i="23" s="1"/>
  <c r="AB48" i="23"/>
  <c r="AD48" i="23" s="1"/>
  <c r="AB18" i="23"/>
  <c r="AB27" i="23"/>
  <c r="AC27" i="23" s="1"/>
  <c r="AB42" i="23"/>
  <c r="AC42" i="23" s="1"/>
  <c r="AB66" i="23"/>
  <c r="AC66" i="23" s="1"/>
  <c r="AB24" i="23"/>
  <c r="AC24" i="23" s="1"/>
  <c r="AB33" i="23"/>
  <c r="AC33" i="23" s="1"/>
  <c r="AB45" i="23"/>
  <c r="AC45" i="23" s="1"/>
  <c r="AB54" i="23"/>
  <c r="AC54" i="23" s="1"/>
  <c r="AB69" i="23"/>
  <c r="AF69" i="23" s="1"/>
  <c r="AB72" i="23"/>
  <c r="AC72" i="23" s="1"/>
  <c r="AB75" i="23"/>
  <c r="AC75" i="23" s="1"/>
  <c r="AB78" i="23"/>
  <c r="AC78" i="23" s="1"/>
  <c r="AB81" i="23"/>
  <c r="AD81" i="23" s="1"/>
  <c r="AB13" i="23"/>
  <c r="AB19" i="23"/>
  <c r="AB22" i="23"/>
  <c r="AC22" i="23" s="1"/>
  <c r="AB25" i="23"/>
  <c r="AC25" i="23" s="1"/>
  <c r="AB34" i="23"/>
  <c r="AC34" i="23" s="1"/>
  <c r="AB10" i="23"/>
  <c r="AB16" i="23"/>
  <c r="AB11" i="23"/>
  <c r="AB35" i="23"/>
  <c r="AF35" i="23" s="1"/>
  <c r="AB50" i="23"/>
  <c r="AF50" i="23" s="1"/>
  <c r="AB53" i="23"/>
  <c r="AF53" i="23" s="1"/>
  <c r="AB65" i="23"/>
  <c r="AC65" i="23" s="1"/>
  <c r="AD65" i="23"/>
  <c r="AG65" i="23" s="1"/>
  <c r="AD27" i="23"/>
  <c r="AE27" i="23" s="1"/>
  <c r="AD30" i="23"/>
  <c r="AE30" i="23" s="1"/>
  <c r="AB14" i="23"/>
  <c r="AB32" i="23"/>
  <c r="AF32" i="23" s="1"/>
  <c r="AB59" i="23"/>
  <c r="AF59" i="23" s="1"/>
  <c r="AB80" i="23"/>
  <c r="AF80" i="23" s="1"/>
  <c r="AD54" i="23"/>
  <c r="AB26" i="23"/>
  <c r="AF26" i="23" s="1"/>
  <c r="AB38" i="23"/>
  <c r="AF38" i="23" s="1"/>
  <c r="AB56" i="23"/>
  <c r="AF56" i="23" s="1"/>
  <c r="AB74" i="23"/>
  <c r="AF74" i="23" s="1"/>
  <c r="AB17" i="23"/>
  <c r="AB29" i="23"/>
  <c r="AF29" i="23" s="1"/>
  <c r="AB41" i="23"/>
  <c r="AC41" i="23" s="1"/>
  <c r="AB62" i="23"/>
  <c r="AF62" i="23" s="1"/>
  <c r="AB77" i="23"/>
  <c r="AF77" i="23" s="1"/>
  <c r="AB37" i="23"/>
  <c r="AC37" i="23" s="1"/>
  <c r="AB40" i="23"/>
  <c r="AC40" i="23" s="1"/>
  <c r="AB43" i="23"/>
  <c r="AC43" i="23" s="1"/>
  <c r="AB46" i="23"/>
  <c r="AF46" i="23" s="1"/>
  <c r="AB49" i="23"/>
  <c r="AF49" i="23" s="1"/>
  <c r="AB58" i="23"/>
  <c r="AF58" i="23" s="1"/>
  <c r="AB61" i="23"/>
  <c r="AC61" i="23" s="1"/>
  <c r="AB64" i="23"/>
  <c r="AC64" i="23" s="1"/>
  <c r="AB67" i="23"/>
  <c r="AC67" i="23" s="1"/>
  <c r="AB70" i="23"/>
  <c r="AF70" i="23" s="1"/>
  <c r="AB73" i="23"/>
  <c r="AF73" i="23" s="1"/>
  <c r="AB51" i="23"/>
  <c r="AF51" i="23" s="1"/>
  <c r="AB57" i="23"/>
  <c r="AC57" i="23" s="1"/>
  <c r="AB55" i="23"/>
  <c r="AF55" i="23" s="1"/>
  <c r="AB12" i="23"/>
  <c r="AB60" i="23"/>
  <c r="AC60" i="23" s="1"/>
  <c r="AB31" i="23"/>
  <c r="AF31" i="23" s="1"/>
  <c r="AB79" i="23"/>
  <c r="AF79" i="23" s="1"/>
  <c r="AB28" i="23"/>
  <c r="AF28" i="23" s="1"/>
  <c r="AB52" i="23"/>
  <c r="AF52" i="23" s="1"/>
  <c r="AB76" i="23"/>
  <c r="AF76" i="23" s="1"/>
  <c r="AB23" i="23"/>
  <c r="AF23" i="23" s="1"/>
  <c r="AB47" i="23"/>
  <c r="AF47" i="23" s="1"/>
  <c r="AB71" i="23"/>
  <c r="AF71" i="23" s="1"/>
  <c r="AB20" i="23"/>
  <c r="AC20" i="23" s="1"/>
  <c r="AB44" i="23"/>
  <c r="AC44" i="23" s="1"/>
  <c r="AB68" i="23"/>
  <c r="AC68" i="23" s="1"/>
  <c r="AB15" i="23"/>
  <c r="AB39" i="23"/>
  <c r="AC39" i="23" s="1"/>
  <c r="AB63" i="23"/>
  <c r="AC63" i="23" s="1"/>
  <c r="AB36" i="23"/>
  <c r="AC36" i="23" s="1"/>
  <c r="AF81" i="23" l="1"/>
  <c r="AF72" i="23"/>
  <c r="AE54" i="23"/>
  <c r="AF60" i="23"/>
  <c r="AF57" i="23"/>
  <c r="AF40" i="23"/>
  <c r="AF78" i="23"/>
  <c r="AF37" i="23"/>
  <c r="AD33" i="23"/>
  <c r="AE33" i="23" s="1"/>
  <c r="AF22" i="23"/>
  <c r="AF75" i="23"/>
  <c r="AF54" i="23"/>
  <c r="AF63" i="23"/>
  <c r="AF33" i="23"/>
  <c r="AF66" i="23"/>
  <c r="AC48" i="23"/>
  <c r="AE48" i="23" s="1"/>
  <c r="AF48" i="23"/>
  <c r="AF39" i="23"/>
  <c r="AF44" i="23"/>
  <c r="AF45" i="23"/>
  <c r="AF36" i="23"/>
  <c r="AF41" i="23"/>
  <c r="AD66" i="23"/>
  <c r="AF61" i="23"/>
  <c r="AD42" i="23"/>
  <c r="AE42" i="23" s="1"/>
  <c r="AF43" i="23"/>
  <c r="AF64" i="23"/>
  <c r="AF34" i="23"/>
  <c r="AF67" i="23"/>
  <c r="AF42" i="23"/>
  <c r="AF24" i="23"/>
  <c r="AF68" i="23"/>
  <c r="AF30" i="23"/>
  <c r="AF21" i="23"/>
  <c r="AF65" i="23"/>
  <c r="AF27" i="23"/>
  <c r="AF25" i="23"/>
  <c r="AD24" i="23"/>
  <c r="AE24" i="23" s="1"/>
  <c r="AB82" i="23"/>
  <c r="AC81" i="23"/>
  <c r="AD21" i="23"/>
  <c r="AE21" i="23" s="1"/>
  <c r="AD45" i="23"/>
  <c r="AE45" i="23" s="1"/>
  <c r="AD75" i="23"/>
  <c r="AE75" i="23" s="1"/>
  <c r="AD36" i="23"/>
  <c r="AE36" i="23" s="1"/>
  <c r="AD68" i="23"/>
  <c r="AD78" i="23"/>
  <c r="AG78" i="23" s="1"/>
  <c r="AC69" i="23"/>
  <c r="AD69" i="23"/>
  <c r="AD72" i="23"/>
  <c r="AE72" i="23" s="1"/>
  <c r="AF20" i="23"/>
  <c r="AD34" i="23"/>
  <c r="AE34" i="23" s="1"/>
  <c r="AD43" i="23"/>
  <c r="AE43" i="23" s="1"/>
  <c r="AD37" i="23"/>
  <c r="AE37" i="23" s="1"/>
  <c r="AD22" i="23"/>
  <c r="AD60" i="23"/>
  <c r="AE22" i="23"/>
  <c r="AD25" i="23"/>
  <c r="AE25" i="23" s="1"/>
  <c r="AD29" i="23"/>
  <c r="AC29" i="23"/>
  <c r="AC28" i="23"/>
  <c r="AD28" i="23"/>
  <c r="AD79" i="23"/>
  <c r="AC79" i="23"/>
  <c r="AG79" i="23" s="1"/>
  <c r="AD70" i="23"/>
  <c r="AC70" i="23"/>
  <c r="AG70" i="23" s="1"/>
  <c r="AC49" i="23"/>
  <c r="AD49" i="23"/>
  <c r="AC53" i="23"/>
  <c r="AD53" i="23"/>
  <c r="AC62" i="23"/>
  <c r="AD62" i="23"/>
  <c r="AG62" i="23" s="1"/>
  <c r="AC23" i="23"/>
  <c r="AD23" i="23"/>
  <c r="AC74" i="23"/>
  <c r="AD74" i="23"/>
  <c r="AD38" i="23"/>
  <c r="AC38" i="23"/>
  <c r="AD51" i="23"/>
  <c r="AC51" i="23"/>
  <c r="AD73" i="23"/>
  <c r="AC73" i="23"/>
  <c r="AD80" i="23"/>
  <c r="AC80" i="23"/>
  <c r="AG80" i="23" s="1"/>
  <c r="AD32" i="23"/>
  <c r="AC32" i="23"/>
  <c r="AC58" i="23"/>
  <c r="AD58" i="23"/>
  <c r="AD46" i="23"/>
  <c r="AC46" i="23"/>
  <c r="AE46" i="23" s="1"/>
  <c r="AE65" i="23"/>
  <c r="AC71" i="23"/>
  <c r="AD71" i="23"/>
  <c r="AC47" i="23"/>
  <c r="AD47" i="23"/>
  <c r="AD50" i="23"/>
  <c r="AC50" i="23"/>
  <c r="AD35" i="23"/>
  <c r="AC35" i="23"/>
  <c r="AD52" i="23"/>
  <c r="AC52" i="23"/>
  <c r="AD39" i="23"/>
  <c r="AE39" i="23" s="1"/>
  <c r="AD64" i="23"/>
  <c r="AC26" i="23"/>
  <c r="AD26" i="23"/>
  <c r="AD40" i="23"/>
  <c r="AE40" i="23" s="1"/>
  <c r="AD57" i="23"/>
  <c r="AE57" i="23" s="1"/>
  <c r="AD59" i="23"/>
  <c r="AC59" i="23"/>
  <c r="AD67" i="23"/>
  <c r="AD61" i="23"/>
  <c r="AD44" i="23"/>
  <c r="AE44" i="23" s="1"/>
  <c r="AC77" i="23"/>
  <c r="AD77" i="23"/>
  <c r="AD63" i="23"/>
  <c r="AC76" i="23"/>
  <c r="AD76" i="23"/>
  <c r="AD20" i="23"/>
  <c r="AE20" i="23" s="1"/>
  <c r="AD31" i="23"/>
  <c r="AC31" i="23"/>
  <c r="AC56" i="23"/>
  <c r="AD56" i="23"/>
  <c r="AD55" i="23"/>
  <c r="AC55" i="23"/>
  <c r="AE55" i="23" s="1"/>
  <c r="AD41" i="23"/>
  <c r="AE41" i="23" s="1"/>
  <c r="BW30" i="22"/>
  <c r="BV30" i="22"/>
  <c r="BU30" i="22"/>
  <c r="BT30" i="22"/>
  <c r="BS30" i="22"/>
  <c r="BR30" i="22"/>
  <c r="BQ30" i="22"/>
  <c r="BP30" i="22"/>
  <c r="BO30" i="22"/>
  <c r="BN30" i="22"/>
  <c r="BM30" i="22"/>
  <c r="BL30" i="22"/>
  <c r="BK30" i="22"/>
  <c r="BJ30" i="22"/>
  <c r="BI30" i="22"/>
  <c r="BH30" i="22"/>
  <c r="BG30" i="22"/>
  <c r="BF30" i="22"/>
  <c r="BE30" i="22"/>
  <c r="BD30" i="22"/>
  <c r="BC30" i="22"/>
  <c r="BB30" i="22"/>
  <c r="BA30" i="22"/>
  <c r="AZ30" i="22"/>
  <c r="AY30"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BW29" i="22"/>
  <c r="BV29" i="22"/>
  <c r="BU29" i="22"/>
  <c r="BT29" i="22"/>
  <c r="BS29" i="22"/>
  <c r="BR29" i="22"/>
  <c r="BQ29" i="22"/>
  <c r="BP29" i="22"/>
  <c r="BO29" i="22"/>
  <c r="BN29" i="22"/>
  <c r="BM29" i="22"/>
  <c r="BL29" i="22"/>
  <c r="BK29" i="22"/>
  <c r="BJ29" i="22"/>
  <c r="BI29" i="22"/>
  <c r="BH29" i="22"/>
  <c r="BG29" i="22"/>
  <c r="BF29" i="22"/>
  <c r="BE29" i="22"/>
  <c r="BD29" i="22"/>
  <c r="BC29" i="22"/>
  <c r="BB29" i="22"/>
  <c r="BA29" i="22"/>
  <c r="AZ29" i="22"/>
  <c r="AY29" i="22"/>
  <c r="AX29" i="22"/>
  <c r="AW29" i="22"/>
  <c r="AV29" i="22"/>
  <c r="AU29" i="22"/>
  <c r="AT29" i="22"/>
  <c r="AS29" i="22"/>
  <c r="AR29" i="22"/>
  <c r="AQ29" i="22"/>
  <c r="AP29" i="22"/>
  <c r="AO29" i="22"/>
  <c r="AN29" i="22"/>
  <c r="AM29" i="22"/>
  <c r="AL29" i="22"/>
  <c r="AK29" i="22"/>
  <c r="AJ29" i="22"/>
  <c r="AI29" i="22"/>
  <c r="AH29" i="22"/>
  <c r="AG29" i="22"/>
  <c r="AF29" i="22"/>
  <c r="AE29" i="22"/>
  <c r="AD29"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BW28" i="22"/>
  <c r="BV28" i="22"/>
  <c r="BU28" i="22"/>
  <c r="BT28" i="22"/>
  <c r="BS28" i="22"/>
  <c r="BR28" i="22"/>
  <c r="BQ28" i="22"/>
  <c r="BP28" i="22"/>
  <c r="BO28" i="22"/>
  <c r="BN28" i="22"/>
  <c r="BM28" i="22"/>
  <c r="BL28" i="22"/>
  <c r="BK28" i="22"/>
  <c r="BJ28" i="22"/>
  <c r="BI28" i="22"/>
  <c r="BH28" i="22"/>
  <c r="BG28" i="22"/>
  <c r="BF28" i="22"/>
  <c r="BE28" i="22"/>
  <c r="BD28" i="22"/>
  <c r="BC28" i="22"/>
  <c r="BB28" i="22"/>
  <c r="BA28" i="22"/>
  <c r="AZ28" i="22"/>
  <c r="AY28" i="22"/>
  <c r="AX28" i="22"/>
  <c r="AW28" i="22"/>
  <c r="AV28" i="22"/>
  <c r="AU28" i="22"/>
  <c r="AT28" i="22"/>
  <c r="AS28" i="22"/>
  <c r="AR28" i="22"/>
  <c r="AQ28" i="22"/>
  <c r="AP28" i="22"/>
  <c r="AO28" i="22"/>
  <c r="AN28" i="22"/>
  <c r="AM28" i="22"/>
  <c r="AL28" i="22"/>
  <c r="AK28" i="22"/>
  <c r="AJ28" i="22"/>
  <c r="AI28" i="22"/>
  <c r="AH28" i="22"/>
  <c r="AG28" i="22"/>
  <c r="AF28" i="22"/>
  <c r="AE28" i="22"/>
  <c r="AD28"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BW27" i="22"/>
  <c r="BV27" i="22"/>
  <c r="BU27" i="22"/>
  <c r="BT27" i="22"/>
  <c r="BS27" i="22"/>
  <c r="BR27" i="22"/>
  <c r="BQ27" i="22"/>
  <c r="BP27" i="22"/>
  <c r="BO27" i="22"/>
  <c r="BN27" i="22"/>
  <c r="BM27" i="22"/>
  <c r="BL27" i="22"/>
  <c r="BK27" i="22"/>
  <c r="BJ27" i="22"/>
  <c r="BI27" i="22"/>
  <c r="BH27" i="22"/>
  <c r="BG27" i="22"/>
  <c r="BF27" i="22"/>
  <c r="BE27" i="22"/>
  <c r="BD27" i="22"/>
  <c r="BC27" i="22"/>
  <c r="BB27" i="22"/>
  <c r="BA27" i="22"/>
  <c r="AZ27" i="22"/>
  <c r="AY27" i="22"/>
  <c r="AX27" i="22"/>
  <c r="AW27" i="22"/>
  <c r="AV27" i="22"/>
  <c r="AU27" i="22"/>
  <c r="AT27" i="22"/>
  <c r="AS27" i="22"/>
  <c r="AR27" i="22"/>
  <c r="AQ27" i="22"/>
  <c r="AP27" i="22"/>
  <c r="AO27" i="22"/>
  <c r="AN27" i="22"/>
  <c r="AM27" i="22"/>
  <c r="AL27" i="22"/>
  <c r="AK27" i="22"/>
  <c r="AJ27" i="22"/>
  <c r="AI27" i="22"/>
  <c r="AH27" i="22"/>
  <c r="AG27" i="22"/>
  <c r="AF27" i="22"/>
  <c r="AE27" i="22"/>
  <c r="AD27"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C30" i="22"/>
  <c r="C29" i="22"/>
  <c r="C28" i="22"/>
  <c r="C27" i="22"/>
  <c r="BW26" i="22"/>
  <c r="BV26" i="22"/>
  <c r="BU26" i="22"/>
  <c r="BT26" i="22"/>
  <c r="BS26" i="22"/>
  <c r="BR26" i="22"/>
  <c r="BQ26" i="22"/>
  <c r="BP26" i="22"/>
  <c r="BO26" i="22"/>
  <c r="BN26" i="22"/>
  <c r="BM26" i="22"/>
  <c r="BL26" i="22"/>
  <c r="BK26" i="22"/>
  <c r="BJ26" i="22"/>
  <c r="BI26" i="22"/>
  <c r="BH26" i="22"/>
  <c r="BG26" i="22"/>
  <c r="BF26" i="22"/>
  <c r="BE26" i="22"/>
  <c r="BD26" i="22"/>
  <c r="BC26" i="22"/>
  <c r="BB26" i="22"/>
  <c r="BA26" i="22"/>
  <c r="AZ26" i="22"/>
  <c r="AY26" i="22"/>
  <c r="AX26" i="22"/>
  <c r="AW26" i="22"/>
  <c r="AV26" i="22"/>
  <c r="AU26" i="22"/>
  <c r="AT26" i="22"/>
  <c r="AS26" i="22"/>
  <c r="AR26" i="22"/>
  <c r="AQ26" i="22"/>
  <c r="AP26" i="22"/>
  <c r="AO26" i="22"/>
  <c r="AN26" i="22"/>
  <c r="AM26" i="22"/>
  <c r="AL26" i="22"/>
  <c r="AK26" i="22"/>
  <c r="AJ26" i="22"/>
  <c r="AI26" i="22"/>
  <c r="AH26" i="22"/>
  <c r="AG26" i="22"/>
  <c r="AF26" i="22"/>
  <c r="AE26" i="22"/>
  <c r="AD26"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BW25" i="22"/>
  <c r="BV25" i="22"/>
  <c r="BU25" i="22"/>
  <c r="BT25" i="22"/>
  <c r="BS25" i="22"/>
  <c r="BR25" i="22"/>
  <c r="BQ25" i="22"/>
  <c r="BP25" i="22"/>
  <c r="BO25" i="22"/>
  <c r="BN25" i="22"/>
  <c r="BM25" i="22"/>
  <c r="BL25" i="22"/>
  <c r="BK25" i="22"/>
  <c r="BJ25" i="22"/>
  <c r="BI25" i="22"/>
  <c r="BH25" i="22"/>
  <c r="BG25" i="22"/>
  <c r="BF25" i="22"/>
  <c r="BE25" i="22"/>
  <c r="BD25" i="22"/>
  <c r="BC25" i="22"/>
  <c r="BB25" i="22"/>
  <c r="BA25" i="22"/>
  <c r="AZ25" i="22"/>
  <c r="AY25" i="22"/>
  <c r="AX25" i="22"/>
  <c r="AW25" i="22"/>
  <c r="AV25" i="22"/>
  <c r="AU25" i="22"/>
  <c r="AT25" i="22"/>
  <c r="AS25" i="22"/>
  <c r="AR25" i="22"/>
  <c r="AQ25" i="22"/>
  <c r="AP25" i="22"/>
  <c r="AO25" i="22"/>
  <c r="AN25" i="22"/>
  <c r="AM25" i="22"/>
  <c r="AL25" i="22"/>
  <c r="AK25" i="22"/>
  <c r="AJ25" i="22"/>
  <c r="AI25" i="22"/>
  <c r="AH25" i="22"/>
  <c r="AG25" i="22"/>
  <c r="AF25" i="22"/>
  <c r="AE25" i="22"/>
  <c r="AD25"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BW24" i="22"/>
  <c r="BV24" i="22"/>
  <c r="BU24" i="22"/>
  <c r="BT24" i="22"/>
  <c r="BS24" i="22"/>
  <c r="BR24" i="22"/>
  <c r="BQ24" i="22"/>
  <c r="BP24" i="22"/>
  <c r="BO24" i="22"/>
  <c r="BN24" i="22"/>
  <c r="BM24" i="22"/>
  <c r="BL24" i="22"/>
  <c r="BK24" i="22"/>
  <c r="BJ24" i="22"/>
  <c r="BI24" i="22"/>
  <c r="BH24" i="22"/>
  <c r="BG24" i="22"/>
  <c r="BF24" i="22"/>
  <c r="BE24" i="22"/>
  <c r="BD24" i="22"/>
  <c r="BC24" i="22"/>
  <c r="BB24" i="22"/>
  <c r="BA24" i="22"/>
  <c r="AZ24" i="22"/>
  <c r="AY24" i="22"/>
  <c r="AX24" i="22"/>
  <c r="AW24" i="22"/>
  <c r="AV24" i="22"/>
  <c r="AU24" i="22"/>
  <c r="AT24" i="22"/>
  <c r="AS24" i="22"/>
  <c r="AR24" i="22"/>
  <c r="AQ24" i="22"/>
  <c r="AP24" i="22"/>
  <c r="AO24" i="22"/>
  <c r="AN24" i="22"/>
  <c r="AM24" i="22"/>
  <c r="AL24" i="22"/>
  <c r="AK24" i="22"/>
  <c r="AJ24" i="22"/>
  <c r="AI24" i="22"/>
  <c r="AH24" i="22"/>
  <c r="AG24" i="22"/>
  <c r="AF24" i="22"/>
  <c r="AE24" i="22"/>
  <c r="AD24"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BW23" i="22"/>
  <c r="BV23" i="22"/>
  <c r="BU23" i="22"/>
  <c r="BT23" i="22"/>
  <c r="BS23" i="22"/>
  <c r="BS31" i="22" s="1"/>
  <c r="BR23" i="22"/>
  <c r="BR31" i="22" s="1"/>
  <c r="BQ23" i="22"/>
  <c r="BQ31" i="22" s="1"/>
  <c r="BP23" i="22"/>
  <c r="BO23" i="22"/>
  <c r="BO31" i="22" s="1"/>
  <c r="BN23" i="22"/>
  <c r="BM23" i="22"/>
  <c r="BM31" i="22" s="1"/>
  <c r="BL23" i="22"/>
  <c r="BL31" i="22" s="1"/>
  <c r="BK23" i="22"/>
  <c r="BK31" i="22" s="1"/>
  <c r="BJ23" i="22"/>
  <c r="BI23" i="22"/>
  <c r="BH23" i="22"/>
  <c r="BH31" i="22" s="1"/>
  <c r="BG23" i="22"/>
  <c r="BF23" i="22"/>
  <c r="BF31" i="22" s="1"/>
  <c r="BE23" i="22"/>
  <c r="BE31" i="22" s="1"/>
  <c r="BD23" i="22"/>
  <c r="BD31" i="22" s="1"/>
  <c r="BC23" i="22"/>
  <c r="BB23" i="22"/>
  <c r="BA23" i="22"/>
  <c r="AZ23" i="22"/>
  <c r="AY23" i="22"/>
  <c r="AX23" i="22"/>
  <c r="AW23" i="22"/>
  <c r="AV23" i="22"/>
  <c r="AU23" i="22"/>
  <c r="AU31" i="22" s="1"/>
  <c r="AT23" i="22"/>
  <c r="AT31" i="22" s="1"/>
  <c r="AS23" i="22"/>
  <c r="AR23" i="22"/>
  <c r="AQ23" i="22"/>
  <c r="AQ31" i="22" s="1"/>
  <c r="AP23" i="22"/>
  <c r="AO23" i="22"/>
  <c r="AO31" i="22" s="1"/>
  <c r="AN23" i="22"/>
  <c r="AN31" i="22" s="1"/>
  <c r="AM23" i="22"/>
  <c r="AL23" i="22"/>
  <c r="AL31" i="22" s="1"/>
  <c r="AK23" i="22"/>
  <c r="AK31" i="22" s="1"/>
  <c r="AJ23" i="22"/>
  <c r="AJ31" i="22" s="1"/>
  <c r="AI23" i="22"/>
  <c r="AI31" i="22" s="1"/>
  <c r="AH23" i="22"/>
  <c r="AH31" i="22" s="1"/>
  <c r="AG23" i="22"/>
  <c r="AG31" i="22" s="1"/>
  <c r="AF23" i="22"/>
  <c r="AE23" i="22"/>
  <c r="AD23" i="22"/>
  <c r="AC23" i="22"/>
  <c r="AB23" i="22"/>
  <c r="AA23" i="22"/>
  <c r="Z23" i="22"/>
  <c r="Y23" i="22"/>
  <c r="X23" i="22"/>
  <c r="W23" i="22"/>
  <c r="W31" i="22" s="1"/>
  <c r="V23" i="22"/>
  <c r="V31" i="22" s="1"/>
  <c r="U23" i="22"/>
  <c r="T23" i="22"/>
  <c r="T31" i="22" s="1"/>
  <c r="S23" i="22"/>
  <c r="R23" i="22"/>
  <c r="R31" i="22" s="1"/>
  <c r="Q23" i="22"/>
  <c r="Q31" i="22" s="1"/>
  <c r="P23" i="22"/>
  <c r="P31" i="22" s="1"/>
  <c r="O23" i="22"/>
  <c r="N23" i="22"/>
  <c r="M23" i="22"/>
  <c r="M31" i="22" s="1"/>
  <c r="L23" i="22"/>
  <c r="L31" i="22" s="1"/>
  <c r="K23" i="22"/>
  <c r="K31" i="22" s="1"/>
  <c r="J23" i="22"/>
  <c r="J31" i="22" s="1"/>
  <c r="I23" i="22"/>
  <c r="I31" i="22" s="1"/>
  <c r="H23" i="22"/>
  <c r="H31" i="22" s="1"/>
  <c r="G23" i="22"/>
  <c r="F23" i="22"/>
  <c r="E23" i="22"/>
  <c r="D23" i="22"/>
  <c r="C26" i="22"/>
  <c r="C25" i="22"/>
  <c r="C24" i="22"/>
  <c r="C23" i="22"/>
  <c r="C27" i="21"/>
  <c r="D28" i="21"/>
  <c r="E28" i="21"/>
  <c r="B29" i="21"/>
  <c r="B25" i="21"/>
  <c r="B27" i="21" s="1"/>
  <c r="C25" i="21"/>
  <c r="C28" i="21" s="1"/>
  <c r="D25" i="21"/>
  <c r="D27" i="21" s="1"/>
  <c r="E25" i="21"/>
  <c r="E27" i="21" s="1"/>
  <c r="B16" i="21"/>
  <c r="C16" i="21"/>
  <c r="B15" i="21"/>
  <c r="C15" i="21"/>
  <c r="D15" i="21"/>
  <c r="B14" i="21"/>
  <c r="C14" i="21"/>
  <c r="D14" i="21"/>
  <c r="B13" i="21"/>
  <c r="C13" i="21"/>
  <c r="D13" i="21"/>
  <c r="C12" i="21"/>
  <c r="D12" i="21"/>
  <c r="B12" i="21"/>
  <c r="E11" i="21"/>
  <c r="E15" i="21" s="1"/>
  <c r="D11" i="21"/>
  <c r="D16" i="21" s="1"/>
  <c r="C11" i="21"/>
  <c r="B11" i="21"/>
  <c r="AG7" i="1"/>
  <c r="AF7" i="1"/>
  <c r="AE7" i="1"/>
  <c r="AD7" i="1"/>
  <c r="AC7" i="1"/>
  <c r="AB7" i="1"/>
  <c r="AA7" i="1"/>
  <c r="Z7" i="1"/>
  <c r="Y7" i="1"/>
  <c r="X7" i="1"/>
  <c r="W7" i="1"/>
  <c r="V7" i="1"/>
  <c r="AN37" i="13"/>
  <c r="AE50" i="23" l="1"/>
  <c r="AG73" i="23"/>
  <c r="AE51" i="23"/>
  <c r="AE60" i="23"/>
  <c r="AG60" i="23"/>
  <c r="AE61" i="23"/>
  <c r="AG61" i="23"/>
  <c r="AE64" i="23"/>
  <c r="AG64" i="23"/>
  <c r="AE68" i="23"/>
  <c r="AG68" i="23"/>
  <c r="AE67" i="23"/>
  <c r="AG67" i="23"/>
  <c r="AE63" i="23"/>
  <c r="AG63" i="23"/>
  <c r="AE66" i="23"/>
  <c r="AG66" i="23"/>
  <c r="AE31" i="23"/>
  <c r="AG76" i="23"/>
  <c r="AG72" i="23"/>
  <c r="AG77" i="23"/>
  <c r="AE52" i="23"/>
  <c r="AG69" i="23"/>
  <c r="AN88" i="23" s="1"/>
  <c r="AG75" i="23"/>
  <c r="AE78" i="23"/>
  <c r="AG71" i="23"/>
  <c r="AE81" i="23"/>
  <c r="AG81" i="23"/>
  <c r="AE35" i="23"/>
  <c r="AG74" i="23"/>
  <c r="AE29" i="23"/>
  <c r="AE59" i="23"/>
  <c r="AE73" i="23"/>
  <c r="AE79" i="23"/>
  <c r="AE80" i="23"/>
  <c r="AE69" i="23"/>
  <c r="AE70" i="23"/>
  <c r="AE47" i="23"/>
  <c r="AE23" i="23"/>
  <c r="AE38" i="23"/>
  <c r="AE76" i="23"/>
  <c r="AE32" i="23"/>
  <c r="AE71" i="23"/>
  <c r="AE49" i="23"/>
  <c r="AE77" i="23"/>
  <c r="AE58" i="23"/>
  <c r="AE56" i="23"/>
  <c r="AE74" i="23"/>
  <c r="AE53" i="23"/>
  <c r="AE26" i="23"/>
  <c r="AE28" i="23"/>
  <c r="AE62" i="23"/>
  <c r="BI31" i="22"/>
  <c r="BN31" i="22"/>
  <c r="X31" i="22"/>
  <c r="AV31" i="22"/>
  <c r="BT31" i="22"/>
  <c r="AW31" i="22"/>
  <c r="BU31" i="22"/>
  <c r="BV31" i="22"/>
  <c r="S31" i="22"/>
  <c r="Y31" i="22"/>
  <c r="Z31" i="22"/>
  <c r="AX31" i="22"/>
  <c r="AA31" i="22"/>
  <c r="AY31" i="22"/>
  <c r="BW31" i="22"/>
  <c r="BJ31" i="22"/>
  <c r="AR31" i="22"/>
  <c r="BG31" i="22"/>
  <c r="AM31" i="22"/>
  <c r="O31" i="22"/>
  <c r="AS31" i="22"/>
  <c r="U31" i="22"/>
  <c r="C31" i="22"/>
  <c r="BP31" i="22"/>
  <c r="AF31" i="22"/>
  <c r="AP31" i="22"/>
  <c r="N31" i="22"/>
  <c r="AZ31" i="22"/>
  <c r="E31" i="22"/>
  <c r="D31" i="22"/>
  <c r="AC31" i="22"/>
  <c r="F31" i="22"/>
  <c r="AD31" i="22"/>
  <c r="BB31" i="22"/>
  <c r="AB31" i="22"/>
  <c r="BA31" i="22"/>
  <c r="G31" i="22"/>
  <c r="AE31" i="22"/>
  <c r="BC31" i="22"/>
  <c r="E16" i="21"/>
  <c r="E14" i="21"/>
  <c r="B26" i="21"/>
  <c r="E12" i="21"/>
  <c r="E26" i="21"/>
  <c r="D26" i="21"/>
  <c r="C26" i="21"/>
  <c r="E30" i="21"/>
  <c r="D30" i="21"/>
  <c r="C30" i="21"/>
  <c r="B30" i="21"/>
  <c r="E29" i="21"/>
  <c r="D29" i="21"/>
  <c r="E13" i="21"/>
  <c r="C29" i="21"/>
  <c r="B28" i="21"/>
  <c r="AF2" i="13" l="1"/>
  <c r="AG2" i="13"/>
  <c r="G65" i="2"/>
  <c r="F8"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O38" i="6"/>
  <c r="E41" i="2" s="1"/>
  <c r="O14" i="6"/>
  <c r="E17" i="2" s="1"/>
  <c r="O13" i="6"/>
  <c r="E16" i="2" s="1"/>
  <c r="O12" i="6"/>
  <c r="E15" i="2" s="1"/>
  <c r="L66" i="6"/>
  <c r="O66" i="6" s="1"/>
  <c r="E69" i="2" s="1"/>
  <c r="L65" i="6"/>
  <c r="O65" i="6" s="1"/>
  <c r="E68" i="2" s="1"/>
  <c r="L64" i="6"/>
  <c r="O64" i="6" s="1"/>
  <c r="E67" i="2" s="1"/>
  <c r="L63" i="6"/>
  <c r="O63" i="6" s="1"/>
  <c r="E66" i="2" s="1"/>
  <c r="L62" i="6"/>
  <c r="O62" i="6" s="1"/>
  <c r="E65" i="2" s="1"/>
  <c r="L61" i="6"/>
  <c r="O61" i="6" s="1"/>
  <c r="E64" i="2" s="1"/>
  <c r="L60" i="6"/>
  <c r="G63" i="2" s="1"/>
  <c r="L59" i="6"/>
  <c r="G62" i="2" s="1"/>
  <c r="L58" i="6"/>
  <c r="O58" i="6" s="1"/>
  <c r="E61" i="2" s="1"/>
  <c r="L57" i="6"/>
  <c r="L56" i="6"/>
  <c r="L55" i="6"/>
  <c r="L54" i="6"/>
  <c r="L53" i="6"/>
  <c r="G56" i="2" s="1"/>
  <c r="L52" i="6"/>
  <c r="G55" i="2" s="1"/>
  <c r="L51" i="6"/>
  <c r="G54" i="2" s="1"/>
  <c r="L50" i="6"/>
  <c r="G53" i="2" s="1"/>
  <c r="L49" i="6"/>
  <c r="G52" i="2" s="1"/>
  <c r="L48" i="6"/>
  <c r="G51" i="2" s="1"/>
  <c r="L47" i="6"/>
  <c r="G50" i="2" s="1"/>
  <c r="L46" i="6"/>
  <c r="O46" i="6" s="1"/>
  <c r="E49" i="2" s="1"/>
  <c r="L45" i="6"/>
  <c r="O45" i="6" s="1"/>
  <c r="E48" i="2" s="1"/>
  <c r="L44" i="6"/>
  <c r="O44" i="6" s="1"/>
  <c r="E47" i="2" s="1"/>
  <c r="L43" i="6"/>
  <c r="G46" i="2" s="1"/>
  <c r="L42" i="6"/>
  <c r="G45" i="2" s="1"/>
  <c r="L41" i="6"/>
  <c r="G44" i="2" s="1"/>
  <c r="L40" i="6"/>
  <c r="G43" i="2" s="1"/>
  <c r="L39" i="6"/>
  <c r="G42" i="2" s="1"/>
  <c r="L38" i="6"/>
  <c r="G41" i="2" s="1"/>
  <c r="L37" i="6"/>
  <c r="O37" i="6" s="1"/>
  <c r="E40" i="2" s="1"/>
  <c r="L36" i="6"/>
  <c r="G39" i="2" s="1"/>
  <c r="L35" i="6"/>
  <c r="O35" i="6" s="1"/>
  <c r="E38" i="2" s="1"/>
  <c r="L34" i="6"/>
  <c r="O34" i="6" s="1"/>
  <c r="E37" i="2" s="1"/>
  <c r="L33" i="6"/>
  <c r="L32" i="6"/>
  <c r="L31" i="6"/>
  <c r="L30" i="6"/>
  <c r="G33" i="2" s="1"/>
  <c r="L29" i="6"/>
  <c r="G32" i="2" s="1"/>
  <c r="L28" i="6"/>
  <c r="G31" i="2" s="1"/>
  <c r="L27" i="6"/>
  <c r="G30" i="2" s="1"/>
  <c r="L26" i="6"/>
  <c r="Q26" i="6" s="1"/>
  <c r="L25" i="6"/>
  <c r="G28" i="2" s="1"/>
  <c r="L24" i="6"/>
  <c r="G27" i="2" s="1"/>
  <c r="L23" i="6"/>
  <c r="G26" i="2" s="1"/>
  <c r="L22" i="6"/>
  <c r="O22" i="6" s="1"/>
  <c r="E25" i="2" s="1"/>
  <c r="L21" i="6"/>
  <c r="G24" i="2" s="1"/>
  <c r="L20" i="6"/>
  <c r="L19" i="6"/>
  <c r="G22" i="2" s="1"/>
  <c r="L18" i="6"/>
  <c r="G21" i="2" s="1"/>
  <c r="L17" i="6"/>
  <c r="G20" i="2" s="1"/>
  <c r="L16" i="6"/>
  <c r="G19" i="2" s="1"/>
  <c r="L15" i="6"/>
  <c r="G18" i="2" s="1"/>
  <c r="L14" i="6"/>
  <c r="G17" i="2" s="1"/>
  <c r="L13" i="6"/>
  <c r="L12" i="6"/>
  <c r="L11" i="6"/>
  <c r="G14" i="2" s="1"/>
  <c r="L10" i="6"/>
  <c r="O10" i="6" s="1"/>
  <c r="E13" i="2" s="1"/>
  <c r="L9" i="6"/>
  <c r="L8" i="6"/>
  <c r="L7" i="6"/>
  <c r="L6" i="6"/>
  <c r="L5" i="6"/>
  <c r="G8" i="2" s="1"/>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O16" i="6" l="1"/>
  <c r="E19" i="2" s="1"/>
  <c r="O15" i="6"/>
  <c r="E18" i="2" s="1"/>
  <c r="O40" i="6"/>
  <c r="E43" i="2" s="1"/>
  <c r="G67" i="2"/>
  <c r="G69" i="2"/>
  <c r="Q6" i="6"/>
  <c r="Q54" i="6"/>
  <c r="O41" i="6"/>
  <c r="E44" i="2" s="1"/>
  <c r="G68" i="2"/>
  <c r="Q31" i="6"/>
  <c r="Q55" i="6"/>
  <c r="O42" i="6"/>
  <c r="E45" i="2" s="1"/>
  <c r="Q8" i="6"/>
  <c r="Q32" i="6"/>
  <c r="Q56" i="6"/>
  <c r="O43" i="6"/>
  <c r="E46" i="2" s="1"/>
  <c r="O17" i="6"/>
  <c r="E20" i="2" s="1"/>
  <c r="Q9" i="6"/>
  <c r="Q33" i="6"/>
  <c r="Q57" i="6"/>
  <c r="Q7" i="6"/>
  <c r="O19" i="6"/>
  <c r="E22" i="2" s="1"/>
  <c r="G66" i="2"/>
  <c r="O39" i="6"/>
  <c r="E42" i="2" s="1"/>
  <c r="O18" i="6"/>
  <c r="E21" i="2" s="1"/>
  <c r="O47" i="6"/>
  <c r="E50" i="2" s="1"/>
  <c r="O48" i="6"/>
  <c r="E51" i="2" s="1"/>
  <c r="O24" i="6"/>
  <c r="E27" i="2" s="1"/>
  <c r="O11" i="6"/>
  <c r="E14" i="2" s="1"/>
  <c r="O49" i="6"/>
  <c r="E52" i="2" s="1"/>
  <c r="O23" i="6"/>
  <c r="E26" i="2" s="1"/>
  <c r="O50" i="6"/>
  <c r="E53" i="2" s="1"/>
  <c r="O51" i="6"/>
  <c r="E54" i="2" s="1"/>
  <c r="O25" i="6"/>
  <c r="E28" i="2" s="1"/>
  <c r="O52" i="6"/>
  <c r="E55" i="2" s="1"/>
  <c r="O26" i="6"/>
  <c r="E29" i="2" s="1"/>
  <c r="O53" i="6"/>
  <c r="E56" i="2" s="1"/>
  <c r="O27" i="6"/>
  <c r="E30" i="2" s="1"/>
  <c r="O54" i="6"/>
  <c r="E57" i="2" s="1"/>
  <c r="O28" i="6"/>
  <c r="E31" i="2" s="1"/>
  <c r="O55" i="6"/>
  <c r="E58" i="2" s="1"/>
  <c r="O29" i="6"/>
  <c r="E32" i="2" s="1"/>
  <c r="O56" i="6"/>
  <c r="E59" i="2" s="1"/>
  <c r="O30" i="6"/>
  <c r="E33" i="2" s="1"/>
  <c r="O57" i="6"/>
  <c r="E60" i="2" s="1"/>
  <c r="O31" i="6"/>
  <c r="E34" i="2" s="1"/>
  <c r="Q19" i="6"/>
  <c r="O5" i="6"/>
  <c r="E8" i="2" s="1"/>
  <c r="O32" i="6"/>
  <c r="E35" i="2" s="1"/>
  <c r="O59" i="6"/>
  <c r="E62" i="2" s="1"/>
  <c r="O6" i="6"/>
  <c r="E9" i="2" s="1"/>
  <c r="O33" i="6"/>
  <c r="E36" i="2" s="1"/>
  <c r="O60" i="6"/>
  <c r="E63" i="2" s="1"/>
  <c r="O7" i="6"/>
  <c r="E10" i="2" s="1"/>
  <c r="O8" i="6"/>
  <c r="E11" i="2" s="1"/>
  <c r="O9" i="6"/>
  <c r="E12" i="2" s="1"/>
  <c r="O36" i="6"/>
  <c r="E39" i="2" s="1"/>
  <c r="Q21" i="6"/>
  <c r="Q22" i="6"/>
  <c r="Q45" i="6"/>
  <c r="G23" i="2"/>
  <c r="G48" i="2"/>
  <c r="G25" i="2"/>
  <c r="Q23" i="6"/>
  <c r="Q24" i="6"/>
  <c r="Q10" i="6"/>
  <c r="Q58" i="6"/>
  <c r="Q49" i="6"/>
  <c r="Q35" i="6"/>
  <c r="Q12" i="6"/>
  <c r="G9" i="2"/>
  <c r="G57" i="2"/>
  <c r="Q51" i="6"/>
  <c r="Q37" i="6"/>
  <c r="G10" i="2"/>
  <c r="G58" i="2"/>
  <c r="Q52" i="6"/>
  <c r="Q38" i="6"/>
  <c r="G11" i="2"/>
  <c r="G59" i="2"/>
  <c r="Q29" i="6"/>
  <c r="Q15" i="6"/>
  <c r="Q63" i="6"/>
  <c r="G36" i="2"/>
  <c r="Q30" i="6"/>
  <c r="Q40" i="6"/>
  <c r="G13" i="2"/>
  <c r="G61" i="2"/>
  <c r="Q41" i="6"/>
  <c r="O20" i="6"/>
  <c r="E23" i="2" s="1"/>
  <c r="Q18" i="6"/>
  <c r="Q42" i="6"/>
  <c r="Q66" i="6"/>
  <c r="O21" i="6"/>
  <c r="E24" i="2" s="1"/>
  <c r="G15" i="2"/>
  <c r="Q44" i="6"/>
  <c r="Q46" i="6"/>
  <c r="G47" i="2"/>
  <c r="G49" i="2"/>
  <c r="G29" i="2"/>
  <c r="Q47" i="6"/>
  <c r="Q48" i="6"/>
  <c r="Q34" i="6"/>
  <c r="Q25" i="6"/>
  <c r="Q11" i="6"/>
  <c r="Q59" i="6"/>
  <c r="Q50" i="6"/>
  <c r="Q36" i="6"/>
  <c r="Q60" i="6"/>
  <c r="Q27" i="6"/>
  <c r="Q13" i="6"/>
  <c r="Q61" i="6"/>
  <c r="G34" i="2"/>
  <c r="Q28" i="6"/>
  <c r="Q14" i="6"/>
  <c r="Q62" i="6"/>
  <c r="G35" i="2"/>
  <c r="Q5" i="6"/>
  <c r="Q53" i="6"/>
  <c r="Q39" i="6"/>
  <c r="G12" i="2"/>
  <c r="G60" i="2"/>
  <c r="Q16" i="6"/>
  <c r="Q64" i="6"/>
  <c r="G37" i="2"/>
  <c r="Q65" i="6"/>
  <c r="G38" i="2"/>
  <c r="Q43" i="6"/>
  <c r="G16" i="2"/>
  <c r="G40" i="2"/>
  <c r="G64" i="2"/>
  <c r="AJ10" i="13" l="1"/>
  <c r="AI10" i="13"/>
  <c r="AH10" i="13"/>
  <c r="AG10" i="13"/>
  <c r="AF10" i="13"/>
  <c r="AE10" i="13"/>
  <c r="AD10" i="13"/>
  <c r="AC10" i="13"/>
  <c r="AB10" i="13"/>
  <c r="AA10" i="13"/>
  <c r="Z10" i="13"/>
  <c r="Y10" i="13"/>
  <c r="X10" i="13"/>
  <c r="W10" i="13"/>
  <c r="V10" i="13"/>
  <c r="U10" i="13"/>
  <c r="T10" i="13"/>
  <c r="S10" i="13"/>
  <c r="S14" i="13" s="1"/>
  <c r="R10" i="13"/>
  <c r="R14" i="13" s="1"/>
  <c r="Q10" i="13"/>
  <c r="Q14" i="13" s="1"/>
  <c r="P10" i="13"/>
  <c r="P14" i="13" s="1"/>
  <c r="O10" i="13"/>
  <c r="O14" i="13" s="1"/>
  <c r="N10" i="13"/>
  <c r="N14" i="13" s="1"/>
  <c r="M10" i="13"/>
  <c r="M14" i="13" s="1"/>
  <c r="L10" i="13"/>
  <c r="K10" i="13"/>
  <c r="J10" i="13"/>
  <c r="I10" i="13"/>
  <c r="H10" i="13"/>
  <c r="G10" i="13"/>
  <c r="F10" i="13"/>
  <c r="E10" i="13"/>
  <c r="D10" i="13"/>
  <c r="AJ9" i="13"/>
  <c r="AJ8" i="13" s="1"/>
  <c r="AI9" i="13"/>
  <c r="AI8" i="13" s="1"/>
  <c r="AH9" i="13"/>
  <c r="AH8" i="13" s="1"/>
  <c r="AH11" i="13" s="1"/>
  <c r="AG9" i="13"/>
  <c r="AG8" i="13" s="1"/>
  <c r="AG11" i="13" s="1"/>
  <c r="AF9" i="13"/>
  <c r="AF8" i="13" s="1"/>
  <c r="AF11" i="13" s="1"/>
  <c r="AE9" i="13"/>
  <c r="AE8" i="13" s="1"/>
  <c r="AE11" i="13" s="1"/>
  <c r="AD9" i="13"/>
  <c r="AD8" i="13" s="1"/>
  <c r="AD11" i="13" s="1"/>
  <c r="AC9" i="13"/>
  <c r="AB9" i="13"/>
  <c r="AB8" i="13" s="1"/>
  <c r="AB11" i="13" s="1"/>
  <c r="AA9" i="13"/>
  <c r="AA8" i="13" s="1"/>
  <c r="AA11" i="13" s="1"/>
  <c r="Z9" i="13"/>
  <c r="Y9" i="13"/>
  <c r="X9" i="13"/>
  <c r="X8" i="13" s="1"/>
  <c r="X11" i="13" s="1"/>
  <c r="W9" i="13"/>
  <c r="W8" i="13" s="1"/>
  <c r="W11" i="13" s="1"/>
  <c r="V9" i="13"/>
  <c r="V8" i="13" s="1"/>
  <c r="V11" i="13" s="1"/>
  <c r="U9" i="13"/>
  <c r="T9" i="13"/>
  <c r="S9" i="13"/>
  <c r="R9" i="13"/>
  <c r="Q9" i="13"/>
  <c r="P9" i="13"/>
  <c r="O9" i="13"/>
  <c r="N9" i="13"/>
  <c r="M9" i="13"/>
  <c r="L9" i="13"/>
  <c r="L8" i="13" s="1"/>
  <c r="L11" i="13" s="1"/>
  <c r="K9" i="13"/>
  <c r="K8" i="13" s="1"/>
  <c r="K11" i="13" s="1"/>
  <c r="J9" i="13"/>
  <c r="J8" i="13" s="1"/>
  <c r="J11" i="13" s="1"/>
  <c r="I9" i="13"/>
  <c r="I8" i="13" s="1"/>
  <c r="I11" i="13" s="1"/>
  <c r="H9" i="13"/>
  <c r="H8" i="13" s="1"/>
  <c r="H11" i="13" s="1"/>
  <c r="G9" i="13"/>
  <c r="G8" i="13" s="1"/>
  <c r="G11" i="13" s="1"/>
  <c r="F9" i="13"/>
  <c r="F8" i="13" s="1"/>
  <c r="F11" i="13" s="1"/>
  <c r="E9" i="13"/>
  <c r="D9" i="13"/>
  <c r="D12" i="13" s="1"/>
  <c r="S69" i="5"/>
  <c r="R69" i="5"/>
  <c r="Q69" i="5"/>
  <c r="P69" i="5"/>
  <c r="S68" i="5"/>
  <c r="R68" i="5"/>
  <c r="Q68" i="5"/>
  <c r="P68" i="5"/>
  <c r="S67" i="5"/>
  <c r="R67" i="5"/>
  <c r="Q67" i="5"/>
  <c r="P67" i="5"/>
  <c r="S66" i="5"/>
  <c r="R66" i="5"/>
  <c r="Q66" i="5"/>
  <c r="P66" i="5"/>
  <c r="S65" i="5"/>
  <c r="R65" i="5"/>
  <c r="S64" i="5"/>
  <c r="R64" i="5"/>
  <c r="Q64" i="5"/>
  <c r="P64" i="5"/>
  <c r="S63" i="5"/>
  <c r="R63" i="5"/>
  <c r="Q63" i="5"/>
  <c r="P63" i="5"/>
  <c r="S62" i="5"/>
  <c r="R62" i="5"/>
  <c r="Q62" i="5"/>
  <c r="P62" i="5"/>
  <c r="S61" i="5"/>
  <c r="R61" i="5"/>
  <c r="Q61" i="5"/>
  <c r="P61" i="5"/>
  <c r="S60" i="5"/>
  <c r="S59" i="5"/>
  <c r="R59" i="5"/>
  <c r="Q59" i="5"/>
  <c r="P59" i="5"/>
  <c r="S58" i="5"/>
  <c r="R58" i="5"/>
  <c r="Q58" i="5"/>
  <c r="P58" i="5"/>
  <c r="S57" i="5"/>
  <c r="R57" i="5"/>
  <c r="Q57" i="5"/>
  <c r="P57" i="5"/>
  <c r="S56" i="5"/>
  <c r="R56" i="5"/>
  <c r="Q56" i="5"/>
  <c r="P56" i="5"/>
  <c r="T55" i="5"/>
  <c r="P55" i="5"/>
  <c r="S54" i="5"/>
  <c r="R54" i="5"/>
  <c r="Q54" i="5"/>
  <c r="P54" i="5"/>
  <c r="S53" i="5"/>
  <c r="R53" i="5"/>
  <c r="Q53" i="5"/>
  <c r="P53" i="5"/>
  <c r="S52" i="5"/>
  <c r="R52" i="5"/>
  <c r="Q52" i="5"/>
  <c r="P52" i="5"/>
  <c r="T51" i="5"/>
  <c r="S51" i="5"/>
  <c r="R51" i="5"/>
  <c r="Q51" i="5"/>
  <c r="P51" i="5"/>
  <c r="U51" i="5" s="1"/>
  <c r="W51" i="5" s="1"/>
  <c r="R50" i="5"/>
  <c r="P50" i="5"/>
  <c r="S49" i="5"/>
  <c r="R49" i="5"/>
  <c r="Q49" i="5"/>
  <c r="P49" i="5"/>
  <c r="S48" i="5"/>
  <c r="R48" i="5"/>
  <c r="Q48" i="5"/>
  <c r="P48" i="5"/>
  <c r="S47" i="5"/>
  <c r="R47" i="5"/>
  <c r="Q47" i="5"/>
  <c r="P47" i="5"/>
  <c r="S46" i="5"/>
  <c r="R46" i="5"/>
  <c r="Q46" i="5"/>
  <c r="S45" i="5"/>
  <c r="R45" i="5"/>
  <c r="Q45" i="5"/>
  <c r="P45" i="5"/>
  <c r="S44" i="5"/>
  <c r="R44" i="5"/>
  <c r="Q44" i="5"/>
  <c r="P44" i="5"/>
  <c r="S43" i="5"/>
  <c r="R43" i="5"/>
  <c r="Q43" i="5"/>
  <c r="P43" i="5"/>
  <c r="S42" i="5"/>
  <c r="R42" i="5"/>
  <c r="Q42" i="5"/>
  <c r="P42" i="5"/>
  <c r="S41" i="5"/>
  <c r="R41" i="5"/>
  <c r="S40" i="5"/>
  <c r="R40" i="5"/>
  <c r="Q40" i="5"/>
  <c r="P40" i="5"/>
  <c r="S39" i="5"/>
  <c r="R39" i="5"/>
  <c r="Q39" i="5"/>
  <c r="P39" i="5"/>
  <c r="S38" i="5"/>
  <c r="R38" i="5"/>
  <c r="Q38" i="5"/>
  <c r="P38" i="5"/>
  <c r="S37" i="5"/>
  <c r="R37" i="5"/>
  <c r="Q37" i="5"/>
  <c r="P37" i="5"/>
  <c r="T36" i="5"/>
  <c r="S36" i="5"/>
  <c r="S35" i="5"/>
  <c r="R35" i="5"/>
  <c r="Q35" i="5"/>
  <c r="P35" i="5"/>
  <c r="S34" i="5"/>
  <c r="R34" i="5"/>
  <c r="Q34" i="5"/>
  <c r="P34" i="5"/>
  <c r="S33" i="5"/>
  <c r="R33" i="5"/>
  <c r="Q33" i="5"/>
  <c r="P33" i="5"/>
  <c r="S32" i="5"/>
  <c r="R32" i="5"/>
  <c r="Q32" i="5"/>
  <c r="P32" i="5"/>
  <c r="T31" i="5"/>
  <c r="P31" i="5"/>
  <c r="S30" i="5"/>
  <c r="R30" i="5"/>
  <c r="Q30" i="5"/>
  <c r="P30" i="5"/>
  <c r="S29" i="5"/>
  <c r="R29" i="5"/>
  <c r="Q29" i="5"/>
  <c r="P29" i="5"/>
  <c r="S28" i="5"/>
  <c r="R28" i="5"/>
  <c r="Q28" i="5"/>
  <c r="P28" i="5"/>
  <c r="S27" i="5"/>
  <c r="R27" i="5"/>
  <c r="Q27" i="5"/>
  <c r="P27" i="5"/>
  <c r="R26" i="5"/>
  <c r="P26" i="5"/>
  <c r="S25" i="5"/>
  <c r="R25" i="5"/>
  <c r="Q25" i="5"/>
  <c r="P25" i="5"/>
  <c r="S24" i="5"/>
  <c r="R24" i="5"/>
  <c r="Q24" i="5"/>
  <c r="P24" i="5"/>
  <c r="S23" i="5"/>
  <c r="R23" i="5"/>
  <c r="Q23" i="5"/>
  <c r="P23" i="5"/>
  <c r="S22" i="5"/>
  <c r="R22" i="5"/>
  <c r="Q22" i="5"/>
  <c r="S21" i="5"/>
  <c r="R21" i="5"/>
  <c r="Q21" i="5"/>
  <c r="P21" i="5"/>
  <c r="S20" i="5"/>
  <c r="R20" i="5"/>
  <c r="Q20" i="5"/>
  <c r="P20" i="5"/>
  <c r="S19" i="5"/>
  <c r="R19" i="5"/>
  <c r="Q19" i="5"/>
  <c r="P19" i="5"/>
  <c r="S18" i="5"/>
  <c r="R18" i="5"/>
  <c r="Q18" i="5"/>
  <c r="P18" i="5"/>
  <c r="T17" i="5"/>
  <c r="S17" i="5"/>
  <c r="R17" i="5"/>
  <c r="S16" i="5"/>
  <c r="R16" i="5"/>
  <c r="Q16" i="5"/>
  <c r="P16" i="5"/>
  <c r="S15" i="5"/>
  <c r="R15" i="5"/>
  <c r="Q15" i="5"/>
  <c r="P15" i="5"/>
  <c r="S14" i="5"/>
  <c r="R14" i="5"/>
  <c r="Q14" i="5"/>
  <c r="P14" i="5"/>
  <c r="S13" i="5"/>
  <c r="R13" i="5"/>
  <c r="Q13" i="5"/>
  <c r="P13" i="5"/>
  <c r="T12" i="5"/>
  <c r="S12" i="5"/>
  <c r="S11" i="5"/>
  <c r="R11" i="5"/>
  <c r="Q11" i="5"/>
  <c r="P11" i="5"/>
  <c r="S10" i="5"/>
  <c r="R10" i="5"/>
  <c r="Q10" i="5"/>
  <c r="P10" i="5"/>
  <c r="Q9" i="5"/>
  <c r="S9" i="5"/>
  <c r="R9" i="5"/>
  <c r="P9" i="5"/>
  <c r="S8" i="5"/>
  <c r="R8" i="5"/>
  <c r="Q8" i="5"/>
  <c r="P8" i="5"/>
  <c r="F3" i="5"/>
  <c r="E3" i="5"/>
  <c r="S55" i="5" s="1"/>
  <c r="D3" i="5"/>
  <c r="R60" i="5" s="1"/>
  <c r="B3" i="5"/>
  <c r="P46" i="5" s="1"/>
  <c r="C3" i="5"/>
  <c r="Q65" i="5" s="1"/>
  <c r="Z14" i="13" l="1"/>
  <c r="AB14" i="13"/>
  <c r="F14" i="13"/>
  <c r="AD14" i="13"/>
  <c r="G14" i="13"/>
  <c r="AE14" i="13"/>
  <c r="T8" i="13"/>
  <c r="T11" i="13" s="1"/>
  <c r="T14" i="13"/>
  <c r="AA14" i="13"/>
  <c r="AC14" i="13"/>
  <c r="AF14" i="13"/>
  <c r="I14" i="13"/>
  <c r="AG14" i="13"/>
  <c r="W14" i="13"/>
  <c r="Y14" i="13"/>
  <c r="E14" i="13"/>
  <c r="H14" i="13"/>
  <c r="J14" i="13"/>
  <c r="AH14" i="13"/>
  <c r="V14" i="13"/>
  <c r="D13" i="13"/>
  <c r="D14" i="13"/>
  <c r="K14" i="13"/>
  <c r="AI14" i="13"/>
  <c r="U8" i="13"/>
  <c r="U11" i="13" s="1"/>
  <c r="V12" i="13" s="1"/>
  <c r="U14" i="13"/>
  <c r="X14" i="13"/>
  <c r="L14" i="13"/>
  <c r="Y51" i="5"/>
  <c r="X51" i="5"/>
  <c r="U43" i="5"/>
  <c r="W43" i="5" s="1"/>
  <c r="Y43" i="5" s="1"/>
  <c r="U24" i="5"/>
  <c r="U19" i="5"/>
  <c r="U46" i="5"/>
  <c r="W46" i="5" s="1"/>
  <c r="Y46" i="5" s="1"/>
  <c r="T50" i="5"/>
  <c r="T26" i="5"/>
  <c r="T40" i="5"/>
  <c r="U40" i="5" s="1"/>
  <c r="W40" i="5" s="1"/>
  <c r="Y40" i="5" s="1"/>
  <c r="T16" i="5"/>
  <c r="U16" i="5" s="1"/>
  <c r="T59" i="5"/>
  <c r="U59" i="5" s="1"/>
  <c r="W59" i="5" s="1"/>
  <c r="Y59" i="5" s="1"/>
  <c r="T35" i="5"/>
  <c r="U35" i="5" s="1"/>
  <c r="T11" i="5"/>
  <c r="U11" i="5" s="1"/>
  <c r="T54" i="5"/>
  <c r="U54" i="5" s="1"/>
  <c r="W54" i="5" s="1"/>
  <c r="T30" i="5"/>
  <c r="U30" i="5" s="1"/>
  <c r="T25" i="5"/>
  <c r="U25" i="5" s="1"/>
  <c r="T44" i="5"/>
  <c r="U44" i="5" s="1"/>
  <c r="W44" i="5" s="1"/>
  <c r="Y44" i="5" s="1"/>
  <c r="T63" i="5"/>
  <c r="U63" i="5" s="1"/>
  <c r="W63" i="5" s="1"/>
  <c r="Y63" i="5" s="1"/>
  <c r="T10" i="5"/>
  <c r="U10" i="5" s="1"/>
  <c r="T29" i="5"/>
  <c r="T24" i="5"/>
  <c r="T43" i="5"/>
  <c r="T38" i="5"/>
  <c r="U38" i="5" s="1"/>
  <c r="W38" i="5" s="1"/>
  <c r="Y38" i="5" s="1"/>
  <c r="T33" i="5"/>
  <c r="U33" i="5" s="1"/>
  <c r="T52" i="5"/>
  <c r="U52" i="5" s="1"/>
  <c r="W52" i="5" s="1"/>
  <c r="T28" i="5"/>
  <c r="T9" i="5"/>
  <c r="U9" i="5" s="1"/>
  <c r="T23" i="5"/>
  <c r="T66" i="5"/>
  <c r="U66" i="5" s="1"/>
  <c r="W66" i="5" s="1"/>
  <c r="T18" i="5"/>
  <c r="T37" i="5"/>
  <c r="U37" i="5" s="1"/>
  <c r="T13" i="5"/>
  <c r="U13" i="5" s="1"/>
  <c r="T32" i="5"/>
  <c r="U32" i="5" s="1"/>
  <c r="T8" i="5"/>
  <c r="U8" i="5" s="1"/>
  <c r="T69" i="5"/>
  <c r="U69" i="5" s="1"/>
  <c r="W69" i="5" s="1"/>
  <c r="T45" i="5"/>
  <c r="U45" i="5" s="1"/>
  <c r="W45" i="5" s="1"/>
  <c r="Y45" i="5" s="1"/>
  <c r="T21" i="5"/>
  <c r="U21" i="5" s="1"/>
  <c r="T64" i="5"/>
  <c r="U64" i="5" s="1"/>
  <c r="W64" i="5" s="1"/>
  <c r="Y64" i="5" s="1"/>
  <c r="T49" i="5"/>
  <c r="T68" i="5"/>
  <c r="U68" i="5" s="1"/>
  <c r="W68" i="5" s="1"/>
  <c r="Y68" i="5" s="1"/>
  <c r="T20" i="5"/>
  <c r="U20" i="5" s="1"/>
  <c r="T39" i="5"/>
  <c r="U39" i="5" s="1"/>
  <c r="W39" i="5" s="1"/>
  <c r="Y39" i="5" s="1"/>
  <c r="T15" i="5"/>
  <c r="U15" i="5" s="1"/>
  <c r="T58" i="5"/>
  <c r="U58" i="5" s="1"/>
  <c r="W58" i="5" s="1"/>
  <c r="Y58" i="5" s="1"/>
  <c r="T34" i="5"/>
  <c r="U34" i="5" s="1"/>
  <c r="T53" i="5"/>
  <c r="T48" i="5"/>
  <c r="T67" i="5"/>
  <c r="T19" i="5"/>
  <c r="T62" i="5"/>
  <c r="U62" i="5" s="1"/>
  <c r="W62" i="5" s="1"/>
  <c r="Y62" i="5" s="1"/>
  <c r="T14" i="5"/>
  <c r="U14" i="5" s="1"/>
  <c r="T57" i="5"/>
  <c r="U57" i="5" s="1"/>
  <c r="W57" i="5" s="1"/>
  <c r="Y57" i="5" s="1"/>
  <c r="T47" i="5"/>
  <c r="T42" i="5"/>
  <c r="T61" i="5"/>
  <c r="U61" i="5" s="1"/>
  <c r="W61" i="5" s="1"/>
  <c r="T56" i="5"/>
  <c r="U56" i="5" s="1"/>
  <c r="W56" i="5" s="1"/>
  <c r="U53" i="5"/>
  <c r="W53" i="5" s="1"/>
  <c r="U47" i="5"/>
  <c r="W47" i="5" s="1"/>
  <c r="Y47" i="5" s="1"/>
  <c r="T60" i="5"/>
  <c r="U67" i="5"/>
  <c r="W67" i="5" s="1"/>
  <c r="Y67" i="5" s="1"/>
  <c r="T41" i="5"/>
  <c r="U42" i="5"/>
  <c r="W42" i="5" s="1"/>
  <c r="Y42" i="5" s="1"/>
  <c r="U49" i="5"/>
  <c r="W49" i="5" s="1"/>
  <c r="U18" i="5"/>
  <c r="U31" i="5"/>
  <c r="T65" i="5"/>
  <c r="T46" i="5"/>
  <c r="T27" i="5"/>
  <c r="U27" i="5" s="1"/>
  <c r="U28" i="5"/>
  <c r="U48" i="5"/>
  <c r="W48" i="5" s="1"/>
  <c r="T22" i="5"/>
  <c r="U29" i="5"/>
  <c r="U23" i="5"/>
  <c r="Q31" i="5"/>
  <c r="Q55" i="5"/>
  <c r="U55" i="5" s="1"/>
  <c r="W55" i="5" s="1"/>
  <c r="P60" i="5"/>
  <c r="Q12" i="5"/>
  <c r="P17" i="5"/>
  <c r="U17" i="5" s="1"/>
  <c r="S26" i="5"/>
  <c r="R31" i="5"/>
  <c r="Q36" i="5"/>
  <c r="P41" i="5"/>
  <c r="U41" i="5" s="1"/>
  <c r="W41" i="5" s="1"/>
  <c r="Y41" i="5" s="1"/>
  <c r="S50" i="5"/>
  <c r="R55" i="5"/>
  <c r="Q60" i="5"/>
  <c r="P65" i="5"/>
  <c r="Q26" i="5"/>
  <c r="Q50" i="5"/>
  <c r="P12" i="5"/>
  <c r="P36" i="5"/>
  <c r="R12" i="5"/>
  <c r="Q17" i="5"/>
  <c r="P22" i="5"/>
  <c r="S31" i="5"/>
  <c r="R36" i="5"/>
  <c r="Q41" i="5"/>
  <c r="X57" i="5"/>
  <c r="X58" i="5"/>
  <c r="X59" i="5"/>
  <c r="X38" i="5"/>
  <c r="X62" i="5"/>
  <c r="X63" i="5"/>
  <c r="X43" i="5"/>
  <c r="X46" i="5"/>
  <c r="Y8" i="13"/>
  <c r="Y11" i="13" s="1"/>
  <c r="Y12" i="13" s="1"/>
  <c r="Z8" i="13"/>
  <c r="Z11" i="13" s="1"/>
  <c r="Z12" i="13" s="1"/>
  <c r="M8" i="13"/>
  <c r="M11" i="13" s="1"/>
  <c r="M13" i="13" s="1"/>
  <c r="N8" i="13"/>
  <c r="N11" i="13" s="1"/>
  <c r="O8" i="13"/>
  <c r="O11" i="13" s="1"/>
  <c r="O12" i="13" s="1"/>
  <c r="U12" i="13"/>
  <c r="E8" i="13"/>
  <c r="E11" i="13" s="1"/>
  <c r="F12" i="13" s="1"/>
  <c r="AC8" i="13"/>
  <c r="AC11" i="13" s="1"/>
  <c r="AD12" i="13" s="1"/>
  <c r="P8" i="13"/>
  <c r="P11" i="13" s="1"/>
  <c r="Q8" i="13"/>
  <c r="Q11" i="13" s="1"/>
  <c r="Q13" i="13" s="1"/>
  <c r="D8" i="13"/>
  <c r="D11" i="13" s="1"/>
  <c r="AH13" i="13" s="1"/>
  <c r="R8" i="13"/>
  <c r="R11" i="13" s="1"/>
  <c r="S8" i="13"/>
  <c r="S11" i="13" s="1"/>
  <c r="G12" i="13"/>
  <c r="AE12" i="13"/>
  <c r="H12" i="13"/>
  <c r="AF12" i="13"/>
  <c r="I12" i="13"/>
  <c r="AG12" i="13"/>
  <c r="J12" i="13"/>
  <c r="AH12" i="13"/>
  <c r="K12" i="13"/>
  <c r="L12" i="13"/>
  <c r="N12" i="13"/>
  <c r="AC12" i="13"/>
  <c r="S12" i="13"/>
  <c r="AB12" i="13"/>
  <c r="W12" i="13"/>
  <c r="X12" i="13"/>
  <c r="V13" i="13" l="1"/>
  <c r="U13" i="13"/>
  <c r="AC13" i="13"/>
  <c r="AA12" i="13"/>
  <c r="F13" i="13"/>
  <c r="AF13" i="13"/>
  <c r="M12" i="13"/>
  <c r="O13" i="13"/>
  <c r="T13" i="13"/>
  <c r="AD13" i="13"/>
  <c r="E12" i="13"/>
  <c r="I13" i="13"/>
  <c r="G13" i="13"/>
  <c r="R13" i="13"/>
  <c r="Q12" i="13"/>
  <c r="P13" i="13"/>
  <c r="H13" i="13"/>
  <c r="AE13" i="13"/>
  <c r="S13" i="13"/>
  <c r="R12" i="13"/>
  <c r="Y54" i="5"/>
  <c r="X54" i="5"/>
  <c r="Y56" i="5"/>
  <c r="X56" i="5"/>
  <c r="Y61" i="5"/>
  <c r="X61" i="5"/>
  <c r="Y66" i="5"/>
  <c r="X66" i="5"/>
  <c r="Y55" i="5"/>
  <c r="X55" i="5"/>
  <c r="Y52" i="5"/>
  <c r="X52" i="5"/>
  <c r="X39" i="5"/>
  <c r="Y69" i="5"/>
  <c r="X69" i="5"/>
  <c r="Y53" i="5"/>
  <c r="X53" i="5"/>
  <c r="U22" i="5"/>
  <c r="Y48" i="5"/>
  <c r="X48" i="5"/>
  <c r="X44" i="5"/>
  <c r="X67" i="5"/>
  <c r="U12" i="5"/>
  <c r="X42" i="5"/>
  <c r="X41" i="5"/>
  <c r="Y49" i="5"/>
  <c r="X49" i="5"/>
  <c r="U60" i="5"/>
  <c r="W60" i="5" s="1"/>
  <c r="X47" i="5"/>
  <c r="X45" i="5"/>
  <c r="X68" i="5"/>
  <c r="U36" i="5"/>
  <c r="U50" i="5"/>
  <c r="W50" i="5" s="1"/>
  <c r="U26" i="5"/>
  <c r="U65" i="5"/>
  <c r="W65" i="5" s="1"/>
  <c r="X64" i="5"/>
  <c r="X40" i="5"/>
  <c r="P12" i="13"/>
  <c r="E13" i="13"/>
  <c r="AB13" i="13"/>
  <c r="X13" i="13"/>
  <c r="J13" i="13"/>
  <c r="Y13" i="13"/>
  <c r="T12" i="13"/>
  <c r="AG13" i="13"/>
  <c r="N13" i="13"/>
  <c r="L13" i="13"/>
  <c r="AA13" i="13"/>
  <c r="W13" i="13"/>
  <c r="K13" i="13"/>
  <c r="Z13" i="13"/>
  <c r="Y50" i="5" l="1"/>
  <c r="Y36" i="5" s="1"/>
  <c r="X50" i="5"/>
  <c r="X36" i="5" s="1"/>
  <c r="Y60" i="5"/>
  <c r="X60" i="5"/>
  <c r="Y65" i="5"/>
  <c r="X65" i="5"/>
</calcChain>
</file>

<file path=xl/sharedStrings.xml><?xml version="1.0" encoding="utf-8"?>
<sst xmlns="http://schemas.openxmlformats.org/spreadsheetml/2006/main" count="3810" uniqueCount="485">
  <si>
    <t>Data release date: June 2023</t>
  </si>
  <si>
    <t>https://www.eia.gov/consumption/residential/data/2020/index.php?view=consumption#by%20End%20uses%20by%20fuel</t>
  </si>
  <si>
    <t>Table CE4.2  Annual household site end-use consumption by fuel in the Northeast—totals, 2020</t>
  </si>
  <si>
    <t>Number of housing units (million)</t>
  </si>
  <si>
    <r>
      <t>Total site energy consumption</t>
    </r>
    <r>
      <rPr>
        <b/>
        <vertAlign val="superscript"/>
        <sz val="10"/>
        <color theme="1"/>
        <rFont val="Calibri"/>
        <family val="2"/>
        <scheme val="minor"/>
      </rPr>
      <t xml:space="preserve">a
</t>
    </r>
    <r>
      <rPr>
        <b/>
        <sz val="10"/>
        <color theme="1"/>
        <rFont val="Calibri"/>
        <family val="2"/>
        <scheme val="minor"/>
      </rPr>
      <t>(trillion Btu)</t>
    </r>
  </si>
  <si>
    <t>Electricity</t>
  </si>
  <si>
    <t>Natural gas</t>
  </si>
  <si>
    <t>Propane</t>
  </si>
  <si>
    <t xml:space="preserve">Fuel oil or kerosene </t>
  </si>
  <si>
    <t>All Fossil</t>
  </si>
  <si>
    <t>Total</t>
  </si>
  <si>
    <t>Electric %</t>
  </si>
  <si>
    <r>
      <t>Total North-east</t>
    </r>
    <r>
      <rPr>
        <b/>
        <vertAlign val="superscript"/>
        <sz val="10"/>
        <color theme="1"/>
        <rFont val="Calibri"/>
        <family val="2"/>
        <scheme val="minor"/>
      </rPr>
      <t>b</t>
    </r>
  </si>
  <si>
    <r>
      <t>Space heating</t>
    </r>
    <r>
      <rPr>
        <b/>
        <vertAlign val="superscript"/>
        <sz val="10"/>
        <color theme="1"/>
        <rFont val="Calibri"/>
        <family val="2"/>
        <scheme val="minor"/>
      </rPr>
      <t>c</t>
    </r>
  </si>
  <si>
    <t>Water heating</t>
  </si>
  <si>
    <t>Air condi-tioning</t>
  </si>
  <si>
    <t>Refrig-erators</t>
  </si>
  <si>
    <r>
      <t>Other</t>
    </r>
    <r>
      <rPr>
        <b/>
        <vertAlign val="superscript"/>
        <sz val="10"/>
        <color theme="1"/>
        <rFont val="Calibri"/>
        <family val="2"/>
        <scheme val="minor"/>
      </rPr>
      <t>d</t>
    </r>
  </si>
  <si>
    <t>Space heating</t>
  </si>
  <si>
    <t>Other</t>
  </si>
  <si>
    <t>All homes</t>
  </si>
  <si>
    <t>Census division</t>
  </si>
  <si>
    <t>New England</t>
  </si>
  <si>
    <t>Middle Atlantic</t>
  </si>
  <si>
    <r>
      <t>Census urban/rural classification</t>
    </r>
    <r>
      <rPr>
        <b/>
        <vertAlign val="superscript"/>
        <sz val="10"/>
        <color theme="1"/>
        <rFont val="Calibri"/>
        <family val="2"/>
        <scheme val="minor"/>
      </rPr>
      <t>e</t>
    </r>
  </si>
  <si>
    <t/>
  </si>
  <si>
    <t>Urban</t>
  </si>
  <si>
    <t>Urbanized area</t>
  </si>
  <si>
    <t>Urban cluster</t>
  </si>
  <si>
    <t>*</t>
  </si>
  <si>
    <t>Q</t>
  </si>
  <si>
    <t>Rural</t>
  </si>
  <si>
    <r>
      <t>Climate region</t>
    </r>
    <r>
      <rPr>
        <b/>
        <vertAlign val="superscript"/>
        <sz val="10"/>
        <color theme="1"/>
        <rFont val="Calibri"/>
        <family val="2"/>
        <scheme val="minor"/>
      </rPr>
      <t>f</t>
    </r>
  </si>
  <si>
    <t>Very cold and Cold</t>
  </si>
  <si>
    <t>Mixed-humid</t>
  </si>
  <si>
    <t>Mixed-dry and Hot-dry</t>
  </si>
  <si>
    <t>N</t>
  </si>
  <si>
    <t>Hot-humid</t>
  </si>
  <si>
    <t>Marine</t>
  </si>
  <si>
    <t>Housing unit type</t>
  </si>
  <si>
    <t>Single-family detached</t>
  </si>
  <si>
    <t>Single-family attached</t>
  </si>
  <si>
    <r>
      <t>Apartments in buildings with 2</t>
    </r>
    <r>
      <rPr>
        <sz val="10"/>
        <color theme="1"/>
        <rFont val="Calibri"/>
        <family val="2"/>
      </rPr>
      <t>–</t>
    </r>
    <r>
      <rPr>
        <sz val="10"/>
        <color theme="1"/>
        <rFont val="Calibri"/>
        <family val="2"/>
        <scheme val="minor"/>
      </rPr>
      <t>4 units</t>
    </r>
  </si>
  <si>
    <t>Apartments in buildings with 5 or more units</t>
  </si>
  <si>
    <t>Mobile homes</t>
  </si>
  <si>
    <t>Ownership of housing unit</t>
  </si>
  <si>
    <t>Owned</t>
  </si>
  <si>
    <t>Single-family</t>
  </si>
  <si>
    <t>Apartments</t>
  </si>
  <si>
    <r>
      <t>Rented</t>
    </r>
    <r>
      <rPr>
        <vertAlign val="superscript"/>
        <sz val="10"/>
        <color theme="1"/>
        <rFont val="Calibri"/>
        <family val="2"/>
        <scheme val="minor"/>
      </rPr>
      <t>g</t>
    </r>
  </si>
  <si>
    <t>Year of construction</t>
  </si>
  <si>
    <t>Before 1950</t>
  </si>
  <si>
    <t>1950 to 1959</t>
  </si>
  <si>
    <t>1960 to 1969</t>
  </si>
  <si>
    <t>1970 to 1979</t>
  </si>
  <si>
    <t>1980 to 1989</t>
  </si>
  <si>
    <t>1990 to 1999</t>
  </si>
  <si>
    <t>2000 to 2009</t>
  </si>
  <si>
    <t>2010 to 2015</t>
  </si>
  <si>
    <t>2016 to 2020</t>
  </si>
  <si>
    <r>
      <t>Total square footage</t>
    </r>
    <r>
      <rPr>
        <b/>
        <vertAlign val="superscript"/>
        <sz val="10"/>
        <color theme="1"/>
        <rFont val="Calibri"/>
        <family val="2"/>
        <scheme val="minor"/>
      </rPr>
      <t>h</t>
    </r>
  </si>
  <si>
    <t>Less than 1,000</t>
  </si>
  <si>
    <t>1,000 to 1,499</t>
  </si>
  <si>
    <t>1,500 to 1,999</t>
  </si>
  <si>
    <t>2,000 to 2,499</t>
  </si>
  <si>
    <t>2,500 to 2,999</t>
  </si>
  <si>
    <t>3,000 or more</t>
  </si>
  <si>
    <t>Number of household members</t>
  </si>
  <si>
    <t>1 member</t>
  </si>
  <si>
    <t>2 members</t>
  </si>
  <si>
    <t>3 members</t>
  </si>
  <si>
    <t>4 members</t>
  </si>
  <si>
    <t>5 members</t>
  </si>
  <si>
    <t>6 or more members</t>
  </si>
  <si>
    <t>2020 annual household income</t>
  </si>
  <si>
    <t>Less than $5,000</t>
  </si>
  <si>
    <t>$5,000 to $9,999</t>
  </si>
  <si>
    <t>$10,000 to $19,999</t>
  </si>
  <si>
    <t>$20,000 to $39,999</t>
  </si>
  <si>
    <t>$40,000 to $59,999</t>
  </si>
  <si>
    <t>$60,000 to $99,999</t>
  </si>
  <si>
    <t>$100,000 to $149,999</t>
  </si>
  <si>
    <t>$150,000 or more</t>
  </si>
  <si>
    <t>Payment method for energy bills</t>
  </si>
  <si>
    <t>All paid by household</t>
  </si>
  <si>
    <t>Some paid by household, some included in rent or condo fee</t>
  </si>
  <si>
    <t>All included in rent or condo fee</t>
  </si>
  <si>
    <t>Some other method</t>
  </si>
  <si>
    <t>Main heating fuel</t>
  </si>
  <si>
    <t>Fuel oil or kerosene</t>
  </si>
  <si>
    <t>Wood</t>
  </si>
  <si>
    <r>
      <t>Some other fuel</t>
    </r>
    <r>
      <rPr>
        <vertAlign val="superscript"/>
        <sz val="10"/>
        <color theme="1"/>
        <rFont val="Calibri"/>
        <family val="2"/>
        <scheme val="minor"/>
      </rPr>
      <t>i</t>
    </r>
  </si>
  <si>
    <t>Does not use heating equipment</t>
  </si>
  <si>
    <r>
      <t xml:space="preserve">Data source: U.S. Energy Information Administration, Office of Energy Consumption and Efficiency Statistics, Forms EIA-457A, D, E, F, G of the </t>
    </r>
    <r>
      <rPr>
        <i/>
        <sz val="9"/>
        <color theme="1"/>
        <rFont val="Calibri"/>
        <family val="2"/>
        <scheme val="minor"/>
      </rPr>
      <t xml:space="preserve">2020 Residential Energy Consumption Survey
</t>
    </r>
    <r>
      <rPr>
        <sz val="9"/>
        <color theme="1"/>
        <rFont val="Calibri"/>
        <family val="2"/>
        <scheme val="minor"/>
      </rPr>
      <t xml:space="preserve">Notes:  Because of rounding, data may not sum to totals.  See RECS Terminology for definition of terms used in these tables.
Btu = British thermal units
</t>
    </r>
    <r>
      <rPr>
        <vertAlign val="superscript"/>
        <sz val="9"/>
        <color theme="1"/>
        <rFont val="Calibri"/>
        <family val="2"/>
        <scheme val="minor"/>
      </rPr>
      <t xml:space="preserve">a </t>
    </r>
    <r>
      <rPr>
        <sz val="9"/>
        <color theme="1"/>
        <rFont val="Calibri"/>
        <family val="2"/>
        <scheme val="minor"/>
      </rPr>
      <t xml:space="preserve">Consumption and expenditures for biomass (wood), coal, district steam, and solar thermal are excluded. Electricity consumption from on-site solar photovoltaic generation (that is, solar panels) is included. </t>
    </r>
    <r>
      <rPr>
        <vertAlign val="superscript"/>
        <sz val="9"/>
        <color theme="1"/>
        <rFont val="Calibri"/>
        <family val="2"/>
        <scheme val="minor"/>
      </rPr>
      <t xml:space="preserve">
b </t>
    </r>
    <r>
      <rPr>
        <i/>
        <sz val="9"/>
        <color theme="1"/>
        <rFont val="Calibri"/>
        <family val="2"/>
        <scheme val="minor"/>
      </rPr>
      <t>Total Northeast</t>
    </r>
    <r>
      <rPr>
        <sz val="9"/>
        <color theme="1"/>
        <rFont val="Calibri"/>
        <family val="2"/>
        <scheme val="minor"/>
      </rPr>
      <t xml:space="preserve"> includes all primary occupied housing units in the Northeast Census Region. Vacant housing units, seasonal units, second homes, military houses, and group quarters are excluded.
</t>
    </r>
    <r>
      <rPr>
        <vertAlign val="superscript"/>
        <sz val="9"/>
        <color theme="1"/>
        <rFont val="Calibri"/>
        <family val="2"/>
        <scheme val="minor"/>
      </rPr>
      <t xml:space="preserve">c </t>
    </r>
    <r>
      <rPr>
        <sz val="9"/>
        <color theme="1"/>
        <rFont val="Calibri"/>
        <family val="2"/>
        <scheme val="minor"/>
      </rPr>
      <t xml:space="preserve">Includes main (primary) and secondary space heating.
</t>
    </r>
    <r>
      <rPr>
        <vertAlign val="superscript"/>
        <sz val="9"/>
        <color theme="1"/>
        <rFont val="Calibri"/>
        <family val="2"/>
        <scheme val="minor"/>
      </rPr>
      <t xml:space="preserve">d </t>
    </r>
    <r>
      <rPr>
        <sz val="9"/>
        <color theme="1"/>
        <rFont val="Calibri"/>
        <family val="2"/>
        <scheme val="minor"/>
      </rPr>
      <t xml:space="preserve">Includes end uses not shown in this table. A more detailed breakout of end uses is shown in the </t>
    </r>
    <r>
      <rPr>
        <i/>
        <sz val="9"/>
        <color theme="1"/>
        <rFont val="Calibri"/>
        <family val="2"/>
        <scheme val="minor"/>
      </rPr>
      <t>CE5</t>
    </r>
    <r>
      <rPr>
        <sz val="9"/>
        <color theme="1"/>
        <rFont val="Calibri"/>
        <family val="2"/>
        <scheme val="minor"/>
      </rPr>
      <t xml:space="preserve"> tables.
</t>
    </r>
    <r>
      <rPr>
        <vertAlign val="superscript"/>
        <sz val="9"/>
        <color theme="1"/>
        <rFont val="Calibri"/>
        <family val="2"/>
        <scheme val="minor"/>
      </rPr>
      <t xml:space="preserve">e </t>
    </r>
    <r>
      <rPr>
        <sz val="9"/>
        <color theme="1"/>
        <rFont val="Calibri"/>
        <family val="2"/>
        <scheme val="minor"/>
      </rPr>
      <t xml:space="preserve">Housing units are classified using criteria created by the U.S. Census Bureau based on 2010 Census data. Urbanized areas are densely settled groupings of blocks or tracts with 50,000 or more people. Urban clusters have at least 2,500 but less than 50,000 people. All other areas are rural.
</t>
    </r>
    <r>
      <rPr>
        <vertAlign val="superscript"/>
        <sz val="9"/>
        <color theme="1"/>
        <rFont val="Calibri"/>
        <family val="2"/>
        <scheme val="minor"/>
      </rPr>
      <t xml:space="preserve">f </t>
    </r>
    <r>
      <rPr>
        <sz val="9"/>
        <color theme="1"/>
        <rFont val="Calibri"/>
        <family val="2"/>
        <scheme val="minor"/>
      </rPr>
      <t xml:space="preserve">The Building America program, sponsored by the U.S. Department of Energy’s Office of Energy Efficiency and Renewable Energy (EERE), created these climate regions. We combined climate regions for this publication. The Subarctic region is included with data for </t>
    </r>
    <r>
      <rPr>
        <i/>
        <sz val="9"/>
        <color theme="1"/>
        <rFont val="Calibri"/>
        <family val="2"/>
        <scheme val="minor"/>
      </rPr>
      <t>Very-cold and Cold</t>
    </r>
    <r>
      <rPr>
        <sz val="9"/>
        <color theme="1"/>
        <rFont val="Calibri"/>
        <family val="2"/>
        <scheme val="minor"/>
      </rPr>
      <t xml:space="preserve">.   
</t>
    </r>
    <r>
      <rPr>
        <vertAlign val="superscript"/>
        <sz val="9"/>
        <color theme="1"/>
        <rFont val="Calibri"/>
        <family val="2"/>
        <scheme val="minor"/>
      </rPr>
      <t>g</t>
    </r>
    <r>
      <rPr>
        <i/>
        <vertAlign val="superscript"/>
        <sz val="9"/>
        <color theme="1"/>
        <rFont val="Calibri"/>
        <family val="2"/>
        <scheme val="minor"/>
      </rPr>
      <t xml:space="preserve"> </t>
    </r>
    <r>
      <rPr>
        <i/>
        <sz val="9"/>
        <color theme="1"/>
        <rFont val="Calibri"/>
        <family val="2"/>
        <scheme val="minor"/>
      </rPr>
      <t>Rented</t>
    </r>
    <r>
      <rPr>
        <sz val="9"/>
        <color theme="1"/>
        <rFont val="Calibri"/>
        <family val="2"/>
        <scheme val="minor"/>
      </rPr>
      <t xml:space="preserve"> includes households that occupy their primary housing units without paying rent.  
</t>
    </r>
    <r>
      <rPr>
        <vertAlign val="superscript"/>
        <sz val="9"/>
        <color theme="1"/>
        <rFont val="Calibri"/>
        <family val="2"/>
        <scheme val="minor"/>
      </rPr>
      <t xml:space="preserve">h </t>
    </r>
    <r>
      <rPr>
        <i/>
        <sz val="9"/>
        <color theme="1"/>
        <rFont val="Calibri"/>
        <family val="2"/>
        <scheme val="minor"/>
      </rPr>
      <t>Total square footage</t>
    </r>
    <r>
      <rPr>
        <sz val="9"/>
        <color theme="1"/>
        <rFont val="Calibri"/>
        <family val="2"/>
        <scheme val="minor"/>
      </rPr>
      <t xml:space="preserve"> includes all basements, finished or conditioned (heated or cooled) areas of attics, and conditioned garage space that is attached to the home. Unconditioned and unfinished areas in attics and attached garages are excluded. The square footage of the home is based on respondent reports. Previous RECS cycles calculated square footage based on interviewer measurements. For households that did not report an exact square footage estimate, the square footage of the home was imputed based on a reported square footage range and/or characteristics of the home. See </t>
    </r>
    <r>
      <rPr>
        <i/>
        <sz val="9"/>
        <color theme="1"/>
        <rFont val="Calibri"/>
        <family val="2"/>
        <scheme val="minor"/>
      </rPr>
      <t>2020 RECS Square Footage Methodology</t>
    </r>
    <r>
      <rPr>
        <sz val="9"/>
        <color theme="1"/>
        <rFont val="Calibri"/>
        <family val="2"/>
        <scheme val="minor"/>
      </rPr>
      <t xml:space="preserve"> for full details about data collection and processing.
</t>
    </r>
    <r>
      <rPr>
        <vertAlign val="superscript"/>
        <sz val="9"/>
        <color theme="1"/>
        <rFont val="Calibri"/>
        <family val="2"/>
        <scheme val="minor"/>
      </rPr>
      <t>i</t>
    </r>
    <r>
      <rPr>
        <sz val="9"/>
        <color theme="1"/>
        <rFont val="Calibri"/>
        <family val="2"/>
        <scheme val="minor"/>
      </rPr>
      <t xml:space="preserve"> </t>
    </r>
    <r>
      <rPr>
        <i/>
        <sz val="9"/>
        <color theme="1"/>
        <rFont val="Calibri"/>
        <family val="2"/>
        <scheme val="minor"/>
      </rPr>
      <t>Some other fuel</t>
    </r>
    <r>
      <rPr>
        <sz val="9"/>
        <color theme="1"/>
        <rFont val="Calibri"/>
        <family val="2"/>
        <scheme val="minor"/>
      </rPr>
      <t xml:space="preserve"> includes coal and district steam.
Q = Data withheld because either the relative standard error (RSE) was greater than 50% or fewer than 10 households in reporting sample.
N = No households in reporting sample.      
* = Estimate is less than 0.5 and rounds to zero.    </t>
    </r>
  </si>
  <si>
    <t>RESIDENTIAL CO2E Emissions extracted from GHG Inventory</t>
  </si>
  <si>
    <t xml:space="preserve">Appendix C: Massachusetts Annual Greenhouse Gas Emissions Inventory: 1990-2020, with Partial 2021 &amp; 2022 Data </t>
  </si>
  <si>
    <t>Partial Data</t>
  </si>
  <si>
    <t>https://www.mass.gov/lists/massdep-emissions-inventories</t>
  </si>
  <si>
    <t>https://www.mass.gov/doc/appendix-c-massachusetts-annual-greenhouse-gas-emissions-inventory-1990-2020-with-partial-2021-2022-data/download</t>
  </si>
  <si>
    <t>Emissions (MMTCO2E)</t>
  </si>
  <si>
    <r>
      <t>Residential CO</t>
    </r>
    <r>
      <rPr>
        <b/>
        <vertAlign val="subscript"/>
        <sz val="8"/>
        <rFont val="Comic Sans MS"/>
        <family val="4"/>
      </rPr>
      <t>2</t>
    </r>
    <r>
      <rPr>
        <b/>
        <sz val="8"/>
        <rFont val="Comic Sans MS"/>
        <family val="4"/>
      </rPr>
      <t>e from Fuel Combustion</t>
    </r>
  </si>
  <si>
    <r>
      <t>Residential CO</t>
    </r>
    <r>
      <rPr>
        <vertAlign val="subscript"/>
        <sz val="8"/>
        <rFont val="Comic Sans MS"/>
        <family val="4"/>
      </rPr>
      <t>2</t>
    </r>
  </si>
  <si>
    <t>Residential Other Gases</t>
  </si>
  <si>
    <t>Residential Heating and Cooling Total</t>
  </si>
  <si>
    <t>% Change from previous year</t>
  </si>
  <si>
    <t>% Change from 1990</t>
  </si>
  <si>
    <t>Transposed for graph</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</si>
  <si>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</si>
  <si>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</si>
  <si>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</si>
  <si>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</si>
  <si>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</si>
  <si>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</si>
  <si>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</si>
  <si>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</si>
  <si>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</si>
  <si>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</si>
  <si>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</si>
  <si>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</si>
  <si>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</si>
  <si>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</si>
  <si>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</si>
  <si>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Coefficients</t>
  </si>
  <si>
    <t>t Stat</t>
  </si>
  <si>
    <t>P-value</t>
  </si>
  <si>
    <t>Lower 95%</t>
  </si>
  <si>
    <t>Upper 95%</t>
  </si>
  <si>
    <t>Lower 95.0%</t>
  </si>
  <si>
    <t>Upper 95.0%</t>
  </si>
  <si>
    <t>Intercept</t>
  </si>
  <si>
    <t>X Variable 1</t>
  </si>
  <si>
    <t>RESIDUAL OUTPUT</t>
  </si>
  <si>
    <t>Observation</t>
  </si>
  <si>
    <t>Predicted Y</t>
  </si>
  <si>
    <t>Residuals</t>
  </si>
  <si>
    <t>https://www.eia.gov/state/seds/data.php?incfile=/state/seds/sep_use/res/use_res_MA.html&amp;sid=MA</t>
  </si>
  <si>
    <t>https://www.eia.gov/environment/emissions/co2_vol_mass.php</t>
  </si>
  <si>
    <t>Kg/CO2 per unit</t>
  </si>
  <si>
    <t>Table CT4. Residential Sector Energy Consumption Estimates, 1960-2021, Massachusetts</t>
  </si>
  <si>
    <t xml:space="preserve">
Year</t>
  </si>
  <si>
    <r>
      <t xml:space="preserve">
Coal </t>
    </r>
    <r>
      <rPr>
        <b/>
        <vertAlign val="superscript"/>
        <sz val="11"/>
        <color theme="1"/>
        <rFont val="Calibri"/>
        <family val="2"/>
        <scheme val="minor"/>
      </rPr>
      <t>a</t>
    </r>
  </si>
  <si>
    <r>
      <t xml:space="preserve">
Natural
Gas </t>
    </r>
    <r>
      <rPr>
        <b/>
        <vertAlign val="superscript"/>
        <sz val="11"/>
        <color theme="1"/>
        <rFont val="Calibri"/>
        <family val="2"/>
        <scheme val="minor"/>
      </rPr>
      <t>b</t>
    </r>
  </si>
  <si>
    <t>Petroleum</t>
  </si>
  <si>
    <t>Biomass</t>
  </si>
  <si>
    <r>
      <t xml:space="preserve">
Geothermal </t>
    </r>
    <r>
      <rPr>
        <b/>
        <vertAlign val="superscript"/>
        <sz val="11"/>
        <color theme="1"/>
        <rFont val="Calibri"/>
        <family val="2"/>
        <scheme val="minor"/>
      </rPr>
      <t>e</t>
    </r>
  </si>
  <si>
    <r>
      <t xml:space="preserve">
Solar </t>
    </r>
    <r>
      <rPr>
        <b/>
        <vertAlign val="superscript"/>
        <sz val="11"/>
        <color theme="1"/>
        <rFont val="Calibri"/>
        <family val="2"/>
        <scheme val="minor"/>
      </rPr>
      <t>e,f</t>
    </r>
  </si>
  <si>
    <r>
      <t xml:space="preserve">
Electricity </t>
    </r>
    <r>
      <rPr>
        <b/>
        <vertAlign val="superscript"/>
        <sz val="11"/>
        <color theme="1"/>
        <rFont val="Calibri"/>
        <family val="2"/>
        <scheme val="minor"/>
      </rPr>
      <t>g</t>
    </r>
  </si>
  <si>
    <r>
      <t xml:space="preserve">
End
Use </t>
    </r>
    <r>
      <rPr>
        <b/>
        <vertAlign val="superscript"/>
        <sz val="11"/>
        <color theme="1"/>
        <rFont val="Calibri"/>
        <family val="2"/>
        <scheme val="minor"/>
      </rPr>
      <t>e,h</t>
    </r>
  </si>
  <si>
    <r>
      <t xml:space="preserve">
Electrical
System
Energy
Losses </t>
    </r>
    <r>
      <rPr>
        <b/>
        <vertAlign val="superscript"/>
        <sz val="11"/>
        <color theme="1"/>
        <rFont val="Calibri"/>
        <family val="2"/>
        <scheme val="minor"/>
      </rPr>
      <t>i</t>
    </r>
  </si>
  <si>
    <r>
      <t xml:space="preserve">
Total </t>
    </r>
    <r>
      <rPr>
        <b/>
        <vertAlign val="superscript"/>
        <sz val="11"/>
        <color theme="1"/>
        <rFont val="Calibri"/>
        <family val="2"/>
        <scheme val="minor"/>
      </rPr>
      <t>e,h</t>
    </r>
  </si>
  <si>
    <t>Distillate
Fuel Oil</t>
  </si>
  <si>
    <r>
      <t xml:space="preserve">
HGL </t>
    </r>
    <r>
      <rPr>
        <b/>
        <vertAlign val="superscript"/>
        <sz val="11"/>
        <color theme="1"/>
        <rFont val="Calibri"/>
        <family val="2"/>
        <scheme val="minor"/>
      </rPr>
      <t>c</t>
    </r>
  </si>
  <si>
    <t xml:space="preserve">
Kerosene</t>
  </si>
  <si>
    <r>
      <t xml:space="preserve">
Wood </t>
    </r>
    <r>
      <rPr>
        <b/>
        <vertAlign val="superscript"/>
        <sz val="11"/>
        <color theme="1"/>
        <rFont val="Calibri"/>
        <family val="2"/>
        <scheme val="minor"/>
      </rPr>
      <t>d</t>
    </r>
  </si>
  <si>
    <t>MTCO2 COMPUTATION FROM QUANTITIES</t>
  </si>
  <si>
    <t>Thousand
Short Tons</t>
  </si>
  <si>
    <t>Billion
Cubic Feet</t>
  </si>
  <si>
    <t xml:space="preserve">
Thousand Barrels</t>
  </si>
  <si>
    <t>Million
Kilowatthours</t>
  </si>
  <si>
    <t>Coal</t>
  </si>
  <si>
    <t>Fuel oil</t>
  </si>
  <si>
    <t>Kerosene</t>
  </si>
  <si>
    <t xml:space="preserve">Total CO2e from Residential Fossil Combustion in Massachusetts (MMTCO2e) </t>
  </si>
  <si>
    <t>– –</t>
  </si>
  <si>
    <t>COMPARISON TO EMISSIONS INVENTORY</t>
  </si>
  <si>
    <t>Trillion Btu</t>
  </si>
  <si>
    <t>Year</t>
  </si>
  <si>
    <t xml:space="preserve">Coal </t>
  </si>
  <si>
    <t>Natural Gas</t>
  </si>
  <si>
    <t xml:space="preserve">
Total</t>
  </si>
  <si>
    <t>Fossil BTU</t>
  </si>
  <si>
    <t xml:space="preserve">Wood </t>
  </si>
  <si>
    <t>Geothermal</t>
  </si>
  <si>
    <t>Solar</t>
  </si>
  <si>
    <t>Renewables</t>
  </si>
  <si>
    <t>Delivered Electricity</t>
  </si>
  <si>
    <t>End Use</t>
  </si>
  <si>
    <t>Fossile use computed as total end use less Renewables and Delivered Electricity</t>
  </si>
  <si>
    <t>Electrical System Energy Losses i</t>
  </si>
  <si>
    <t>Total End Use plus losses</t>
  </si>
  <si>
    <t>&lt;a href='https://www.macrotrends.net/states/massachusetts/population'&gt;Massachusetts Population 1900-2022&lt;/a&gt;. www.macrotrends.net. Retrieved 2023-06-22.</t>
  </si>
  <si>
    <t>Spot checked to census source</t>
  </si>
  <si>
    <t>MMBTU per Capita in Residential Sector</t>
  </si>
  <si>
    <t xml:space="preserve"> Population</t>
  </si>
  <si>
    <t>Change</t>
  </si>
  <si>
    <t>Fossil</t>
  </si>
  <si>
    <t>Electric</t>
  </si>
  <si>
    <t>Renewable</t>
  </si>
  <si>
    <t>Sum of HDD 59</t>
  </si>
  <si>
    <t>Sum of HDD 71</t>
  </si>
  <si>
    <t>Description:</t>
  </si>
  <si>
    <t>Fahrenheit-based heating degree days with base temperatures at and around 65 F</t>
  </si>
  <si>
    <t>Source:</t>
  </si>
  <si>
    <t>www.degreedays.net</t>
  </si>
  <si>
    <t>Accuracy:</t>
  </si>
  <si>
    <t>Estimates were made to account for missing data: the "% Estimated" column shows how much each figure was affected (0% is best, 100% is worst)</t>
  </si>
  <si>
    <t>Station:</t>
  </si>
  <si>
    <t>Boston, MA, US (71.00W,42.36N)</t>
  </si>
  <si>
    <t>Station ID:</t>
  </si>
  <si>
    <t>KBOS</t>
  </si>
  <si>
    <t>(Column titles show the base temperature in Fahrenheit)</t>
  </si>
  <si>
    <t>(KBOS + KBED )/2</t>
  </si>
  <si>
    <t>Month starting</t>
  </si>
  <si>
    <t>HDD 59</t>
  </si>
  <si>
    <t>HDD 60</t>
  </si>
  <si>
    <t>HDD 61</t>
  </si>
  <si>
    <t>HDD 62</t>
  </si>
  <si>
    <t>HDD 63</t>
  </si>
  <si>
    <t>HDD 64</t>
  </si>
  <si>
    <t>HDD 65</t>
  </si>
  <si>
    <t>HDD 71</t>
  </si>
  <si>
    <t>Row Labels</t>
  </si>
  <si>
    <t>Sum of HDD 65</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</si>
  <si>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</si>
  <si>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</si>
  <si>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</si>
  <si>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</si>
  <si>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</si>
  <si>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</si>
  <si>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</si>
  <si>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</si>
  <si>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</si>
  <si>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</si>
  <si>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</si>
  <si>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</si>
  <si>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</si>
  <si>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</si>
  <si>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</si>
  <si>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</si>
  <si>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</si>
  <si>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</si>
  <si>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</si>
  <si>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</si>
  <si>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</si>
  <si>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</si>
  <si>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</si>
  <si>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</si>
  <si>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Grand Total</t>
  </si>
  <si>
    <t>Gas</t>
  </si>
  <si>
    <t>Year Built</t>
  </si>
  <si>
    <t>Unit Category</t>
  </si>
  <si>
    <t>1: Pre-1950</t>
  </si>
  <si>
    <t>2: 1950-1979</t>
  </si>
  <si>
    <t>3: 1980-1999</t>
  </si>
  <si>
    <t>4: Post-2000</t>
  </si>
  <si>
    <t>1: Single</t>
  </si>
  <si>
    <t>2: Small Multi-Family (2-4)</t>
  </si>
  <si>
    <t>3: Large multi-family (5-19)</t>
  </si>
  <si>
    <t>4: Apartment Buildings (Over 20)</t>
  </si>
  <si>
    <t>Vintage vs Units</t>
  </si>
  <si>
    <t>TOTAL UNITS</t>
  </si>
  <si>
    <t>TOTAL</t>
  </si>
  <si>
    <t>Total Square Footage</t>
  </si>
  <si>
    <t>Vintage Category</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</si>
  <si>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</si>
  <si>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</si>
  <si>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</si>
  <si>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</si>
  <si>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</si>
  <si>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</si>
  <si>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</si>
  <si>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</si>
  <si>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</si>
  <si>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</si>
  <si>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</si>
  <si>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</si>
  <si>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</si>
  <si>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</si>
  <si>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</si>
  <si>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</si>
  <si>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</si>
  <si>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</si>
  <si>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</si>
  <si>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</si>
  <si>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</si>
  <si>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</si>
  <si>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</si>
  <si>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</si>
  <si>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</si>
  <si>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</si>
  <si>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</si>
  <si>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</si>
  <si>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</si>
  <si>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</si>
  <si>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</si>
  <si>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</si>
  <si>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</si>
  <si>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</si>
  <si>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</si>
  <si>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</si>
  <si>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</si>
  <si>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</si>
  <si>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</si>
  <si>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</si>
  <si>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</si>
  <si>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</si>
  <si>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</si>
  <si>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</si>
  <si>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</si>
  <si>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</si>
  <si>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</si>
  <si>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</si>
  <si>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</si>
  <si>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</si>
  <si>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</si>
  <si>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All Residential</t>
  </si>
  <si>
    <t>All Vintages</t>
  </si>
  <si>
    <t>Historal Square Footage from Assessors DB</t>
  </si>
  <si>
    <t>Small Residential (1-4 units)</t>
  </si>
  <si>
    <t>Large Residential (&gt;4 units)</t>
  </si>
  <si>
    <t>Total Energy Use -- TBTU</t>
  </si>
  <si>
    <t>First Comparison -- Direct Regression</t>
  </si>
  <si>
    <t>Built Square Footage by Vintage and Size</t>
  </si>
  <si>
    <t>Actual kbtu/ sqkft</t>
  </si>
  <si>
    <t>Actual/Predicted -1</t>
  </si>
  <si>
    <t>Logan HDD</t>
  </si>
  <si>
    <t>https://experience.arcgis.com/experience/cbf6875974554a74823232f84f563253?src=%E2%80%B9%20Consumption%20%20%20%20%20%20Residential%20Energy%20Consumption%20Survey%20(RECS)-f1</t>
  </si>
  <si>
    <t>kbtu/sqft</t>
  </si>
  <si>
    <t>BSTR Predicted kbtu/sqft</t>
  </si>
  <si>
    <t>RECS Predict KBTU/SQt</t>
  </si>
  <si>
    <t>Compare Historic publications of the EIA: https://www.eia.gov/consumption/residential/archive/DOE%20EIA-0482.pdf</t>
  </si>
  <si>
    <t>https://archives.lib.state.ma.us/bitstream/handle/2452/849652/ocm34335379.pdf?sequence=1&amp;isAllowed=y</t>
  </si>
  <si>
    <t>End Use Check sum*</t>
  </si>
  <si>
    <t>https://www.eia.gov/naturalgas/annual/archive/1994/0131942.pdf</t>
  </si>
  <si>
    <t>* Note H to the online chart, applicable to the end use total states:</t>
  </si>
  <si>
    <t>Supplemental gaseous fuels are defined as: Supplemental gaseous fuels supplies: Synthetic natural gas, propane‐air, coke oven gas, refinery gas, biomass
gas, or air injected for British thermal unit stabilization. It also refers to manufactured gas commingled and
distributed with natural gas.</t>
  </si>
  <si>
    <t>EIA Natural gas monthly glossary: https://www.eia.gov/naturalgas/monthly/pdf/glossary.pdf</t>
  </si>
  <si>
    <t>This is further explailned in the SEDS notes at page 24:</t>
  </si>
  <si>
    <t>Natural gas consumption contains a small amount of supplemental
gaseous fuels (SGF). These fuels are introduced into or commingled with
natural gas, and increase the volume available for disposition. Such fuels
include, but are not limited to: synthetic natural gas, propane-air, coke
oven gas, refinery gas, biomass gas, air injected for Btu stabilization, and
manufactured gas. Because SGF are mostly derived from fossil fuels,
which are already accounted for, SEDS removes them from total energy
consumption in Btu (see Sections 6 and 7) to eliminate double counting.</t>
  </si>
  <si>
    <t>https://www.eia.gov/state/seds/sep_use/notes/use_natgas.pdf</t>
  </si>
  <si>
    <t>https://www.eia.gov/naturalgas/monthly/pdf/table_01.pdf</t>
  </si>
  <si>
    <t xml:space="preserve">Supplemental gas is negligible for our purposes -- a </t>
  </si>
  <si>
    <t>Approximately 0.2% nationally</t>
  </si>
  <si>
    <t>Natural Gas Annual -- Archive</t>
  </si>
  <si>
    <t>Supplemental Gas Supplies by State: 1980-1994</t>
  </si>
  <si>
    <t>Massachusetts (million cubic feet)</t>
  </si>
  <si>
    <t>Natural</t>
  </si>
  <si>
    <r>
      <t xml:space="preserve">Gas </t>
    </r>
    <r>
      <rPr>
        <b/>
        <vertAlign val="superscript"/>
        <sz val="11"/>
        <color theme="1"/>
        <rFont val="Calibri"/>
        <family val="2"/>
        <scheme val="minor"/>
      </rPr>
      <t>a</t>
    </r>
  </si>
  <si>
    <t>Hydro-</t>
  </si>
  <si>
    <t>electric</t>
  </si>
  <si>
    <r>
      <t xml:space="preserve">Power </t>
    </r>
    <r>
      <rPr>
        <b/>
        <vertAlign val="superscript"/>
        <sz val="11"/>
        <color theme="1"/>
        <rFont val="Calibri"/>
        <family val="2"/>
        <scheme val="minor"/>
      </rPr>
      <t>g,h</t>
    </r>
  </si>
  <si>
    <t>Geo-</t>
  </si>
  <si>
    <r>
      <t xml:space="preserve">thermal </t>
    </r>
    <r>
      <rPr>
        <b/>
        <vertAlign val="superscript"/>
        <sz val="11"/>
        <color theme="1"/>
        <rFont val="Calibri"/>
        <family val="2"/>
        <scheme val="minor"/>
      </rPr>
      <t>h</t>
    </r>
  </si>
  <si>
    <r>
      <t xml:space="preserve">Solar </t>
    </r>
    <r>
      <rPr>
        <b/>
        <vertAlign val="superscript"/>
        <sz val="11"/>
        <color theme="1"/>
        <rFont val="Calibri"/>
        <family val="2"/>
        <scheme val="minor"/>
      </rPr>
      <t>h,k</t>
    </r>
  </si>
  <si>
    <r>
      <t xml:space="preserve">Electricity </t>
    </r>
    <r>
      <rPr>
        <b/>
        <vertAlign val="superscript"/>
        <sz val="11"/>
        <color theme="1"/>
        <rFont val="Calibri"/>
        <family val="2"/>
        <scheme val="minor"/>
      </rPr>
      <t>l</t>
    </r>
  </si>
  <si>
    <r>
      <t xml:space="preserve">End Use </t>
    </r>
    <r>
      <rPr>
        <b/>
        <vertAlign val="superscript"/>
        <sz val="11"/>
        <color theme="1"/>
        <rFont val="Calibri"/>
        <family val="2"/>
        <scheme val="minor"/>
      </rPr>
      <t>h,m</t>
    </r>
  </si>
  <si>
    <t>Electrical</t>
  </si>
  <si>
    <t>System</t>
  </si>
  <si>
    <t>Energy</t>
  </si>
  <si>
    <r>
      <t xml:space="preserve">Losses </t>
    </r>
    <r>
      <rPr>
        <b/>
        <vertAlign val="superscript"/>
        <sz val="11"/>
        <color theme="1"/>
        <rFont val="Calibri"/>
        <family val="2"/>
        <scheme val="minor"/>
      </rPr>
      <t>n</t>
    </r>
  </si>
  <si>
    <r>
      <t xml:space="preserve">Total </t>
    </r>
    <r>
      <rPr>
        <b/>
        <vertAlign val="superscript"/>
        <sz val="11"/>
        <color theme="1"/>
        <rFont val="Calibri"/>
        <family val="2"/>
        <scheme val="minor"/>
      </rPr>
      <t>h,m</t>
    </r>
  </si>
  <si>
    <t>Distillate</t>
  </si>
  <si>
    <r>
      <t xml:space="preserve">Fuel Oil </t>
    </r>
    <r>
      <rPr>
        <b/>
        <vertAlign val="superscript"/>
        <sz val="11"/>
        <color theme="1"/>
        <rFont val="Calibri"/>
        <family val="2"/>
        <scheme val="minor"/>
      </rPr>
      <t>b</t>
    </r>
  </si>
  <si>
    <r>
      <t xml:space="preserve">HGL </t>
    </r>
    <r>
      <rPr>
        <b/>
        <vertAlign val="superscript"/>
        <sz val="11"/>
        <color theme="1"/>
        <rFont val="Calibri"/>
        <family val="2"/>
        <scheme val="minor"/>
      </rPr>
      <t>c</t>
    </r>
  </si>
  <si>
    <t>Jet</t>
  </si>
  <si>
    <r>
      <t xml:space="preserve">Fuel </t>
    </r>
    <r>
      <rPr>
        <b/>
        <vertAlign val="superscript"/>
        <sz val="11"/>
        <color theme="1"/>
        <rFont val="Calibri"/>
        <family val="2"/>
        <scheme val="minor"/>
      </rPr>
      <t>d</t>
    </r>
  </si>
  <si>
    <t>Motor</t>
  </si>
  <si>
    <r>
      <t xml:space="preserve">Gasoline </t>
    </r>
    <r>
      <rPr>
        <b/>
        <vertAlign val="superscript"/>
        <sz val="11"/>
        <color theme="1"/>
        <rFont val="Calibri"/>
        <family val="2"/>
        <scheme val="minor"/>
      </rPr>
      <t>e</t>
    </r>
  </si>
  <si>
    <t>Fuel Oil</t>
  </si>
  <si>
    <r>
      <t xml:space="preserve">Other </t>
    </r>
    <r>
      <rPr>
        <b/>
        <vertAlign val="superscript"/>
        <sz val="11"/>
        <color theme="1"/>
        <rFont val="Calibri"/>
        <family val="2"/>
        <scheme val="minor"/>
      </rPr>
      <t>f</t>
    </r>
  </si>
  <si>
    <t>and</t>
  </si>
  <si>
    <r>
      <t xml:space="preserve">Waste </t>
    </r>
    <r>
      <rPr>
        <b/>
        <vertAlign val="superscript"/>
        <sz val="11"/>
        <color theme="1"/>
        <rFont val="Calibri"/>
        <family val="2"/>
        <scheme val="minor"/>
      </rPr>
      <t>h,i</t>
    </r>
  </si>
  <si>
    <t>Losses</t>
  </si>
  <si>
    <t>and Co-</t>
  </si>
  <si>
    <r>
      <t xml:space="preserve">products </t>
    </r>
    <r>
      <rPr>
        <b/>
        <vertAlign val="superscript"/>
        <sz val="11"/>
        <color theme="1"/>
        <rFont val="Calibri"/>
        <family val="2"/>
        <scheme val="minor"/>
      </rPr>
      <t>j</t>
    </r>
  </si>
  <si>
    <t>Thousand</t>
  </si>
  <si>
    <t>Short Tons</t>
  </si>
  <si>
    <t>Billion</t>
  </si>
  <si>
    <t>Cubic Feet</t>
  </si>
  <si>
    <t>Thousand Barrels</t>
  </si>
  <si>
    <t>Million</t>
  </si>
  <si>
    <t>Kilowatt-</t>
  </si>
  <si>
    <t>hours</t>
  </si>
  <si>
    <t>(s)</t>
  </si>
  <si>
    <t>[R ]</t>
  </si>
  <si>
    <t>Table CT3. Total End-Use Sector Energy Consumption Estimates, Selected Years, 1960-2021, Massachusetts</t>
  </si>
  <si>
    <t>Table CT5. Commercial Sector Energy Consumption Estimates, 1960-2021, Massachusetts</t>
  </si>
  <si>
    <r>
      <t xml:space="preserve">Power </t>
    </r>
    <r>
      <rPr>
        <b/>
        <vertAlign val="superscript"/>
        <sz val="11"/>
        <color theme="1"/>
        <rFont val="Calibri"/>
        <family val="2"/>
        <scheme val="minor"/>
      </rPr>
      <t>e,f</t>
    </r>
  </si>
  <si>
    <r>
      <t xml:space="preserve">Geothermal </t>
    </r>
    <r>
      <rPr>
        <b/>
        <vertAlign val="superscript"/>
        <sz val="11"/>
        <color theme="1"/>
        <rFont val="Calibri"/>
        <family val="2"/>
        <scheme val="minor"/>
      </rPr>
      <t>f</t>
    </r>
  </si>
  <si>
    <r>
      <t xml:space="preserve">Solar </t>
    </r>
    <r>
      <rPr>
        <b/>
        <vertAlign val="superscript"/>
        <sz val="11"/>
        <color theme="1"/>
        <rFont val="Calibri"/>
        <family val="2"/>
        <scheme val="minor"/>
      </rPr>
      <t>f,h</t>
    </r>
  </si>
  <si>
    <r>
      <t xml:space="preserve">Electricity </t>
    </r>
    <r>
      <rPr>
        <b/>
        <vertAlign val="superscript"/>
        <sz val="11"/>
        <color theme="1"/>
        <rFont val="Calibri"/>
        <family val="2"/>
        <scheme val="minor"/>
      </rPr>
      <t>i</t>
    </r>
  </si>
  <si>
    <t>End</t>
  </si>
  <si>
    <r>
      <t xml:space="preserve">Use </t>
    </r>
    <r>
      <rPr>
        <b/>
        <vertAlign val="superscript"/>
        <sz val="11"/>
        <color theme="1"/>
        <rFont val="Calibri"/>
        <family val="2"/>
        <scheme val="minor"/>
      </rPr>
      <t>f,j</t>
    </r>
  </si>
  <si>
    <r>
      <t xml:space="preserve">Losses </t>
    </r>
    <r>
      <rPr>
        <b/>
        <vertAlign val="superscript"/>
        <sz val="11"/>
        <color theme="1"/>
        <rFont val="Calibri"/>
        <family val="2"/>
        <scheme val="minor"/>
      </rPr>
      <t>k</t>
    </r>
  </si>
  <si>
    <r>
      <t xml:space="preserve">Total </t>
    </r>
    <r>
      <rPr>
        <b/>
        <vertAlign val="superscript"/>
        <sz val="11"/>
        <color theme="1"/>
        <rFont val="Calibri"/>
        <family val="2"/>
        <scheme val="minor"/>
      </rPr>
      <t>f,j</t>
    </r>
  </si>
  <si>
    <r>
      <t xml:space="preserve">HGL </t>
    </r>
    <r>
      <rPr>
        <b/>
        <vertAlign val="superscript"/>
        <sz val="11"/>
        <color theme="1"/>
        <rFont val="Calibri"/>
        <family val="2"/>
        <scheme val="minor"/>
      </rPr>
      <t>b</t>
    </r>
  </si>
  <si>
    <r>
      <t xml:space="preserve">Gasoline </t>
    </r>
    <r>
      <rPr>
        <b/>
        <vertAlign val="superscript"/>
        <sz val="11"/>
        <color theme="1"/>
        <rFont val="Calibri"/>
        <family val="2"/>
        <scheme val="minor"/>
      </rPr>
      <t>c</t>
    </r>
  </si>
  <si>
    <r>
      <t xml:space="preserve">Total </t>
    </r>
    <r>
      <rPr>
        <b/>
        <vertAlign val="superscript"/>
        <sz val="11"/>
        <color theme="1"/>
        <rFont val="Calibri"/>
        <family val="2"/>
        <scheme val="minor"/>
      </rPr>
      <t>d</t>
    </r>
  </si>
  <si>
    <r>
      <t xml:space="preserve">Waste </t>
    </r>
    <r>
      <rPr>
        <b/>
        <vertAlign val="superscript"/>
        <sz val="11"/>
        <color theme="1"/>
        <rFont val="Calibri"/>
        <family val="2"/>
        <scheme val="minor"/>
      </rPr>
      <t>f,g</t>
    </r>
  </si>
  <si>
    <t>Kilowatthours</t>
  </si>
  <si>
    <t>NA</t>
  </si>
  <si>
    <r>
      <t>(s)</t>
    </r>
    <r>
      <rPr>
        <vertAlign val="superscript"/>
        <sz val="11"/>
        <color theme="1"/>
        <rFont val="Calibri"/>
        <family val="2"/>
        <scheme val="minor"/>
      </rPr>
      <t xml:space="preserve">R </t>
    </r>
  </si>
  <si>
    <t>Table CT7. Transportation Sector Energy Consumption Estimates, 1960-2021, Massachusetts</t>
  </si>
  <si>
    <r>
      <t xml:space="preserve">Electricity </t>
    </r>
    <r>
      <rPr>
        <b/>
        <vertAlign val="superscript"/>
        <sz val="11"/>
        <color theme="1"/>
        <rFont val="Calibri"/>
        <family val="2"/>
        <scheme val="minor"/>
      </rPr>
      <t>f</t>
    </r>
  </si>
  <si>
    <r>
      <t xml:space="preserve">Use </t>
    </r>
    <r>
      <rPr>
        <b/>
        <vertAlign val="superscript"/>
        <sz val="11"/>
        <color theme="1"/>
        <rFont val="Calibri"/>
        <family val="2"/>
        <scheme val="minor"/>
      </rPr>
      <t>g,h</t>
    </r>
  </si>
  <si>
    <r>
      <t xml:space="preserve">Losses </t>
    </r>
    <r>
      <rPr>
        <b/>
        <vertAlign val="superscript"/>
        <sz val="11"/>
        <color theme="1"/>
        <rFont val="Calibri"/>
        <family val="2"/>
        <scheme val="minor"/>
      </rPr>
      <t>i</t>
    </r>
  </si>
  <si>
    <r>
      <t xml:space="preserve">Total </t>
    </r>
    <r>
      <rPr>
        <b/>
        <vertAlign val="superscript"/>
        <sz val="11"/>
        <color theme="1"/>
        <rFont val="Calibri"/>
        <family val="2"/>
        <scheme val="minor"/>
      </rPr>
      <t>g,h</t>
    </r>
  </si>
  <si>
    <t>Aviation</t>
  </si>
  <si>
    <t>Gasoline</t>
  </si>
  <si>
    <t>Lubricants</t>
  </si>
  <si>
    <t>Table CT6. Industrial Sector Energy Consumption Estimates, 1960-2021, Massachusetts</t>
  </si>
  <si>
    <r>
      <t xml:space="preserve">thermal </t>
    </r>
    <r>
      <rPr>
        <b/>
        <vertAlign val="superscript"/>
        <sz val="11"/>
        <color theme="1"/>
        <rFont val="Calibri"/>
        <family val="2"/>
        <scheme val="minor"/>
      </rPr>
      <t>f</t>
    </r>
  </si>
  <si>
    <r>
      <t xml:space="preserve">Solar </t>
    </r>
    <r>
      <rPr>
        <b/>
        <vertAlign val="superscript"/>
        <sz val="11"/>
        <color theme="1"/>
        <rFont val="Calibri"/>
        <family val="2"/>
        <scheme val="minor"/>
      </rPr>
      <t>f,i</t>
    </r>
  </si>
  <si>
    <r>
      <t xml:space="preserve">Electricity </t>
    </r>
    <r>
      <rPr>
        <b/>
        <vertAlign val="superscript"/>
        <sz val="11"/>
        <color theme="1"/>
        <rFont val="Calibri"/>
        <family val="2"/>
        <scheme val="minor"/>
      </rPr>
      <t>j</t>
    </r>
  </si>
  <si>
    <r>
      <t xml:space="preserve">Use </t>
    </r>
    <r>
      <rPr>
        <b/>
        <vertAlign val="superscript"/>
        <sz val="11"/>
        <color theme="1"/>
        <rFont val="Calibri"/>
        <family val="2"/>
        <scheme val="minor"/>
      </rPr>
      <t>f,k</t>
    </r>
  </si>
  <si>
    <r>
      <t xml:space="preserve">Losses </t>
    </r>
    <r>
      <rPr>
        <b/>
        <vertAlign val="superscript"/>
        <sz val="11"/>
        <color theme="1"/>
        <rFont val="Calibri"/>
        <family val="2"/>
        <scheme val="minor"/>
      </rPr>
      <t>l</t>
    </r>
  </si>
  <si>
    <r>
      <t xml:space="preserve">Total </t>
    </r>
    <r>
      <rPr>
        <b/>
        <vertAlign val="superscript"/>
        <sz val="11"/>
        <color theme="1"/>
        <rFont val="Calibri"/>
        <family val="2"/>
        <scheme val="minor"/>
      </rPr>
      <t>f,k</t>
    </r>
  </si>
  <si>
    <r>
      <t xml:space="preserve">Other </t>
    </r>
    <r>
      <rPr>
        <b/>
        <vertAlign val="superscript"/>
        <sz val="11"/>
        <color theme="1"/>
        <rFont val="Calibri"/>
        <family val="2"/>
        <scheme val="minor"/>
      </rPr>
      <t>d</t>
    </r>
  </si>
  <si>
    <t>Wood and</t>
  </si>
  <si>
    <r>
      <t xml:space="preserve">products </t>
    </r>
    <r>
      <rPr>
        <b/>
        <vertAlign val="superscript"/>
        <sz val="11"/>
        <color theme="1"/>
        <rFont val="Calibri"/>
        <family val="2"/>
        <scheme val="minor"/>
      </rPr>
      <t>h</t>
    </r>
  </si>
  <si>
    <t>kWh</t>
  </si>
  <si>
    <r>
      <t xml:space="preserve">R </t>
    </r>
    <r>
      <rPr>
        <sz val="11"/>
        <color theme="1"/>
        <rFont val="Calibri"/>
        <family val="2"/>
        <scheme val="minor"/>
      </rPr>
      <t>(s)</t>
    </r>
  </si>
  <si>
    <t>Table CT8. Electric Power Sector Consumption Estimates, 1960-2021, Massachusetts</t>
  </si>
  <si>
    <t>Nuclear</t>
  </si>
  <si>
    <t>Power</t>
  </si>
  <si>
    <t>Hydroelectric</t>
  </si>
  <si>
    <r>
      <t xml:space="preserve">Power </t>
    </r>
    <r>
      <rPr>
        <b/>
        <vertAlign val="superscript"/>
        <sz val="11"/>
        <color theme="1"/>
        <rFont val="Calibri"/>
        <family val="2"/>
        <scheme val="minor"/>
      </rPr>
      <t>d</t>
    </r>
  </si>
  <si>
    <r>
      <t xml:space="preserve">Solar </t>
    </r>
    <r>
      <rPr>
        <b/>
        <vertAlign val="superscript"/>
        <sz val="11"/>
        <color theme="1"/>
        <rFont val="Calibri"/>
        <family val="2"/>
        <scheme val="minor"/>
      </rPr>
      <t>f,g</t>
    </r>
  </si>
  <si>
    <r>
      <t xml:space="preserve">Wind </t>
    </r>
    <r>
      <rPr>
        <b/>
        <vertAlign val="superscript"/>
        <sz val="11"/>
        <color theme="1"/>
        <rFont val="Calibri"/>
        <family val="2"/>
        <scheme val="minor"/>
      </rPr>
      <t>f</t>
    </r>
  </si>
  <si>
    <t>Net</t>
  </si>
  <si>
    <r>
      <t xml:space="preserve">Imports </t>
    </r>
    <r>
      <rPr>
        <b/>
        <vertAlign val="superscript"/>
        <sz val="11"/>
        <color theme="1"/>
        <rFont val="Calibri"/>
        <family val="2"/>
        <scheme val="minor"/>
      </rPr>
      <t>h</t>
    </r>
  </si>
  <si>
    <r>
      <t xml:space="preserve">Total </t>
    </r>
    <r>
      <rPr>
        <b/>
        <vertAlign val="superscript"/>
        <sz val="11"/>
        <color theme="1"/>
        <rFont val="Calibri"/>
        <family val="2"/>
        <scheme val="minor"/>
      </rPr>
      <t xml:space="preserve">f,i </t>
    </r>
  </si>
  <si>
    <t>Coke</t>
  </si>
  <si>
    <r>
      <t xml:space="preserve">Fuel Oil </t>
    </r>
    <r>
      <rPr>
        <b/>
        <vertAlign val="superscript"/>
        <sz val="11"/>
        <color theme="1"/>
        <rFont val="Calibri"/>
        <family val="2"/>
        <scheme val="minor"/>
      </rPr>
      <t>c</t>
    </r>
  </si>
  <si>
    <r>
      <t xml:space="preserve">Waste </t>
    </r>
    <r>
      <rPr>
        <b/>
        <vertAlign val="superscript"/>
        <sz val="11"/>
        <color theme="1"/>
        <rFont val="Calibri"/>
        <family val="2"/>
        <scheme val="minor"/>
      </rPr>
      <t>e,f</t>
    </r>
  </si>
  <si>
    <t>Million Kilowatthours</t>
  </si>
  <si>
    <r>
      <t xml:space="preserve">Coal </t>
    </r>
    <r>
      <rPr>
        <b/>
        <vertAlign val="superscript"/>
        <sz val="11"/>
        <color theme="1"/>
        <rFont val="Calibri"/>
        <family val="2"/>
        <scheme val="minor"/>
      </rPr>
      <t>a</t>
    </r>
  </si>
  <si>
    <r>
      <t xml:space="preserve">Gas </t>
    </r>
    <r>
      <rPr>
        <b/>
        <vertAlign val="superscript"/>
        <sz val="11"/>
        <color theme="1"/>
        <rFont val="Calibri"/>
        <family val="2"/>
        <scheme val="minor"/>
      </rPr>
      <t>b</t>
    </r>
  </si>
  <si>
    <r>
      <t xml:space="preserve">Geothermal </t>
    </r>
    <r>
      <rPr>
        <b/>
        <vertAlign val="superscript"/>
        <sz val="11"/>
        <color theme="1"/>
        <rFont val="Calibri"/>
        <family val="2"/>
        <scheme val="minor"/>
      </rPr>
      <t>e</t>
    </r>
  </si>
  <si>
    <r>
      <t xml:space="preserve">Solar </t>
    </r>
    <r>
      <rPr>
        <b/>
        <vertAlign val="superscript"/>
        <sz val="11"/>
        <color theme="1"/>
        <rFont val="Calibri"/>
        <family val="2"/>
        <scheme val="minor"/>
      </rPr>
      <t>e,f</t>
    </r>
  </si>
  <si>
    <r>
      <t xml:space="preserve">Electricity </t>
    </r>
    <r>
      <rPr>
        <b/>
        <vertAlign val="superscript"/>
        <sz val="11"/>
        <color theme="1"/>
        <rFont val="Calibri"/>
        <family val="2"/>
        <scheme val="minor"/>
      </rPr>
      <t>g</t>
    </r>
  </si>
  <si>
    <r>
      <t xml:space="preserve">Use </t>
    </r>
    <r>
      <rPr>
        <b/>
        <vertAlign val="superscript"/>
        <sz val="11"/>
        <color theme="1"/>
        <rFont val="Calibri"/>
        <family val="2"/>
        <scheme val="minor"/>
      </rPr>
      <t>e,h</t>
    </r>
  </si>
  <si>
    <r>
      <t xml:space="preserve">Total </t>
    </r>
    <r>
      <rPr>
        <b/>
        <vertAlign val="superscript"/>
        <sz val="11"/>
        <color theme="1"/>
        <rFont val="Calibri"/>
        <family val="2"/>
        <scheme val="minor"/>
      </rPr>
      <t>e,h</t>
    </r>
  </si>
  <si>
    <r>
      <t xml:space="preserve">Wood </t>
    </r>
    <r>
      <rPr>
        <b/>
        <vertAlign val="superscript"/>
        <sz val="11"/>
        <color theme="1"/>
        <rFont val="Calibri"/>
        <family val="2"/>
        <scheme val="minor"/>
      </rPr>
      <t>d</t>
    </r>
  </si>
  <si>
    <t>https://www.eia.gov/state/seds/data.php?incfile=/state/seds/sep_use/tx/use_tx_MA.html&amp;sid=MA</t>
  </si>
  <si>
    <t>End use sectors are: The residential, commercial, industrial, and transportation sectors of the economy.</t>
  </si>
  <si>
    <t>EU + Elec for gas</t>
  </si>
  <si>
    <t>Sup Gas Supplies</t>
  </si>
  <si>
    <t>Supp Gas Supplies allocated to Res</t>
  </si>
  <si>
    <t>Res % of All</t>
  </si>
  <si>
    <t>Supp gas double count in residential (TBTU</t>
  </si>
  <si>
    <t>hBeginning in 1980, adjusted for the double-counting of supplemental gaseous fuels, which are included in both natural gas and the other fossil fuels from which they are mostly derived, but should be counted only once in End Use and Total.</t>
  </si>
  <si>
    <t>ALL OF THIS SHEET IS ASSEMBLED TO DERIVE FIRST COLUMN ESTIMATE OF RESIDENTIAL DOUBLE COUNT OF GASEOUS FUELS -- SEE ALSO NOTE ON EIA ENERGY USE TAB</t>
  </si>
  <si>
    <t>https://www.eia.gov/state/seds/data.php?incfile=/state/seds/sep_use/tra/use_tra_MA.html&amp;sid=MA</t>
  </si>
  <si>
    <t>https://www.eia.gov/state/seds/data.php?incfile=/state/seds/sep_use/com/use_com_MA.html&amp;sid=MA</t>
  </si>
  <si>
    <t>https://www.eia.gov/state/seds/data.php?incfile=/state/seds/sep_use/ind/use_ind_MA.html&amp;sid=MA</t>
  </si>
  <si>
    <t>https://www.eia.gov/state/seds/data.php?incfile=/state/seds/sep_use/eu/use_eu_MA.html&amp;sid=MA</t>
  </si>
  <si>
    <t>https://www.eia.gov/state/seds/seds-data-complete.php?sid=MA#Consumption</t>
  </si>
  <si>
    <t>Started backing out double count in 1980</t>
  </si>
  <si>
    <t>Residential double count calculation</t>
  </si>
  <si>
    <t>Residential Energy Consumption by Fuel Type</t>
  </si>
  <si>
    <t>Check Sum</t>
  </si>
  <si>
    <t>The State Annual Forecast of Energy Resources 1987-1997: Fueling the Future, Executive Office of Energy Resources, Table 8, Page 19</t>
  </si>
  <si>
    <t>Oil*</t>
  </si>
  <si>
    <t>*Appears to include all petroleum liquids -- distillate as well as propane</t>
  </si>
  <si>
    <t>Comparison Quantities from EIA</t>
  </si>
  <si>
    <t>Diff</t>
  </si>
  <si>
    <t>DOER is inexplicably higher than EIA on oil consumption from 1979 to 1984 (lower on wood)</t>
  </si>
  <si>
    <t>Supp double count as emissions quantity (KG/CO2)</t>
  </si>
  <si>
    <t>Units as of 1/1</t>
  </si>
  <si>
    <t>Sq Ft as of 1/1</t>
  </si>
  <si>
    <t>Pop as of 4/1 prior</t>
  </si>
  <si>
    <t>From Housing Quantity Spreadsheet</t>
  </si>
  <si>
    <t>Pop/Unit</t>
  </si>
  <si>
    <t>SqFt/Unit</t>
  </si>
  <si>
    <t>SqFt/Pop</t>
  </si>
  <si>
    <t>Persons per Unit</t>
  </si>
  <si>
    <t>Square Feet per Unit</t>
  </si>
  <si>
    <t>Total sf from housing quanity sheet</t>
  </si>
  <si>
    <t>Regression frame for last decade</t>
  </si>
  <si>
    <t>MEMO: RECS, Table CE1.2</t>
  </si>
  <si>
    <t>Building Sector Technical Report KBTU Estimates (from Figures 15 and 21)</t>
  </si>
  <si>
    <t>EUI from BSTR: https://www.mass.gov/doc/buildings-sector-technical-report/download</t>
  </si>
  <si>
    <t>Predicted bstr EUI</t>
  </si>
  <si>
    <t>REGRESSION OF ACTUAL VS BSTR MODEL EUI AGAINST TIME AND WEATHER</t>
  </si>
  <si>
    <t>Logan HDD 65</t>
  </si>
  <si>
    <t>SUMMARY OUTPUT with year 1 in 2009</t>
  </si>
  <si>
    <t>actual vs BSTR model EUI</t>
  </si>
  <si>
    <t>Predicted actual vs BSTR model EUI</t>
  </si>
  <si>
    <t>SUMMARY OUTPUT with year 1 in 2000</t>
  </si>
  <si>
    <t>Time regression of logan temperatures</t>
  </si>
  <si>
    <t>Slope as % of average val</t>
  </si>
  <si>
    <t>Slope as % of average actual EUI</t>
  </si>
  <si>
    <t>This spreadsheet was prepared by Will Brownsberger</t>
  </si>
  <si>
    <t>https://willbrownsberger.com/how-much-is-the-efficiency-of-the-existing-housing-stock-improving/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</si>
</sst>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43" formatCode="_(* #,##0.00_);_(* \(#,##0.00\);_(* &quot;-&quot;??_);_(@_)"/>
    <numFmt numFmtId="164" formatCode="#,##0.0"/>
    <numFmt numFmtId="165" formatCode="_(* #,##0_);_(* \(#,##0\);_(* &quot;-&quot;??_);_(@_)"/>
    <numFmt numFmtId="166" formatCode="0.0"/>
    <numFmt numFmtId="167" formatCode="0.0%"/>
    <numFmt numFmtId="168" formatCode="[=0]&quot;(Z) &quot;;[&gt;99]&quot;(A) &quot;;#\ ;&quot;(A) &quot;"/>
    <numFmt numFmtId="169" formatCode="_(* #,##0.0_);_(* \(#,##0.0\);_(* &quot;-&quot;??_);_(@_)"/>
  </numFmts>
  <fonts count="74">
    <font>
      <sz val="11"/>
      <color theme="1"/>
      <name val="Calibri"/>
      <family val="2"/>
      <scheme val="minor"/>
    </font>
    <font>
      <u/>
      <sz val="11"/>
      <color theme="10"/>
      <name val="Calibri"/>
      <family val="2"/>
      <scheme val="minor"/>
    </font>
    <font>
      <b/>
      <sz val="18"/>
      <color theme="1"/>
      <name val="Calibri"/>
      <family val="2"/>
      <scheme val="minor"/>
    </font>
    <font>
      <b/>
      <sz val="11"/>
      <color theme="1"/>
      <name val="Calibri"/>
      <family val="2"/>
      <scheme val="minor"/>
    </font>
    <font>
      <b/>
      <vertAlign val="superscript"/>
      <sz val="11"/>
      <color theme="1"/>
      <name val="Calibri"/>
      <family val="2"/>
      <scheme val="minor"/>
    </font>
    <font>
      <sz val="11"/>
      <color rgb="FF000000"/>
      <name val="Calibri"/>
      <family val="2"/>
      <scheme val="minor"/>
    </font>
    <font>
      <i/>
      <sz val="11"/>
      <color theme="1"/>
      <name val="Calibri"/>
      <family val="2"/>
      <scheme val="minor"/>
    </font>
    <font>
      <sz val="8"/>
      <name val="Comic Sans MS"/>
      <family val="4"/>
    </font>
    <font>
      <sz val="8"/>
      <color rgb="FF000000"/>
      <name val="Comic Sans MS"/>
      <family val="4"/>
    </font>
    <font>
      <sz val="8"/>
      <color rgb="FFFF0000"/>
      <name val="Comic Sans MS"/>
      <family val="4"/>
    </font>
    <font>
      <sz val="11"/>
      <color theme="1"/>
      <name val="Calibri"/>
      <family val="2"/>
      <scheme val="minor"/>
    </font>
    <font>
      <b/>
      <sz val="11"/>
      <color theme="0"/>
      <name val="Calibri"/>
      <family val="2"/>
      <scheme val="minor"/>
    </font>
    <font>
      <b/>
      <sz val="11"/>
      <color indexed="8"/>
      <name val="Calibri"/>
      <family val="2"/>
    </font>
    <font>
      <sz val="11"/>
      <name val="Calibri"/>
      <family val="2"/>
      <scheme val="minor"/>
    </font>
    <font>
      <sz val="11"/>
      <color theme="3" tint="0.39997558519241921"/>
      <name val="Calibri"/>
      <family val="2"/>
      <scheme val="minor"/>
    </font>
    <font>
      <sz val="8"/>
      <color rgb="FFFF0000"/>
      <name val="Arial"/>
      <family val="2"/>
    </font>
    <font>
      <sz val="8"/>
      <name val="Arial"/>
      <family val="2"/>
    </font>
    <font>
      <sz val="12"/>
      <name val="Calibri (Body)"/>
    </font>
    <font>
      <b/>
      <sz val="8"/>
      <color indexed="8"/>
      <name val="Comic Sans MS"/>
      <family val="4"/>
    </font>
    <font>
      <b/>
      <sz val="9"/>
      <color rgb="FFFFFFFF"/>
      <name val="Calibri"/>
      <family val="2"/>
    </font>
    <font>
      <b/>
      <sz val="8"/>
      <name val="Comic Sans MS"/>
      <family val="4"/>
    </font>
    <font>
      <b/>
      <vertAlign val="subscript"/>
      <sz val="8"/>
      <name val="Comic Sans MS"/>
      <family val="4"/>
    </font>
    <font>
      <sz val="8"/>
      <color theme="1"/>
      <name val="Comic Sans MS"/>
      <family val="4"/>
    </font>
    <font>
      <vertAlign val="subscript"/>
      <sz val="8"/>
      <name val="Comic Sans MS"/>
      <family val="4"/>
    </font>
    <font>
      <sz val="8"/>
      <color indexed="8"/>
      <name val="Comic Sans MS"/>
      <family val="4"/>
    </font>
    <font>
      <b/>
      <sz val="11"/>
      <name val="Calibri"/>
      <family val="2"/>
    </font>
    <font>
      <b/>
      <sz val="9"/>
      <name val="Arial"/>
      <family val="2"/>
    </font>
    <font>
      <sz val="10"/>
      <name val="Arial"/>
      <family val="2"/>
    </font>
    <font>
      <sz val="10"/>
      <name val="Arial"/>
      <family val="2"/>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1"/>
      <color theme="0" tint="-0.499984740745262"/>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vertAlign val="superscript"/>
      <sz val="9"/>
      <color theme="1"/>
      <name val="Calibri"/>
      <family val="2"/>
      <scheme val="minor"/>
    </font>
    <font>
      <vertAlign val="superscript"/>
      <sz val="10"/>
      <color theme="1"/>
      <name val="Calibri"/>
      <family val="2"/>
      <scheme val="minor"/>
    </font>
    <font>
      <b/>
      <sz val="12"/>
      <name val="Calibri"/>
      <family val="2"/>
      <scheme val="minor"/>
    </font>
    <font>
      <i/>
      <sz val="9"/>
      <color theme="1"/>
      <name val="Calibri"/>
      <family val="2"/>
      <scheme val="minor"/>
    </font>
    <font>
      <b/>
      <sz val="10"/>
      <color theme="4"/>
      <name val="Calibri"/>
      <family val="2"/>
      <scheme val="minor"/>
    </font>
    <font>
      <sz val="10"/>
      <color theme="1"/>
      <name val="Calibri"/>
      <family val="2"/>
    </font>
    <font>
      <i/>
      <vertAlign val="superscript"/>
      <sz val="9"/>
      <color theme="1"/>
      <name val="Calibri"/>
      <family val="2"/>
      <scheme val="minor"/>
    </font>
    <font>
      <b/>
      <sz val="11"/>
      <color rgb="FF000000"/>
      <name val="Calibri"/>
      <charset val="1"/>
    </font>
    <font>
      <sz val="11"/>
      <color rgb="FF000000"/>
      <name val="Calibri"/>
      <charset val="1"/>
    </font>
    <font>
      <sz val="11"/>
      <color indexed="8"/>
      <name val="Calibri"/>
    </font>
    <font>
      <sz val="10"/>
      <color indexed="8"/>
      <name val="Arial"/>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u/>
      <sz val="11"/>
      <color rgb="FF0066AA"/>
      <name val="Calibri"/>
      <family val="2"/>
      <scheme val="minor"/>
    </font>
    <font>
      <u/>
      <sz val="11"/>
      <color rgb="FF004488"/>
      <name val="Calibri"/>
      <family val="2"/>
      <scheme val="minor"/>
    </font>
    <font>
      <b/>
      <sz val="11"/>
      <color rgb="FF006100"/>
      <name val="Calibri"/>
      <family val="2"/>
      <scheme val="minor"/>
    </font>
    <font>
      <b/>
      <sz val="11"/>
      <color rgb="FF000000"/>
      <name val="Calibri"/>
      <family val="2"/>
      <scheme val="minor"/>
    </font>
    <font>
      <vertAlign val="superscript"/>
      <sz val="11"/>
      <color theme="1"/>
      <name val="Calibri"/>
      <family val="2"/>
      <scheme val="minor"/>
    </font>
    <font>
      <b/>
      <sz val="11"/>
      <color rgb="FF9C0006"/>
      <name val="Calibri"/>
      <family val="2"/>
      <scheme val="minor"/>
    </font>
    <font>
      <i/>
      <sz val="11"/>
      <color rgb="FF000000"/>
      <name val="Calibri"/>
      <family val="2"/>
      <scheme val="minor"/>
    </font>
    <font>
      <sz val="26"/>
      <color rgb="FF9C5700"/>
      <name val="Calibri"/>
      <family val="2"/>
      <scheme val="minor"/>
    </font>
    <font>
      <b/>
      <sz val="12"/>
      <color rgb="FF006100"/>
      <name val="Calibri"/>
      <family val="2"/>
      <scheme val="minor"/>
    </font>
  </fonts>
  <fills count="48">
    <fill>
      <patternFill patternType="none"/>
    </fill>
    <fill>
      <patternFill patternType="gray125"/>
    </fill>
    <fill>
      <patternFill patternType="solid">
        <fgColor theme="7" tint="0.59999389629810485"/>
        <bgColor indexed="64"/>
      </patternFill>
    </fill>
    <fill>
      <patternFill patternType="solid">
        <fgColor rgb="FFB7DEE8"/>
        <bgColor rgb="FF000000"/>
      </patternFill>
    </fill>
    <fill>
      <patternFill patternType="solid">
        <fgColor theme="8" tint="0.59999389629810485"/>
        <bgColor indexed="64"/>
      </patternFill>
    </fill>
    <fill>
      <patternFill patternType="solid">
        <fgColor rgb="FFFFFF00"/>
        <bgColor indexed="64"/>
      </patternFill>
    </fill>
    <fill>
      <patternFill patternType="solid">
        <fgColor rgb="FFC0C0C0"/>
        <bgColor indexed="64"/>
      </patternFill>
    </fill>
    <fill>
      <patternFill patternType="solid">
        <fgColor rgb="FFFFFFFF"/>
        <bgColor indexed="64"/>
      </patternFill>
    </fill>
    <fill>
      <patternFill patternType="solid">
        <fgColor indexed="22"/>
        <bgColor indexed="0"/>
      </patternFill>
    </fill>
    <fill>
      <patternFill patternType="solid">
        <fgColor theme="0" tint="-4.9989318521683403E-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9E1F2"/>
        <bgColor rgb="FFD9E1F2"/>
      </patternFill>
    </fill>
  </fills>
  <borders count="45">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style="thick">
        <color theme="0"/>
      </left>
      <right/>
      <top/>
      <bottom style="thin">
        <color theme="0" tint="-0.24994659260841701"/>
      </bottom>
      <diagonal/>
    </border>
    <border>
      <left/>
      <right/>
      <top/>
      <bottom style="thin">
        <color theme="0" tint="-0.24994659260841701"/>
      </bottom>
      <diagonal/>
    </border>
    <border>
      <left/>
      <right style="thick">
        <color theme="0"/>
      </right>
      <top/>
      <bottom style="thin">
        <color theme="0" tint="-0.24994659260841701"/>
      </bottom>
      <diagonal/>
    </border>
    <border>
      <left/>
      <right/>
      <top style="thin">
        <color theme="0" tint="-0.24994659260841701"/>
      </top>
      <bottom style="thin">
        <color theme="0" tint="-0.249977111117893"/>
      </bottom>
      <diagonal/>
    </border>
    <border>
      <left style="thick">
        <color theme="0"/>
      </left>
      <right/>
      <top/>
      <bottom style="thin">
        <color theme="0" tint="-0.249977111117893"/>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7">
    <xf numFmtId="0" fontId="0" fillId="0" borderId="0"/>
    <xf numFmtId="0" fontId="1" fillId="0" borderId="0" applyNumberFormat="0" applyFill="0" applyBorder="0" applyAlignment="0" applyProtection="0"/>
    <xf numFmtId="9" fontId="10" fillId="0" borderId="0" applyFont="0" applyFill="0" applyBorder="0" applyAlignment="0" applyProtection="0"/>
    <xf numFmtId="0" fontId="27" fillId="0" borderId="0"/>
    <xf numFmtId="43" fontId="27" fillId="0" borderId="0" applyFont="0" applyFill="0" applyBorder="0" applyAlignment="0" applyProtection="0"/>
    <xf numFmtId="168" fontId="27" fillId="0" borderId="13" applyBorder="0">
      <alignment horizontal="right"/>
    </xf>
    <xf numFmtId="43" fontId="10" fillId="0" borderId="0" applyFont="0" applyFill="0" applyBorder="0" applyAlignment="0" applyProtection="0"/>
    <xf numFmtId="43" fontId="28" fillId="0" borderId="0" applyFont="0" applyFill="0" applyBorder="0" applyAlignment="0" applyProtection="0"/>
    <xf numFmtId="0" fontId="29" fillId="0" borderId="16" applyNumberFormat="0" applyProtection="0">
      <alignment wrapText="1"/>
    </xf>
    <xf numFmtId="0" fontId="30" fillId="0" borderId="17" applyNumberFormat="0" applyFont="0" applyProtection="0">
      <alignment wrapText="1"/>
    </xf>
    <xf numFmtId="0" fontId="29" fillId="0" borderId="22" applyNumberFormat="0" applyProtection="0">
      <alignment horizontal="left" wrapText="1"/>
    </xf>
    <xf numFmtId="0" fontId="29" fillId="0" borderId="21" applyNumberFormat="0" applyFill="0" applyProtection="0">
      <alignment wrapText="1"/>
    </xf>
    <xf numFmtId="0" fontId="29" fillId="0" borderId="19" applyNumberFormat="0" applyProtection="0">
      <alignment wrapText="1"/>
    </xf>
    <xf numFmtId="0" fontId="30" fillId="0" borderId="18" applyNumberFormat="0" applyProtection="0">
      <alignment vertical="top" wrapText="1"/>
    </xf>
    <xf numFmtId="0" fontId="30" fillId="0" borderId="20" applyNumberFormat="0" applyFont="0" applyFill="0" applyProtection="0">
      <alignment wrapText="1"/>
    </xf>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0" fillId="0" borderId="0" applyNumberFormat="0" applyProtection="0">
      <alignment vertical="top" wrapText="1"/>
    </xf>
    <xf numFmtId="0" fontId="33" fillId="0" borderId="0" applyNumberFormat="0" applyProtection="0">
      <alignment horizontal="left"/>
    </xf>
    <xf numFmtId="0" fontId="48" fillId="0" borderId="0"/>
    <xf numFmtId="0" fontId="50" fillId="0" borderId="16" applyNumberFormat="0" applyFill="0" applyAlignment="0" applyProtection="0"/>
    <xf numFmtId="0" fontId="51" fillId="0" borderId="37" applyNumberFormat="0" applyFill="0" applyAlignment="0" applyProtection="0"/>
    <xf numFmtId="0" fontId="52" fillId="0" borderId="38" applyNumberFormat="0" applyFill="0" applyAlignment="0" applyProtection="0"/>
    <xf numFmtId="0" fontId="52" fillId="0" borderId="0" applyNumberFormat="0" applyFill="0" applyBorder="0" applyAlignment="0" applyProtection="0"/>
    <xf numFmtId="0" fontId="53" fillId="10"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6" fillId="13" borderId="39" applyNumberFormat="0" applyAlignment="0" applyProtection="0"/>
    <xf numFmtId="0" fontId="57" fillId="14" borderId="40" applyNumberFormat="0" applyAlignment="0" applyProtection="0"/>
    <xf numFmtId="0" fontId="58" fillId="14" borderId="39" applyNumberFormat="0" applyAlignment="0" applyProtection="0"/>
    <xf numFmtId="0" fontId="59" fillId="0" borderId="41" applyNumberFormat="0" applyFill="0" applyAlignment="0" applyProtection="0"/>
    <xf numFmtId="0" fontId="11" fillId="15" borderId="42" applyNumberFormat="0" applyAlignment="0" applyProtection="0"/>
    <xf numFmtId="0" fontId="60" fillId="0" borderId="0" applyNumberFormat="0" applyFill="0" applyBorder="0" applyAlignment="0" applyProtection="0"/>
    <xf numFmtId="0" fontId="10" fillId="16" borderId="43" applyNumberFormat="0" applyFont="0" applyAlignment="0" applyProtection="0"/>
    <xf numFmtId="0" fontId="61" fillId="0" borderId="0" applyNumberFormat="0" applyFill="0" applyBorder="0" applyAlignment="0" applyProtection="0"/>
    <xf numFmtId="0" fontId="3" fillId="0" borderId="44" applyNumberFormat="0" applyFill="0" applyAlignment="0" applyProtection="0"/>
    <xf numFmtId="0" fontId="62"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62"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62"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62"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62"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62"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27" fillId="0" borderId="0" applyFont="0" applyFill="0" applyBorder="0" applyAlignment="0" applyProtection="0"/>
    <xf numFmtId="0" fontId="62" fillId="20" borderId="0" applyNumberFormat="0" applyBorder="0" applyAlignment="0" applyProtection="0"/>
    <xf numFmtId="0" fontId="62" fillId="24" borderId="0" applyNumberFormat="0" applyBorder="0" applyAlignment="0" applyProtection="0"/>
    <xf numFmtId="0" fontId="62" fillId="28" borderId="0" applyNumberFormat="0" applyBorder="0" applyAlignment="0" applyProtection="0"/>
    <xf numFmtId="0" fontId="62" fillId="32" borderId="0" applyNumberFormat="0" applyBorder="0" applyAlignment="0" applyProtection="0"/>
    <xf numFmtId="0" fontId="62" fillId="36" borderId="0" applyNumberFormat="0" applyBorder="0" applyAlignment="0" applyProtection="0"/>
    <xf numFmtId="0" fontId="62" fillId="40" borderId="0" applyNumberFormat="0" applyBorder="0" applyAlignment="0" applyProtection="0"/>
    <xf numFmtId="0" fontId="64" fillId="12" borderId="0" applyNumberFormat="0" applyBorder="0" applyAlignment="0" applyProtection="0"/>
    <xf numFmtId="0" fontId="63" fillId="0" borderId="0" applyNumberFormat="0" applyFill="0" applyBorder="0" applyAlignment="0" applyProtection="0"/>
    <xf numFmtId="0" fontId="27" fillId="0" borderId="0"/>
    <xf numFmtId="0" fontId="5" fillId="0" borderId="0"/>
    <xf numFmtId="0" fontId="27" fillId="0" borderId="0"/>
    <xf numFmtId="0" fontId="65" fillId="0" borderId="0" applyNumberFormat="0" applyFill="0" applyBorder="0" applyAlignment="0" applyProtection="0"/>
    <xf numFmtId="0" fontId="66" fillId="0" borderId="0" applyNumberFormat="0" applyFill="0" applyBorder="0" applyAlignment="0" applyProtection="0"/>
  </cellStyleXfs>
  <cellXfs count="252">
    <xf numFmtId="0" fontId="0" fillId="0" borderId="0" xfId="0"/>
    <xf numFmtId="3" fontId="0" fillId="0" borderId="0" xfId="0" applyNumberFormat="1"/>
    <xf numFmtId="10" fontId="0" fillId="0" borderId="0" xfId="0" applyNumberFormat="1"/>
    <xf numFmtId="0" fontId="1" fillId="0" borderId="0" xfId="1"/>
    <xf numFmtId="0" fontId="2" fillId="0" borderId="0" xfId="0" applyFont="1"/>
    <xf numFmtId="0" fontId="0" fillId="0" borderId="0" xfId="0" applyAlignment="1">
      <alignment wrapText="1"/>
    </xf>
    <xf numFmtId="0" fontId="5" fillId="0" borderId="0" xfId="0" applyFont="1"/>
    <xf numFmtId="14" fontId="5" fillId="0" borderId="0" xfId="0" applyNumberFormat="1" applyFont="1"/>
    <xf numFmtId="0" fontId="0" fillId="0" borderId="0" xfId="0" pivotButton="1"/>
    <xf numFmtId="0" fontId="0" fillId="0" borderId="0" xfId="0" applyAlignment="1">
      <alignment horizontal="left"/>
    </xf>
    <xf numFmtId="165" fontId="0" fillId="0" borderId="0" xfId="0" applyNumberFormat="1"/>
    <xf numFmtId="0" fontId="7" fillId="3" borderId="4" xfId="0" applyFont="1" applyFill="1" applyBorder="1"/>
    <xf numFmtId="0" fontId="7" fillId="3" borderId="5" xfId="0" applyFont="1" applyFill="1" applyBorder="1"/>
    <xf numFmtId="0" fontId="8" fillId="3" borderId="5" xfId="0" applyFont="1" applyFill="1" applyBorder="1"/>
    <xf numFmtId="0" fontId="9" fillId="3" borderId="5" xfId="0" applyFont="1" applyFill="1" applyBorder="1"/>
    <xf numFmtId="9" fontId="0" fillId="0" borderId="0" xfId="0" applyNumberFormat="1"/>
    <xf numFmtId="0" fontId="12" fillId="0" borderId="0" xfId="0" applyFont="1"/>
    <xf numFmtId="0" fontId="0" fillId="0" borderId="7" xfId="0" applyBorder="1"/>
    <xf numFmtId="0" fontId="0" fillId="0" borderId="6" xfId="0" applyBorder="1"/>
    <xf numFmtId="14" fontId="9" fillId="0" borderId="0" xfId="0" applyNumberFormat="1" applyFont="1"/>
    <xf numFmtId="0" fontId="14" fillId="0" borderId="1" xfId="0" applyFont="1" applyBorder="1"/>
    <xf numFmtId="166" fontId="15" fillId="0" borderId="0" xfId="0" applyNumberFormat="1" applyFont="1" applyAlignment="1">
      <alignment horizontal="right"/>
    </xf>
    <xf numFmtId="166" fontId="16" fillId="0" borderId="0" xfId="0" applyNumberFormat="1" applyFont="1" applyAlignment="1">
      <alignment horizontal="right"/>
    </xf>
    <xf numFmtId="164" fontId="17" fillId="0" borderId="0" xfId="0" applyNumberFormat="1" applyFont="1" applyAlignment="1">
      <alignment horizontal="right" vertical="center"/>
    </xf>
    <xf numFmtId="0" fontId="18" fillId="0" borderId="1" xfId="0" applyFont="1" applyBorder="1"/>
    <xf numFmtId="0" fontId="18" fillId="0" borderId="9" xfId="0" applyFont="1" applyBorder="1" applyAlignment="1">
      <alignment horizontal="right"/>
    </xf>
    <xf numFmtId="0" fontId="18" fillId="0" borderId="10" xfId="0" applyFont="1" applyBorder="1" applyAlignment="1">
      <alignment horizontal="right"/>
    </xf>
    <xf numFmtId="0" fontId="19" fillId="0" borderId="0" xfId="0" applyFont="1" applyAlignment="1">
      <alignment horizontal="center"/>
    </xf>
    <xf numFmtId="0" fontId="20" fillId="4" borderId="3" xfId="0" applyFont="1" applyFill="1" applyBorder="1" applyAlignment="1">
      <alignment horizontal="left" indent="3"/>
    </xf>
    <xf numFmtId="164" fontId="7" fillId="4" borderId="4" xfId="0" applyNumberFormat="1" applyFont="1" applyFill="1" applyBorder="1"/>
    <xf numFmtId="164" fontId="7" fillId="4" borderId="5" xfId="0" applyNumberFormat="1" applyFont="1" applyFill="1" applyBorder="1"/>
    <xf numFmtId="164" fontId="22" fillId="4" borderId="5" xfId="0" applyNumberFormat="1" applyFont="1" applyFill="1" applyBorder="1"/>
    <xf numFmtId="164" fontId="9" fillId="4" borderId="5" xfId="0" applyNumberFormat="1" applyFont="1" applyFill="1" applyBorder="1"/>
    <xf numFmtId="164" fontId="9" fillId="0" borderId="0" xfId="0" applyNumberFormat="1" applyFont="1"/>
    <xf numFmtId="0" fontId="7" fillId="0" borderId="3" xfId="0" applyFont="1" applyBorder="1" applyAlignment="1">
      <alignment horizontal="left" indent="4"/>
    </xf>
    <xf numFmtId="164" fontId="7" fillId="0" borderId="6" xfId="0" applyNumberFormat="1" applyFont="1" applyBorder="1"/>
    <xf numFmtId="164" fontId="7" fillId="0" borderId="0" xfId="0" applyNumberFormat="1" applyFont="1"/>
    <xf numFmtId="164" fontId="22" fillId="0" borderId="0" xfId="0" applyNumberFormat="1" applyFont="1"/>
    <xf numFmtId="0" fontId="7" fillId="0" borderId="0" xfId="0" applyFont="1" applyAlignment="1">
      <alignment horizontal="left" indent="4"/>
    </xf>
    <xf numFmtId="164" fontId="24" fillId="0" borderId="11" xfId="0" applyNumberFormat="1" applyFont="1" applyBorder="1"/>
    <xf numFmtId="164" fontId="24" fillId="0" borderId="3" xfId="0" applyNumberFormat="1" applyFont="1" applyBorder="1"/>
    <xf numFmtId="164" fontId="7" fillId="0" borderId="3" xfId="0" applyNumberFormat="1" applyFont="1" applyBorder="1"/>
    <xf numFmtId="164" fontId="22" fillId="0" borderId="3" xfId="0" applyNumberFormat="1" applyFont="1" applyBorder="1"/>
    <xf numFmtId="164" fontId="9" fillId="0" borderId="3" xfId="0" applyNumberFormat="1" applyFont="1" applyBorder="1"/>
    <xf numFmtId="0" fontId="13" fillId="0" borderId="6" xfId="0" applyFont="1" applyBorder="1"/>
    <xf numFmtId="0" fontId="20" fillId="0" borderId="12" xfId="0" applyFont="1" applyBorder="1" applyAlignment="1">
      <alignment horizontal="left"/>
    </xf>
    <xf numFmtId="164" fontId="7" fillId="0" borderId="8" xfId="0" applyNumberFormat="1" applyFont="1" applyBorder="1"/>
    <xf numFmtId="0" fontId="13" fillId="0" borderId="7" xfId="0" applyFont="1" applyBorder="1"/>
    <xf numFmtId="0" fontId="13" fillId="0" borderId="0" xfId="0" applyFont="1"/>
    <xf numFmtId="0" fontId="25" fillId="0" borderId="0" xfId="0" applyFont="1"/>
    <xf numFmtId="0" fontId="26" fillId="0" borderId="12" xfId="0" applyFont="1" applyBorder="1" applyAlignment="1">
      <alignment horizontal="right"/>
    </xf>
    <xf numFmtId="164" fontId="16" fillId="0" borderId="8" xfId="0" applyNumberFormat="1" applyFont="1" applyBorder="1"/>
    <xf numFmtId="0" fontId="0" fillId="5" borderId="0" xfId="0" applyFill="1"/>
    <xf numFmtId="166" fontId="0" fillId="5" borderId="0" xfId="0" applyNumberFormat="1" applyFill="1"/>
    <xf numFmtId="166" fontId="0" fillId="0" borderId="0" xfId="0" applyNumberFormat="1"/>
    <xf numFmtId="167" fontId="0" fillId="0" borderId="0" xfId="0" applyNumberFormat="1"/>
    <xf numFmtId="9" fontId="0" fillId="0" borderId="0" xfId="2" applyFont="1"/>
    <xf numFmtId="9" fontId="15" fillId="0" borderId="0" xfId="2" applyFont="1" applyAlignment="1">
      <alignment horizontal="right"/>
    </xf>
    <xf numFmtId="0" fontId="0" fillId="0" borderId="1" xfId="0" applyBorder="1"/>
    <xf numFmtId="0" fontId="6" fillId="0" borderId="2" xfId="0" applyFont="1" applyBorder="1" applyAlignment="1">
      <alignment horizontal="center"/>
    </xf>
    <xf numFmtId="0" fontId="6" fillId="0" borderId="2" xfId="0" applyFont="1" applyBorder="1" applyAlignment="1">
      <alignment horizontal="centerContinuous"/>
    </xf>
    <xf numFmtId="0" fontId="3" fillId="0" borderId="0" xfId="0" applyFont="1"/>
    <xf numFmtId="167" fontId="0" fillId="0" borderId="0" xfId="2" applyNumberFormat="1" applyFont="1"/>
    <xf numFmtId="167" fontId="0" fillId="5" borderId="0" xfId="2" applyNumberFormat="1" applyFont="1" applyFill="1"/>
    <xf numFmtId="165" fontId="0" fillId="0" borderId="0" xfId="6" applyNumberFormat="1" applyFont="1"/>
    <xf numFmtId="0" fontId="34" fillId="0" borderId="0" xfId="0" applyFont="1" applyAlignment="1">
      <alignment wrapText="1"/>
    </xf>
    <xf numFmtId="0" fontId="35" fillId="0" borderId="16" xfId="8" applyFont="1">
      <alignment wrapText="1"/>
    </xf>
    <xf numFmtId="3" fontId="35" fillId="0" borderId="16" xfId="8" applyNumberFormat="1" applyFont="1" applyAlignment="1">
      <alignment horizontal="right" wrapText="1"/>
    </xf>
    <xf numFmtId="0" fontId="35" fillId="0" borderId="19" xfId="12" applyFont="1">
      <alignment wrapText="1"/>
    </xf>
    <xf numFmtId="0" fontId="36" fillId="0" borderId="17" xfId="9" applyFont="1">
      <alignment wrapText="1"/>
    </xf>
    <xf numFmtId="0" fontId="36" fillId="0" borderId="17" xfId="9" applyFont="1" applyAlignment="1">
      <alignment horizontal="left" wrapText="1" indent="1"/>
    </xf>
    <xf numFmtId="0" fontId="36" fillId="0" borderId="17" xfId="9" applyFont="1" applyAlignment="1">
      <alignment horizontal="left" wrapText="1"/>
    </xf>
    <xf numFmtId="3" fontId="36" fillId="0" borderId="0" xfId="0" applyNumberFormat="1" applyFont="1" applyAlignment="1">
      <alignment horizontal="right"/>
    </xf>
    <xf numFmtId="0" fontId="42" fillId="0" borderId="0" xfId="19" applyFont="1" applyAlignment="1">
      <alignment horizontal="left" wrapText="1"/>
    </xf>
    <xf numFmtId="3" fontId="35" fillId="0" borderId="22" xfId="10" applyNumberFormat="1" applyFont="1">
      <alignment horizontal="left" wrapText="1"/>
    </xf>
    <xf numFmtId="0" fontId="36" fillId="0" borderId="0" xfId="0" applyFont="1"/>
    <xf numFmtId="0" fontId="35" fillId="0" borderId="19" xfId="12" applyFont="1" applyAlignment="1">
      <alignment horizontal="left" wrapText="1"/>
    </xf>
    <xf numFmtId="3" fontId="35" fillId="0" borderId="0" xfId="10" applyNumberFormat="1" applyFont="1" applyBorder="1">
      <alignment horizontal="left" wrapText="1"/>
    </xf>
    <xf numFmtId="3" fontId="36" fillId="0" borderId="19" xfId="12" applyNumberFormat="1" applyFont="1">
      <alignment wrapText="1"/>
    </xf>
    <xf numFmtId="3" fontId="36" fillId="0" borderId="17" xfId="9" applyNumberFormat="1" applyFont="1" applyAlignment="1">
      <alignment horizontal="right" wrapText="1"/>
    </xf>
    <xf numFmtId="3" fontId="36" fillId="0" borderId="17" xfId="6" applyNumberFormat="1" applyFont="1" applyBorder="1" applyAlignment="1">
      <alignment horizontal="right" wrapText="1"/>
    </xf>
    <xf numFmtId="3" fontId="36" fillId="0" borderId="17" xfId="9" applyNumberFormat="1" applyFont="1">
      <alignment wrapText="1"/>
    </xf>
    <xf numFmtId="2" fontId="36" fillId="0" borderId="19" xfId="12" applyNumberFormat="1" applyFont="1">
      <alignment wrapText="1"/>
    </xf>
    <xf numFmtId="2" fontId="36" fillId="0" borderId="17" xfId="6" applyNumberFormat="1" applyFont="1" applyBorder="1" applyAlignment="1">
      <alignment horizontal="right" wrapText="1"/>
    </xf>
    <xf numFmtId="2" fontId="36" fillId="0" borderId="17" xfId="9" applyNumberFormat="1" applyFont="1">
      <alignment wrapText="1"/>
    </xf>
    <xf numFmtId="2" fontId="36" fillId="0" borderId="19" xfId="6" applyNumberFormat="1" applyFont="1" applyBorder="1" applyAlignment="1">
      <alignment horizontal="right" wrapText="1"/>
    </xf>
    <xf numFmtId="3" fontId="36" fillId="0" borderId="19" xfId="6" applyNumberFormat="1" applyFont="1" applyBorder="1" applyAlignment="1">
      <alignment horizontal="right" wrapText="1"/>
    </xf>
    <xf numFmtId="3" fontId="36" fillId="0" borderId="26" xfId="12" applyNumberFormat="1" applyFont="1" applyBorder="1" applyAlignment="1">
      <alignment horizontal="right" wrapText="1"/>
    </xf>
    <xf numFmtId="3" fontId="36" fillId="0" borderId="19" xfId="12" applyNumberFormat="1" applyFont="1" applyAlignment="1">
      <alignment horizontal="right" wrapText="1"/>
    </xf>
    <xf numFmtId="1" fontId="36" fillId="0" borderId="19" xfId="6" applyNumberFormat="1" applyFont="1" applyBorder="1" applyAlignment="1">
      <alignment horizontal="right" wrapText="1"/>
    </xf>
    <xf numFmtId="4" fontId="36" fillId="0" borderId="0" xfId="0" applyNumberFormat="1" applyFont="1" applyAlignment="1">
      <alignment horizontal="right"/>
    </xf>
    <xf numFmtId="0" fontId="3" fillId="0" borderId="0" xfId="0" applyFont="1" applyAlignment="1">
      <alignment wrapText="1"/>
    </xf>
    <xf numFmtId="0" fontId="45" fillId="6" borderId="28" xfId="0" applyFont="1" applyFill="1" applyBorder="1"/>
    <xf numFmtId="0" fontId="46" fillId="7" borderId="28" xfId="0" applyFont="1" applyFill="1" applyBorder="1"/>
    <xf numFmtId="165" fontId="46" fillId="7" borderId="28" xfId="0" applyNumberFormat="1" applyFont="1" applyFill="1" applyBorder="1"/>
    <xf numFmtId="0" fontId="46" fillId="7" borderId="30" xfId="0" applyFont="1" applyFill="1" applyBorder="1"/>
    <xf numFmtId="165" fontId="46" fillId="7" borderId="30" xfId="0" applyNumberFormat="1" applyFont="1" applyFill="1" applyBorder="1"/>
    <xf numFmtId="0" fontId="0" fillId="0" borderId="28" xfId="0" applyBorder="1"/>
    <xf numFmtId="9" fontId="46" fillId="7" borderId="28" xfId="0" applyNumberFormat="1" applyFont="1" applyFill="1" applyBorder="1"/>
    <xf numFmtId="0" fontId="46" fillId="7" borderId="31" xfId="0" applyFont="1" applyFill="1" applyBorder="1"/>
    <xf numFmtId="165" fontId="46" fillId="7" borderId="31" xfId="0" applyNumberFormat="1" applyFont="1" applyFill="1" applyBorder="1"/>
    <xf numFmtId="0" fontId="46" fillId="7" borderId="32" xfId="0" applyFont="1" applyFill="1" applyBorder="1"/>
    <xf numFmtId="9" fontId="46" fillId="7" borderId="32" xfId="0" applyNumberFormat="1" applyFont="1" applyFill="1" applyBorder="1"/>
    <xf numFmtId="0" fontId="47" fillId="8" borderId="33" xfId="20" applyFont="1" applyFill="1" applyBorder="1" applyAlignment="1">
      <alignment horizontal="center"/>
    </xf>
    <xf numFmtId="0" fontId="47" fillId="0" borderId="34" xfId="20" applyFont="1" applyBorder="1" applyAlignment="1">
      <alignment wrapText="1"/>
    </xf>
    <xf numFmtId="0" fontId="47" fillId="0" borderId="34" xfId="20" applyFont="1" applyBorder="1" applyAlignment="1">
      <alignment horizontal="right" wrapText="1"/>
    </xf>
    <xf numFmtId="0" fontId="48" fillId="0" borderId="0" xfId="20"/>
    <xf numFmtId="0" fontId="47" fillId="0" borderId="35" xfId="20" applyFont="1" applyBorder="1" applyAlignment="1">
      <alignment wrapText="1"/>
    </xf>
    <xf numFmtId="165" fontId="47" fillId="0" borderId="34" xfId="6" applyNumberFormat="1" applyFont="1" applyFill="1" applyBorder="1" applyAlignment="1">
      <alignment wrapText="1"/>
    </xf>
    <xf numFmtId="165" fontId="47" fillId="0" borderId="34" xfId="6" applyNumberFormat="1" applyFont="1" applyFill="1" applyBorder="1" applyAlignment="1">
      <alignment horizontal="right" wrapText="1"/>
    </xf>
    <xf numFmtId="165" fontId="48" fillId="0" borderId="0" xfId="6" applyNumberFormat="1" applyFont="1"/>
    <xf numFmtId="0" fontId="47" fillId="9" borderId="33" xfId="20" applyFont="1" applyFill="1" applyBorder="1" applyAlignment="1">
      <alignment horizontal="center"/>
    </xf>
    <xf numFmtId="0" fontId="0" fillId="2" borderId="0" xfId="0" applyFill="1"/>
    <xf numFmtId="0" fontId="3" fillId="2" borderId="0" xfId="0" applyFont="1" applyFill="1" applyAlignment="1">
      <alignment wrapText="1"/>
    </xf>
    <xf numFmtId="165" fontId="47" fillId="0" borderId="36" xfId="6" applyNumberFormat="1" applyFont="1" applyFill="1" applyBorder="1" applyAlignment="1">
      <alignment wrapText="1"/>
    </xf>
    <xf numFmtId="165" fontId="0" fillId="0" borderId="15" xfId="6" applyNumberFormat="1" applyFont="1" applyBorder="1"/>
    <xf numFmtId="165" fontId="47" fillId="0" borderId="15" xfId="6" applyNumberFormat="1" applyFont="1" applyFill="1" applyBorder="1" applyAlignment="1">
      <alignment wrapText="1"/>
    </xf>
    <xf numFmtId="165" fontId="49" fillId="0" borderId="14" xfId="6" applyNumberFormat="1" applyFont="1" applyFill="1" applyBorder="1" applyAlignment="1">
      <alignment wrapText="1"/>
    </xf>
    <xf numFmtId="169" fontId="0" fillId="0" borderId="0" xfId="0" applyNumberFormat="1"/>
    <xf numFmtId="0" fontId="30" fillId="0" borderId="18" xfId="13" applyAlignment="1">
      <alignment wrapText="1"/>
    </xf>
    <xf numFmtId="3" fontId="35" fillId="0" borderId="27" xfId="12" applyNumberFormat="1" applyFont="1" applyBorder="1">
      <alignment wrapText="1"/>
    </xf>
    <xf numFmtId="3" fontId="35" fillId="0" borderId="19" xfId="12" applyNumberFormat="1" applyFont="1">
      <alignment wrapText="1"/>
    </xf>
    <xf numFmtId="3" fontId="35" fillId="0" borderId="23" xfId="10" applyNumberFormat="1" applyFont="1" applyBorder="1">
      <alignment horizontal="left" wrapText="1"/>
    </xf>
    <xf numFmtId="3" fontId="35" fillId="0" borderId="24" xfId="10" applyNumberFormat="1" applyFont="1" applyBorder="1">
      <alignment horizontal="left" wrapText="1"/>
    </xf>
    <xf numFmtId="3" fontId="35" fillId="0" borderId="25" xfId="10" applyNumberFormat="1" applyFont="1" applyBorder="1">
      <alignment horizontal="left" wrapText="1"/>
    </xf>
    <xf numFmtId="0" fontId="40" fillId="0" borderId="0" xfId="19" applyFont="1" applyAlignment="1">
      <alignment horizontal="left" wrapText="1"/>
    </xf>
    <xf numFmtId="0" fontId="13" fillId="0" borderId="0" xfId="0" applyFont="1" applyAlignment="1">
      <alignment wrapText="1"/>
    </xf>
    <xf numFmtId="3" fontId="35" fillId="0" borderId="22" xfId="10" applyNumberFormat="1" applyFont="1">
      <alignment horizontal="left" wrapText="1"/>
    </xf>
    <xf numFmtId="0" fontId="3" fillId="0" borderId="0" xfId="0" applyFont="1" applyAlignment="1">
      <alignment wrapText="1"/>
    </xf>
    <xf numFmtId="0" fontId="3" fillId="0" borderId="0" xfId="0" applyFont="1"/>
    <xf numFmtId="0" fontId="3" fillId="0" borderId="29" xfId="0" applyFont="1" applyBorder="1" applyAlignment="1">
      <alignment horizontal="center"/>
    </xf>
    <xf numFmtId="165" fontId="47" fillId="0" borderId="15" xfId="6" applyNumberFormat="1" applyFont="1" applyFill="1" applyBorder="1" applyAlignment="1">
      <alignment horizontal="center" wrapText="1"/>
    </xf>
    <xf numFmtId="165" fontId="0" fillId="0" borderId="15" xfId="6" applyNumberFormat="1" applyFont="1" applyBorder="1" applyAlignment="1">
      <alignment horizontal="center" wrapText="1"/>
    </xf>
    <xf numFmtId="165" fontId="0" fillId="0" borderId="15" xfId="6" applyNumberFormat="1" applyFont="1" applyBorder="1" applyAlignment="1">
      <alignment horizontal="center"/>
    </xf>
    <xf numFmtId="0" fontId="0" fillId="0" borderId="0" xfId="0" applyFill="1" applyBorder="1" applyAlignment="1"/>
    <xf numFmtId="0" fontId="0" fillId="0" borderId="1" xfId="0" applyFill="1" applyBorder="1" applyAlignment="1"/>
    <xf numFmtId="0" fontId="6" fillId="0" borderId="2" xfId="0" applyFont="1" applyFill="1" applyBorder="1" applyAlignment="1">
      <alignment horizontal="center"/>
    </xf>
    <xf numFmtId="0" fontId="6" fillId="0" borderId="2" xfId="0" applyFont="1" applyFill="1" applyBorder="1" applyAlignment="1">
      <alignment horizontal="centerContinuous"/>
    </xf>
    <xf numFmtId="0" fontId="0" fillId="0" borderId="0" xfId="0" applyAlignment="1">
      <alignment vertical="center" wrapText="1"/>
    </xf>
    <xf numFmtId="0" fontId="35" fillId="0" borderId="19" xfId="12" applyFont="1">
      <alignment wrapText="1"/>
    </xf>
    <xf numFmtId="0" fontId="36" fillId="0" borderId="17" xfId="9" applyFont="1">
      <alignment wrapText="1"/>
    </xf>
    <xf numFmtId="3" fontId="35" fillId="0" borderId="19" xfId="12" applyNumberFormat="1" applyFont="1" applyAlignment="1">
      <alignment horizontal="right" wrapText="1"/>
    </xf>
    <xf numFmtId="3" fontId="36" fillId="0" borderId="17" xfId="9" applyNumberFormat="1" applyFont="1" applyAlignment="1">
      <alignment horizontal="right" wrapText="1"/>
    </xf>
    <xf numFmtId="2" fontId="35" fillId="0" borderId="19" xfId="12" applyNumberFormat="1" applyFont="1" applyAlignment="1">
      <alignment horizontal="right" wrapText="1"/>
    </xf>
    <xf numFmtId="2" fontId="36" fillId="0" borderId="17" xfId="9" applyNumberFormat="1" applyFont="1" applyAlignment="1">
      <alignment horizontal="right" wrapText="1"/>
    </xf>
    <xf numFmtId="166" fontId="35" fillId="0" borderId="19" xfId="12" applyNumberFormat="1" applyFont="1" applyAlignment="1">
      <alignment horizontal="right" wrapText="1"/>
    </xf>
    <xf numFmtId="166" fontId="36" fillId="0" borderId="17" xfId="9" applyNumberFormat="1" applyFont="1" applyAlignment="1">
      <alignment horizontal="right" wrapText="1"/>
    </xf>
    <xf numFmtId="0" fontId="0" fillId="0" borderId="0" xfId="0"/>
    <xf numFmtId="166" fontId="36" fillId="0" borderId="17" xfId="9" applyNumberFormat="1" applyFont="1" applyAlignment="1">
      <alignment horizontal="right" wrapText="1"/>
    </xf>
    <xf numFmtId="0" fontId="0" fillId="41" borderId="0" xfId="0" applyFill="1"/>
    <xf numFmtId="0" fontId="1" fillId="41" borderId="0" xfId="1" applyFill="1"/>
    <xf numFmtId="17" fontId="0" fillId="0" borderId="0" xfId="0" applyNumberFormat="1"/>
    <xf numFmtId="0" fontId="0" fillId="0" borderId="0" xfId="0" applyAlignment="1">
      <alignment wrapText="1"/>
    </xf>
    <xf numFmtId="166" fontId="0" fillId="0" borderId="0" xfId="0" applyNumberFormat="1"/>
    <xf numFmtId="165" fontId="0" fillId="0" borderId="0" xfId="6" applyNumberFormat="1" applyFont="1"/>
    <xf numFmtId="0" fontId="0" fillId="43" borderId="0" xfId="0" applyFill="1"/>
    <xf numFmtId="0" fontId="1" fillId="43" borderId="0" xfId="1" applyFill="1"/>
    <xf numFmtId="1" fontId="0" fillId="0" borderId="0" xfId="0" applyNumberFormat="1"/>
    <xf numFmtId="0" fontId="0" fillId="0" borderId="0" xfId="0"/>
    <xf numFmtId="0" fontId="53" fillId="10" borderId="0" xfId="25"/>
    <xf numFmtId="0" fontId="3" fillId="0" borderId="0" xfId="0" applyFont="1" applyAlignment="1">
      <alignment horizontal="center" vertical="center" wrapText="1"/>
    </xf>
    <xf numFmtId="0" fontId="0" fillId="44" borderId="0" xfId="0" applyFill="1"/>
    <xf numFmtId="0" fontId="2" fillId="44" borderId="0" xfId="0" applyFont="1" applyFill="1" applyAlignment="1">
      <alignment vertical="center"/>
    </xf>
    <xf numFmtId="0" fontId="3" fillId="44" borderId="0" xfId="0" applyFont="1" applyFill="1" applyAlignment="1">
      <alignment horizontal="center" vertical="center" wrapText="1"/>
    </xf>
    <xf numFmtId="0" fontId="0" fillId="44" borderId="0" xfId="0" applyFill="1" applyAlignment="1">
      <alignment horizontal="center" vertical="center" wrapText="1"/>
    </xf>
    <xf numFmtId="0" fontId="0" fillId="44" borderId="0" xfId="0" applyFill="1" applyAlignment="1">
      <alignment horizontal="center" vertical="center" wrapText="1"/>
    </xf>
    <xf numFmtId="0" fontId="3" fillId="44" borderId="0" xfId="0" applyFont="1" applyFill="1" applyAlignment="1">
      <alignment horizontal="center" vertical="center" wrapText="1"/>
    </xf>
    <xf numFmtId="0" fontId="0" fillId="44" borderId="0" xfId="0" applyFill="1" applyAlignment="1">
      <alignment vertical="center" wrapText="1"/>
    </xf>
    <xf numFmtId="3" fontId="0" fillId="44" borderId="0" xfId="0" applyNumberFormat="1" applyFill="1" applyAlignment="1">
      <alignment vertical="center" wrapText="1"/>
    </xf>
    <xf numFmtId="0" fontId="0" fillId="44" borderId="0" xfId="0" applyFill="1" applyAlignment="1">
      <alignment horizontal="left" vertical="center" wrapText="1" indent="2"/>
    </xf>
    <xf numFmtId="0" fontId="2" fillId="41" borderId="0" xfId="0" applyFont="1" applyFill="1" applyAlignment="1">
      <alignment vertical="center"/>
    </xf>
    <xf numFmtId="0" fontId="3" fillId="41" borderId="0" xfId="0" applyFont="1" applyFill="1" applyAlignment="1">
      <alignment horizontal="center" vertical="center" wrapText="1"/>
    </xf>
    <xf numFmtId="0" fontId="0" fillId="41" borderId="0" xfId="0" applyFill="1" applyAlignment="1">
      <alignment horizontal="center" vertical="center" wrapText="1"/>
    </xf>
    <xf numFmtId="0" fontId="0" fillId="41" borderId="0" xfId="0" applyFill="1" applyAlignment="1">
      <alignment horizontal="center" vertical="center" wrapText="1"/>
    </xf>
    <xf numFmtId="0" fontId="3" fillId="41" borderId="0" xfId="0" applyFont="1" applyFill="1" applyAlignment="1">
      <alignment horizontal="center" vertical="center" wrapText="1"/>
    </xf>
    <xf numFmtId="0" fontId="0" fillId="41" borderId="0" xfId="0" applyFill="1" applyAlignment="1">
      <alignment vertical="center" wrapText="1"/>
    </xf>
    <xf numFmtId="3" fontId="0" fillId="41" borderId="0" xfId="0" applyNumberFormat="1" applyFill="1" applyAlignment="1">
      <alignment vertical="center" wrapText="1"/>
    </xf>
    <xf numFmtId="0" fontId="0" fillId="41" borderId="0" xfId="0" applyFill="1" applyAlignment="1">
      <alignment horizontal="left" vertical="center" wrapText="1" indent="2"/>
    </xf>
    <xf numFmtId="0" fontId="1" fillId="45" borderId="0" xfId="1" applyFill="1"/>
    <xf numFmtId="0" fontId="0" fillId="45" borderId="0" xfId="0" applyFill="1"/>
    <xf numFmtId="0" fontId="2" fillId="45" borderId="0" xfId="0" applyFont="1" applyFill="1" applyAlignment="1">
      <alignment vertical="center"/>
    </xf>
    <xf numFmtId="0" fontId="3" fillId="45" borderId="0" xfId="0" applyFont="1" applyFill="1" applyAlignment="1">
      <alignment horizontal="center" vertical="center" wrapText="1"/>
    </xf>
    <xf numFmtId="0" fontId="0" fillId="45" borderId="0" xfId="0" applyFill="1" applyAlignment="1">
      <alignment horizontal="center" vertical="center" wrapText="1"/>
    </xf>
    <xf numFmtId="0" fontId="0" fillId="45" borderId="0" xfId="0" applyFill="1" applyAlignment="1">
      <alignment horizontal="center" vertical="center" wrapText="1"/>
    </xf>
    <xf numFmtId="0" fontId="3" fillId="45" borderId="0" xfId="0" applyFont="1" applyFill="1" applyAlignment="1">
      <alignment horizontal="center" vertical="center" wrapText="1"/>
    </xf>
    <xf numFmtId="0" fontId="0" fillId="45" borderId="0" xfId="0" applyFill="1" applyAlignment="1">
      <alignment vertical="center" wrapText="1"/>
    </xf>
    <xf numFmtId="3" fontId="0" fillId="45" borderId="0" xfId="0" applyNumberFormat="1" applyFill="1" applyAlignment="1">
      <alignment vertical="center" wrapText="1"/>
    </xf>
    <xf numFmtId="0" fontId="0" fillId="45" borderId="0" xfId="0" applyFill="1" applyAlignment="1">
      <alignment horizontal="left" vertical="center" wrapText="1" indent="2"/>
    </xf>
    <xf numFmtId="0" fontId="2" fillId="43" borderId="0" xfId="0" applyFont="1" applyFill="1" applyAlignment="1">
      <alignment vertical="center"/>
    </xf>
    <xf numFmtId="0" fontId="3" fillId="43" borderId="0" xfId="0" applyFont="1" applyFill="1" applyAlignment="1">
      <alignment horizontal="center" vertical="center" wrapText="1"/>
    </xf>
    <xf numFmtId="0" fontId="0" fillId="43" borderId="0" xfId="0" applyFill="1" applyAlignment="1">
      <alignment horizontal="center" vertical="center" wrapText="1"/>
    </xf>
    <xf numFmtId="0" fontId="0" fillId="43" borderId="0" xfId="0" applyFill="1" applyAlignment="1">
      <alignment horizontal="center" vertical="center" wrapText="1"/>
    </xf>
    <xf numFmtId="0" fontId="3" fillId="43" borderId="0" xfId="0" applyFont="1" applyFill="1" applyAlignment="1">
      <alignment horizontal="center" vertical="center" wrapText="1"/>
    </xf>
    <xf numFmtId="0" fontId="0" fillId="43" borderId="0" xfId="0" applyFill="1" applyAlignment="1">
      <alignment vertical="center" wrapText="1"/>
    </xf>
    <xf numFmtId="3" fontId="0" fillId="43" borderId="0" xfId="0" applyNumberFormat="1" applyFill="1" applyAlignment="1">
      <alignment vertical="center" wrapText="1"/>
    </xf>
    <xf numFmtId="0" fontId="69" fillId="43" borderId="0" xfId="0" applyFont="1" applyFill="1" applyAlignment="1">
      <alignment vertical="center" wrapText="1"/>
    </xf>
    <xf numFmtId="0" fontId="0" fillId="43" borderId="0" xfId="0" applyFill="1" applyAlignment="1">
      <alignment horizontal="left" vertical="center" wrapText="1" indent="2"/>
    </xf>
    <xf numFmtId="0" fontId="0" fillId="46" borderId="0" xfId="0" applyFill="1"/>
    <xf numFmtId="0" fontId="2" fillId="46" borderId="0" xfId="0" applyFont="1" applyFill="1" applyAlignment="1">
      <alignment vertical="center"/>
    </xf>
    <xf numFmtId="0" fontId="3" fillId="46" borderId="0" xfId="0" applyFont="1" applyFill="1" applyAlignment="1">
      <alignment horizontal="center" vertical="center" wrapText="1"/>
    </xf>
    <xf numFmtId="0" fontId="0" fillId="46" borderId="0" xfId="0" applyFill="1" applyAlignment="1">
      <alignment horizontal="center" vertical="center" wrapText="1"/>
    </xf>
    <xf numFmtId="0" fontId="3" fillId="46" borderId="0" xfId="0" applyFont="1" applyFill="1" applyAlignment="1">
      <alignment horizontal="center" vertical="center" wrapText="1"/>
    </xf>
    <xf numFmtId="0" fontId="0" fillId="46" borderId="0" xfId="0" applyFill="1" applyAlignment="1">
      <alignment vertical="center" wrapText="1"/>
    </xf>
    <xf numFmtId="3" fontId="0" fillId="46" borderId="0" xfId="0" applyNumberFormat="1" applyFill="1" applyAlignment="1">
      <alignment vertical="center" wrapText="1"/>
    </xf>
    <xf numFmtId="0" fontId="54" fillId="11" borderId="0" xfId="26"/>
    <xf numFmtId="166" fontId="54" fillId="11" borderId="0" xfId="26" applyNumberFormat="1"/>
    <xf numFmtId="0" fontId="55" fillId="12" borderId="0" xfId="27" applyAlignment="1">
      <alignment wrapText="1"/>
    </xf>
    <xf numFmtId="9" fontId="55" fillId="12" borderId="0" xfId="27" applyNumberFormat="1"/>
    <xf numFmtId="1" fontId="55" fillId="12" borderId="0" xfId="27" applyNumberFormat="1"/>
    <xf numFmtId="0" fontId="54" fillId="11" borderId="0" xfId="26" applyAlignment="1">
      <alignment wrapText="1"/>
    </xf>
    <xf numFmtId="0" fontId="54" fillId="11" borderId="0" xfId="26" applyAlignment="1">
      <alignment horizontal="left" vertical="top" wrapText="1"/>
    </xf>
    <xf numFmtId="0" fontId="54" fillId="11" borderId="0" xfId="26" applyAlignment="1"/>
    <xf numFmtId="0" fontId="54" fillId="11" borderId="0" xfId="26" applyBorder="1" applyAlignment="1"/>
    <xf numFmtId="0" fontId="1" fillId="46" borderId="0" xfId="1" applyFill="1"/>
    <xf numFmtId="0" fontId="70" fillId="11" borderId="0" xfId="26" applyFont="1" applyAlignment="1">
      <alignment wrapText="1"/>
    </xf>
    <xf numFmtId="0" fontId="29" fillId="0" borderId="21" xfId="11">
      <alignment wrapText="1"/>
    </xf>
    <xf numFmtId="0" fontId="29" fillId="11" borderId="21" xfId="11" applyFill="1">
      <alignment wrapText="1"/>
    </xf>
    <xf numFmtId="166" fontId="29" fillId="11" borderId="21" xfId="11" applyNumberFormat="1" applyFill="1">
      <alignment wrapText="1"/>
    </xf>
    <xf numFmtId="0" fontId="58" fillId="14" borderId="39" xfId="30"/>
    <xf numFmtId="0" fontId="58" fillId="14" borderId="39" xfId="30" applyAlignment="1">
      <alignment wrapText="1"/>
    </xf>
    <xf numFmtId="0" fontId="3" fillId="0" borderId="0" xfId="0" applyFont="1" applyAlignment="1">
      <alignment horizontal="left" vertical="top" wrapText="1"/>
    </xf>
    <xf numFmtId="0" fontId="0" fillId="0" borderId="15" xfId="0" applyBorder="1"/>
    <xf numFmtId="0" fontId="54" fillId="11" borderId="15" xfId="26" applyBorder="1"/>
    <xf numFmtId="0" fontId="54" fillId="11" borderId="0" xfId="26" applyAlignment="1">
      <alignment horizontal="left" vertical="top" wrapText="1"/>
    </xf>
    <xf numFmtId="0" fontId="53" fillId="10" borderId="0" xfId="25" applyAlignment="1">
      <alignment wrapText="1"/>
    </xf>
    <xf numFmtId="0" fontId="0" fillId="42" borderId="15" xfId="0" applyFill="1" applyBorder="1"/>
    <xf numFmtId="3" fontId="0" fillId="42" borderId="15" xfId="0" applyNumberFormat="1" applyFill="1" applyBorder="1"/>
    <xf numFmtId="165" fontId="5" fillId="42" borderId="15" xfId="6" applyNumberFormat="1" applyFont="1" applyFill="1" applyBorder="1"/>
    <xf numFmtId="166" fontId="0" fillId="0" borderId="15" xfId="0" applyNumberFormat="1" applyBorder="1"/>
    <xf numFmtId="1" fontId="0" fillId="0" borderId="15" xfId="0" applyNumberFormat="1" applyBorder="1"/>
    <xf numFmtId="0" fontId="53" fillId="10" borderId="2" xfId="25" applyBorder="1" applyAlignment="1">
      <alignment horizontal="centerContinuous"/>
    </xf>
    <xf numFmtId="0" fontId="53" fillId="10" borderId="0" xfId="25" applyBorder="1" applyAlignment="1"/>
    <xf numFmtId="0" fontId="53" fillId="10" borderId="1" xfId="25" applyBorder="1" applyAlignment="1"/>
    <xf numFmtId="0" fontId="53" fillId="10" borderId="2" xfId="25" applyBorder="1" applyAlignment="1">
      <alignment horizontal="center"/>
    </xf>
    <xf numFmtId="0" fontId="68" fillId="47" borderId="0" xfId="0" applyFont="1" applyFill="1"/>
    <xf numFmtId="0" fontId="5" fillId="0" borderId="1" xfId="0" applyFont="1" applyBorder="1"/>
    <xf numFmtId="0" fontId="71" fillId="0" borderId="2" xfId="0" applyFont="1" applyBorder="1" applyAlignment="1">
      <alignment horizontal="center"/>
    </xf>
    <xf numFmtId="11" fontId="5" fillId="0" borderId="0" xfId="0" applyNumberFormat="1" applyFont="1"/>
    <xf numFmtId="0" fontId="71" fillId="0" borderId="2" xfId="0" applyFont="1" applyBorder="1" applyAlignment="1">
      <alignment horizontal="center"/>
    </xf>
    <xf numFmtId="0" fontId="72" fillId="44" borderId="0" xfId="27" applyFont="1" applyFill="1"/>
    <xf numFmtId="0" fontId="55" fillId="44" borderId="0" xfId="27" applyFill="1"/>
    <xf numFmtId="9" fontId="55" fillId="44" borderId="0" xfId="27" applyNumberFormat="1" applyFill="1"/>
    <xf numFmtId="43" fontId="55" fillId="44" borderId="0" xfId="27" applyNumberFormat="1" applyFill="1"/>
    <xf numFmtId="0" fontId="55" fillId="44" borderId="2" xfId="27" applyFill="1" applyBorder="1" applyAlignment="1">
      <alignment horizontal="centerContinuous"/>
    </xf>
    <xf numFmtId="0" fontId="55" fillId="44" borderId="0" xfId="27" applyFill="1" applyBorder="1" applyAlignment="1"/>
    <xf numFmtId="0" fontId="55" fillId="44" borderId="1" xfId="27" applyFill="1" applyBorder="1" applyAlignment="1"/>
    <xf numFmtId="0" fontId="55" fillId="44" borderId="2" xfId="27" applyFill="1" applyBorder="1" applyAlignment="1">
      <alignment horizontal="center"/>
    </xf>
    <xf numFmtId="10" fontId="55" fillId="44" borderId="0" xfId="27" applyNumberFormat="1" applyFill="1" applyAlignment="1">
      <alignment vertical="center" wrapText="1"/>
    </xf>
    <xf numFmtId="0" fontId="73" fillId="10" borderId="0" xfId="25" applyFont="1" applyBorder="1" applyAlignment="1"/>
    <xf numFmtId="0" fontId="67" fillId="10" borderId="0" xfId="25" applyFont="1" applyBorder="1" applyAlignment="1"/>
    <xf numFmtId="167" fontId="53" fillId="10" borderId="0" xfId="2" applyNumberFormat="1" applyFont="1" applyFill="1"/>
    <xf numFmtId="167" fontId="55" fillId="44" borderId="0" xfId="2" applyNumberFormat="1" applyFont="1" applyFill="1"/>
  </cellXfs>
  <cellStyles count="77">
    <cellStyle name="20% - Accent1" xfId="38" builtinId="30" customBuiltin="1"/>
    <cellStyle name="20% - Accent2" xfId="41" builtinId="34" customBuiltin="1"/>
    <cellStyle name="20% - Accent3" xfId="44" builtinId="38" customBuiltin="1"/>
    <cellStyle name="20% - Accent4" xfId="47" builtinId="42" customBuiltin="1"/>
    <cellStyle name="20% - Accent5" xfId="50" builtinId="46" customBuiltin="1"/>
    <cellStyle name="20% - Accent6" xfId="53" builtinId="50" customBuiltin="1"/>
    <cellStyle name="40% - Accent1" xfId="39" builtinId="31" customBuiltin="1"/>
    <cellStyle name="40% - Accent2" xfId="42" builtinId="35" customBuiltin="1"/>
    <cellStyle name="40% - Accent3" xfId="45" builtinId="39" customBuiltin="1"/>
    <cellStyle name="40% - Accent4" xfId="48" builtinId="43" customBuiltin="1"/>
    <cellStyle name="40% - Accent5" xfId="51" builtinId="47" customBuiltin="1"/>
    <cellStyle name="40% - Accent6" xfId="54" builtinId="51" customBuiltin="1"/>
    <cellStyle name="60% - Accent1 2" xfId="64" xr:uid="{21B47966-C024-45DF-BDA5-C6EF5611B51B}"/>
    <cellStyle name="60% - Accent2 2" xfId="65" xr:uid="{1C2CB0A8-1B0F-4E59-B942-6909B2AAB014}"/>
    <cellStyle name="60% - Accent3 2" xfId="66" xr:uid="{CCC7A20A-EADF-4041-9E1F-8E8D2CB4ED0D}"/>
    <cellStyle name="60% - Accent4 2" xfId="67" xr:uid="{BBE21B72-6967-4BF3-A24A-AD64253A0538}"/>
    <cellStyle name="60% - Accent5 2" xfId="68" xr:uid="{A825B06D-C50A-4CFA-BDF3-0876493440D4}"/>
    <cellStyle name="60% - Accent6 2" xfId="69" xr:uid="{158A53F1-649E-4890-A198-8EAA2A5C5DEC}"/>
    <cellStyle name="Accent1" xfId="37" builtinId="29" customBuiltin="1"/>
    <cellStyle name="Accent2" xfId="40" builtinId="33" customBuiltin="1"/>
    <cellStyle name="Accent3" xfId="43" builtinId="37" customBuiltin="1"/>
    <cellStyle name="Accent4" xfId="46" builtinId="41" customBuiltin="1"/>
    <cellStyle name="Accent5" xfId="49" builtinId="45" customBuiltin="1"/>
    <cellStyle name="Accent6" xfId="52" builtinId="49" customBuiltin="1"/>
    <cellStyle name="Bad" xfId="26" builtinId="27" customBuiltin="1"/>
    <cellStyle name="Body: normal cell" xfId="9" xr:uid="{B352F32B-64D4-4C52-841B-DB9D34D77F05}"/>
    <cellStyle name="Calculation" xfId="30" builtinId="22" customBuiltin="1"/>
    <cellStyle name="Check Cell" xfId="32" builtinId="23" customBuiltin="1"/>
    <cellStyle name="Comma" xfId="6" builtinId="3"/>
    <cellStyle name="Comma 2" xfId="4" xr:uid="{BF7E49F0-0C75-475B-A333-3267E1799EF6}"/>
    <cellStyle name="Comma 3" xfId="7" xr:uid="{868043A8-5C47-4E60-8C8D-86EA72008289}"/>
    <cellStyle name="Currency 2" xfId="63" xr:uid="{235CD11C-A133-4B87-A806-4A21956F1879}"/>
    <cellStyle name="Explanatory Text" xfId="35" builtinId="53" customBuiltin="1"/>
    <cellStyle name="Followed Hyperlink 2" xfId="17" xr:uid="{C638EEBB-79D8-47F1-BD20-EB48A8D636EA}"/>
    <cellStyle name="Followed Hyperlink 3" xfId="76" xr:uid="{92F29E35-9297-44BE-A92D-9D31F320280F}"/>
    <cellStyle name="Font: Calibri, 9pt regular" xfId="15" xr:uid="{E2F8647B-CFA4-4CCE-AAA2-12BC4ADE9A57}"/>
    <cellStyle name="Footnotes: all except top row" xfId="18" xr:uid="{9E013DBD-8507-4395-BF97-5B85C59E8B49}"/>
    <cellStyle name="Footnotes: top row" xfId="13" xr:uid="{88CA9D3E-0C8B-47F1-A128-14B705C0CC53}"/>
    <cellStyle name="Good" xfId="25" builtinId="26" customBuiltin="1"/>
    <cellStyle name="Header: bottom row" xfId="8" xr:uid="{6D0DA41A-596F-432E-841B-14D1C3E1AB36}"/>
    <cellStyle name="Header: top rows" xfId="10" xr:uid="{DB2CCF3E-980A-4DC2-8703-A13E57C42FF1}"/>
    <cellStyle name="Heading 1" xfId="21" builtinId="16" customBuiltin="1"/>
    <cellStyle name="Heading 2" xfId="22" builtinId="17" customBuiltin="1"/>
    <cellStyle name="Heading 3" xfId="23" builtinId="18" customBuiltin="1"/>
    <cellStyle name="Heading 4" xfId="24" builtinId="19" customBuiltin="1"/>
    <cellStyle name="Hyperlink" xfId="1" builtinId="8"/>
    <cellStyle name="Hyperlink 2" xfId="16" xr:uid="{822D4C4D-C181-48E2-AB3B-F6BC2E8B13BA}"/>
    <cellStyle name="Hyperlink 3" xfId="75" xr:uid="{41C9B766-CDD8-4B88-9842-D7138BAAD82A}"/>
    <cellStyle name="Input" xfId="28" builtinId="20" customBuiltin="1"/>
    <cellStyle name="Linked Cell" xfId="31" builtinId="24" customBuiltin="1"/>
    <cellStyle name="Neutral" xfId="27" builtinId="28"/>
    <cellStyle name="Neutral 2" xfId="70" xr:uid="{2BF71392-25EC-4BB9-A070-013155445BE1}"/>
    <cellStyle name="Normal" xfId="0" builtinId="0"/>
    <cellStyle name="Normal 2" xfId="3" xr:uid="{82A91925-2E09-45F7-9E62-3451E64110FD}"/>
    <cellStyle name="Normal 2 2" xfId="57" xr:uid="{CBC41EAC-CEF1-431F-9B8B-E6D183347265}"/>
    <cellStyle name="Normal 2 3" xfId="55" xr:uid="{C5B69FE8-0373-45AA-89BE-3607F172B93A}"/>
    <cellStyle name="Normal 3" xfId="56" xr:uid="{503F4412-88FF-42BF-928D-B9082B33227A}"/>
    <cellStyle name="Normal 3 2" xfId="58" xr:uid="{0614345D-29BD-43BF-AA14-ECB03819ACD8}"/>
    <cellStyle name="Normal 3 3" xfId="73" xr:uid="{7AE919D6-DBBA-4F91-9EFC-C6E3EBF11FD8}"/>
    <cellStyle name="Normal 4" xfId="59" xr:uid="{DD4E449C-4D07-452A-8B42-174C6EF9BFFF}"/>
    <cellStyle name="Normal 4 2" xfId="74" xr:uid="{3182E514-57FC-4F53-9A41-49B1391604D8}"/>
    <cellStyle name="Normal 5" xfId="60" xr:uid="{72589E79-EA31-44A3-A357-D5FDC1CDF969}"/>
    <cellStyle name="Normal 5 2" xfId="72" xr:uid="{A4526629-616D-4EB1-8B27-158B862F6259}"/>
    <cellStyle name="Normal 6" xfId="61" xr:uid="{D986F843-B7B4-4F6A-8A3C-4BBDAD5B24C1}"/>
    <cellStyle name="Normal 7" xfId="62" xr:uid="{D9F3E715-6881-49C6-B943-13A2261481EE}"/>
    <cellStyle name="Normal_Sheet1" xfId="20" xr:uid="{5A34FA19-2EDE-4BEC-809E-33034301C778}"/>
    <cellStyle name="Note" xfId="34" builtinId="10" customBuiltin="1"/>
    <cellStyle name="Output" xfId="29" builtinId="21" customBuiltin="1"/>
    <cellStyle name="Parent row" xfId="12" xr:uid="{26B84C06-9446-462A-BA99-BBDC0ADA164E}"/>
    <cellStyle name="Percent" xfId="2" builtinId="5"/>
    <cellStyle name="RSE" xfId="5" xr:uid="{9ACE4371-65A7-478E-8FB2-C16B20BA07FF}"/>
    <cellStyle name="Section Break" xfId="14" xr:uid="{1528E5BD-F034-48CB-8FE2-48000F9DF22B}"/>
    <cellStyle name="Section Break: parent row" xfId="11" xr:uid="{A36FE749-5E60-405C-A217-6C2FEAA24F6E}"/>
    <cellStyle name="Table title" xfId="19" xr:uid="{969B2D9A-C065-48F9-9A2B-C3E6F8335253}"/>
    <cellStyle name="Title 2" xfId="71" xr:uid="{08D65020-CD08-4FA6-94EA-03743FBFA7EC}"/>
    <cellStyle name="Total" xfId="36" builtinId="25" customBuiltin="1"/>
    <cellStyle name="Warning Text" xfId="33" builtinId="11" customBuiltin="1"/>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2" defaultPivotStyle="PivotStyleMedium9">
    <tableStyle name="Table Style 1" pivot="0" count="2" xr9:uid="{569B916B-D957-4961-87F2-E7DF805E05CF}">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End Use of Fossil Fuel Energy in Homes</a:t>
            </a:r>
            <a:r>
              <a:rPr lang="en-US" baseline="0"/>
              <a:t> (Share of BTU's)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46C-427A-8125-EA65451B67C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46C-427A-8125-EA65451B67C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46C-427A-8125-EA65451B67C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'RECS Consumption'!$W$6:$Y$6</c:f>
              <c:strCache>
                <c:ptCount val="3"/>
                <c:pt idx="0">
                  <c:v>Space heating</c:v>
                </c:pt>
                <c:pt idx="1">
                  <c:v>Water heating</c:v>
                </c:pt>
                <c:pt idx="2">
                  <c:v>Other</c:v>
                </c:pt>
              </c:strCache>
            </c:strRef>
          </c:cat>
          <c:val>
            <c:numRef>
              <c:f>'RECS Consumption'!$W$7:$Y$7</c:f>
              <c:numCache>
                <c:formatCode>#,##0</c:formatCode>
                <c:ptCount val="3"/>
                <c:pt idx="0">
                  <c:v>963</c:v>
                </c:pt>
                <c:pt idx="1">
                  <c:v>291</c:v>
                </c:pt>
                <c:pt idx="2">
                  <c:v>102</c:v>
                </c:pt>
              </c:numCache>
            </c:numRef>
          </c:val>
          <c:extLst>
            <c:ext xmlns:c16="http://schemas.microsoft.com/office/drawing/2014/chart" uri="{C3380CC4-5D6E-409C-BE32-E72D297353CC}">
              <c16:uniqueId val="{00000000-DF81-4FAA-B16D-7F03CE989E00}"/>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kern="1200" spc="0" baseline="0">
                <a:solidFill>
                  <a:sysClr val="windowText" lastClr="000000">
                    <a:lumMod val="65000"/>
                    <a:lumOff val="35000"/>
                  </a:sysClr>
                </a:solidFill>
              </a:rPr>
              <a:t>Massachusetts Residential Energy Use per square foot (kbtu/sqft)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'Energy Use Ratios'!$J$7</c:f>
              <c:strCache>
                <c:ptCount val="1"/>
                <c:pt idx="0">
                  <c:v>Fossil</c:v>
                </c:pt>
              </c:strCache>
            </c:strRef>
          </c:tx>
          <c:spPr>
            <a:solidFill>
              <a:schemeClr val="accent1"/>
            </a:solidFill>
            <a:ln>
              <a:noFill/>
            </a:ln>
            <a:effectLst/>
          </c:spPr>
          <c:cat>
            <c:numRef>
              <c:f>'Energy Use Ratios'!$A$9:$A$70</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'Energy Use Ratios'!$J$9:$J$69</c:f>
              <c:numCache>
                <c:formatCode>0.0</c:formatCode>
                <c:ptCount val="61"/>
                <c:pt idx="0">
                  <c:v>138.26016695318614</c:v>
                </c:pt>
                <c:pt idx="1">
                  <c:v>140.89926784289028</c:v>
                </c:pt>
                <c:pt idx="2">
                  <c:v>132.78862272917317</c:v>
                </c:pt>
                <c:pt idx="3">
                  <c:v>127.38093991637443</c:v>
                </c:pt>
                <c:pt idx="4">
                  <c:v>135.17227319315535</c:v>
                </c:pt>
                <c:pt idx="5">
                  <c:v>120.59687976918637</c:v>
                </c:pt>
                <c:pt idx="6">
                  <c:v>127.75070977636152</c:v>
                </c:pt>
                <c:pt idx="7">
                  <c:v>128.6714042214893</c:v>
                </c:pt>
                <c:pt idx="8">
                  <c:v>130.53675463340855</c:v>
                </c:pt>
                <c:pt idx="9">
                  <c:v>131.808867940678</c:v>
                </c:pt>
                <c:pt idx="10">
                  <c:v>132.52010469272381</c:v>
                </c:pt>
                <c:pt idx="11">
                  <c:v>134.97644852950202</c:v>
                </c:pt>
                <c:pt idx="12">
                  <c:v>130.84980734894881</c:v>
                </c:pt>
                <c:pt idx="13">
                  <c:v>122.6500933826195</c:v>
                </c:pt>
                <c:pt idx="14">
                  <c:v>119.93138185294012</c:v>
                </c:pt>
                <c:pt idx="15">
                  <c:v>127.24440046922916</c:v>
                </c:pt>
                <c:pt idx="16">
                  <c:v>122.91143705142009</c:v>
                </c:pt>
                <c:pt idx="17">
                  <c:v>114.94976641569259</c:v>
                </c:pt>
                <c:pt idx="18">
                  <c:v>85.98695144563716</c:v>
                </c:pt>
                <c:pt idx="19">
                  <c:v>79.820853346348088</c:v>
                </c:pt>
                <c:pt idx="20">
                  <c:v>70.060849084210915</c:v>
                </c:pt>
                <c:pt idx="21">
                  <c:v>70.33208349772282</c:v>
                </c:pt>
                <c:pt idx="22">
                  <c:v>67.376502840324534</c:v>
                </c:pt>
                <c:pt idx="23">
                  <c:v>76.54854278364823</c:v>
                </c:pt>
                <c:pt idx="24">
                  <c:v>74.826759337127328</c:v>
                </c:pt>
                <c:pt idx="25">
                  <c:v>76.031246531713194</c:v>
                </c:pt>
                <c:pt idx="26">
                  <c:v>77.045994495106342</c:v>
                </c:pt>
                <c:pt idx="27">
                  <c:v>76.36995247867533</c:v>
                </c:pt>
                <c:pt idx="28">
                  <c:v>79.244225577652969</c:v>
                </c:pt>
                <c:pt idx="29">
                  <c:v>72.124939181433334</c:v>
                </c:pt>
                <c:pt idx="30">
                  <c:v>67.971923131447895</c:v>
                </c:pt>
                <c:pt idx="31">
                  <c:v>77.528112643921276</c:v>
                </c:pt>
                <c:pt idx="32">
                  <c:v>77.401690753942574</c:v>
                </c:pt>
                <c:pt idx="33">
                  <c:v>75.604530996894496</c:v>
                </c:pt>
                <c:pt idx="34">
                  <c:v>67.278900991155837</c:v>
                </c:pt>
                <c:pt idx="35">
                  <c:v>66.511440698560335</c:v>
                </c:pt>
                <c:pt idx="36">
                  <c:v>64.978858758585758</c:v>
                </c:pt>
                <c:pt idx="37">
                  <c:v>58.853725835156851</c:v>
                </c:pt>
                <c:pt idx="38">
                  <c:v>61.895187032405111</c:v>
                </c:pt>
                <c:pt idx="39">
                  <c:v>67.654268192039865</c:v>
                </c:pt>
                <c:pt idx="40">
                  <c:v>67.558246753309732</c:v>
                </c:pt>
                <c:pt idx="41">
                  <c:v>66.579980844502472</c:v>
                </c:pt>
                <c:pt idx="42">
                  <c:v>68.966369712682976</c:v>
                </c:pt>
                <c:pt idx="43">
                  <c:v>62.150625056532412</c:v>
                </c:pt>
                <c:pt idx="44">
                  <c:v>61.471941285688949</c:v>
                </c:pt>
                <c:pt idx="45">
                  <c:v>52.46024634191825</c:v>
                </c:pt>
                <c:pt idx="46">
                  <c:v>55.231951756850776</c:v>
                </c:pt>
                <c:pt idx="47">
                  <c:v>59.050859503498607</c:v>
                </c:pt>
                <c:pt idx="48">
                  <c:v>57.067092801816223</c:v>
                </c:pt>
                <c:pt idx="49">
                  <c:v>55.387355455412511</c:v>
                </c:pt>
                <c:pt idx="50">
                  <c:v>55.519088205728366</c:v>
                </c:pt>
                <c:pt idx="51">
                  <c:v>48.127187685661553</c:v>
                </c:pt>
                <c:pt idx="52">
                  <c:v>49.849972524130713</c:v>
                </c:pt>
                <c:pt idx="53">
                  <c:v>54.418231636498398</c:v>
                </c:pt>
                <c:pt idx="54">
                  <c:v>53.858683036759274</c:v>
                </c:pt>
                <c:pt idx="55">
                  <c:v>45.370585363297572</c:v>
                </c:pt>
                <c:pt idx="56">
                  <c:v>48.825618282511755</c:v>
                </c:pt>
                <c:pt idx="57">
                  <c:v>52.22643274876755</c:v>
                </c:pt>
                <c:pt idx="58">
                  <c:v>53.184610202829809</c:v>
                </c:pt>
                <c:pt idx="59">
                  <c:v>47.005466608952474</c:v>
                </c:pt>
                <c:pt idx="60">
                  <c:v>47.949307611185397</c:v>
                </c:pt>
              </c:numCache>
            </c:numRef>
          </c:val>
          <c:extLst>
            <c:ext xmlns:c16="http://schemas.microsoft.com/office/drawing/2014/chart" uri="{C3380CC4-5D6E-409C-BE32-E72D297353CC}">
              <c16:uniqueId val="{00000001-A38E-4495-9E51-678335010736}"/>
            </c:ext>
          </c:extLst>
        </c:ser>
        <c:ser>
          <c:idx val="2"/>
          <c:order val="1"/>
          <c:tx>
            <c:strRef>
              <c:f>'Energy Use Ratios'!$K$7</c:f>
              <c:strCache>
                <c:ptCount val="1"/>
                <c:pt idx="0">
                  <c:v>Electric</c:v>
                </c:pt>
              </c:strCache>
            </c:strRef>
          </c:tx>
          <c:spPr>
            <a:solidFill>
              <a:schemeClr val="accent2"/>
            </a:solidFill>
            <a:ln>
              <a:noFill/>
            </a:ln>
            <a:effectLst/>
          </c:spPr>
          <c:cat>
            <c:numRef>
              <c:f>'Energy Use Ratios'!$A$9:$A$70</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'Energy Use Ratios'!$K$9:$K$69</c:f>
              <c:numCache>
                <c:formatCode>0.0</c:formatCode>
                <c:ptCount val="61"/>
                <c:pt idx="0">
                  <c:v>7.1142672230481692</c:v>
                </c:pt>
                <c:pt idx="1">
                  <c:v>7.4498463457160398</c:v>
                </c:pt>
                <c:pt idx="2">
                  <c:v>7.843284034827537</c:v>
                </c:pt>
                <c:pt idx="3">
                  <c:v>8.2311836174775852</c:v>
                </c:pt>
                <c:pt idx="4">
                  <c:v>8.7307992849349514</c:v>
                </c:pt>
                <c:pt idx="5">
                  <c:v>9.1899850866525927</c:v>
                </c:pt>
                <c:pt idx="6">
                  <c:v>10.0867070950891</c:v>
                </c:pt>
                <c:pt idx="7">
                  <c:v>10.926522522414993</c:v>
                </c:pt>
                <c:pt idx="8">
                  <c:v>11.912257100091654</c:v>
                </c:pt>
                <c:pt idx="9">
                  <c:v>13.029288158264098</c:v>
                </c:pt>
                <c:pt idx="10">
                  <c:v>13.928419339494983</c:v>
                </c:pt>
                <c:pt idx="11">
                  <c:v>14.773541630094744</c:v>
                </c:pt>
                <c:pt idx="12">
                  <c:v>15.503531676415736</c:v>
                </c:pt>
                <c:pt idx="13">
                  <c:v>14.873612070653484</c:v>
                </c:pt>
                <c:pt idx="14">
                  <c:v>13.668788575390034</c:v>
                </c:pt>
                <c:pt idx="15">
                  <c:v>14.241556218502268</c:v>
                </c:pt>
                <c:pt idx="16">
                  <c:v>13.88954355917393</c:v>
                </c:pt>
                <c:pt idx="17">
                  <c:v>13.964160171979104</c:v>
                </c:pt>
                <c:pt idx="18">
                  <c:v>14.007899358311816</c:v>
                </c:pt>
                <c:pt idx="19">
                  <c:v>14.037950610778047</c:v>
                </c:pt>
                <c:pt idx="20">
                  <c:v>14.019196983249829</c:v>
                </c:pt>
                <c:pt idx="21">
                  <c:v>14.247559262292539</c:v>
                </c:pt>
                <c:pt idx="22">
                  <c:v>14.65007036117826</c:v>
                </c:pt>
                <c:pt idx="23">
                  <c:v>14.783906790954362</c:v>
                </c:pt>
                <c:pt idx="24">
                  <c:v>14.790554406260568</c:v>
                </c:pt>
                <c:pt idx="25">
                  <c:v>15.298568252695109</c:v>
                </c:pt>
                <c:pt idx="26">
                  <c:v>15.95168536487113</c:v>
                </c:pt>
                <c:pt idx="27">
                  <c:v>16.728656257233641</c:v>
                </c:pt>
                <c:pt idx="28">
                  <c:v>16.699331516168154</c:v>
                </c:pt>
                <c:pt idx="29">
                  <c:v>16.286276589355914</c:v>
                </c:pt>
                <c:pt idx="30">
                  <c:v>15.930919483933103</c:v>
                </c:pt>
                <c:pt idx="31">
                  <c:v>15.993561699270474</c:v>
                </c:pt>
                <c:pt idx="32">
                  <c:v>16.076882973554934</c:v>
                </c:pt>
                <c:pt idx="33">
                  <c:v>16.171460962645664</c:v>
                </c:pt>
                <c:pt idx="34">
                  <c:v>15.922964863966659</c:v>
                </c:pt>
                <c:pt idx="35">
                  <c:v>16.014685287505852</c:v>
                </c:pt>
                <c:pt idx="36">
                  <c:v>15.845020479356366</c:v>
                </c:pt>
                <c:pt idx="37">
                  <c:v>15.786580010485933</c:v>
                </c:pt>
                <c:pt idx="38">
                  <c:v>16.548172186752133</c:v>
                </c:pt>
                <c:pt idx="39">
                  <c:v>16.52054897962979</c:v>
                </c:pt>
                <c:pt idx="40">
                  <c:v>16.739614005864478</c:v>
                </c:pt>
                <c:pt idx="41">
                  <c:v>17.211518548943509</c:v>
                </c:pt>
                <c:pt idx="42">
                  <c:v>17.828767402504724</c:v>
                </c:pt>
                <c:pt idx="43">
                  <c:v>17.82144091468113</c:v>
                </c:pt>
                <c:pt idx="44">
                  <c:v>18.274737422081408</c:v>
                </c:pt>
                <c:pt idx="45">
                  <c:v>17.254965659835651</c:v>
                </c:pt>
                <c:pt idx="46">
                  <c:v>17.502006852839703</c:v>
                </c:pt>
                <c:pt idx="47">
                  <c:v>16.93667631307537</c:v>
                </c:pt>
                <c:pt idx="48">
                  <c:v>16.692753136742724</c:v>
                </c:pt>
                <c:pt idx="49">
                  <c:v>18.278828879950783</c:v>
                </c:pt>
                <c:pt idx="50">
                  <c:v>17.418241766518911</c:v>
                </c:pt>
                <c:pt idx="51">
                  <c:v>17.191825291836835</c:v>
                </c:pt>
                <c:pt idx="52">
                  <c:v>17.43885728577952</c:v>
                </c:pt>
                <c:pt idx="53">
                  <c:v>16.768550909132436</c:v>
                </c:pt>
                <c:pt idx="54">
                  <c:v>16.7290175753004</c:v>
                </c:pt>
                <c:pt idx="55">
                  <c:v>16.226201896825955</c:v>
                </c:pt>
                <c:pt idx="56">
                  <c:v>15.812025547820292</c:v>
                </c:pt>
                <c:pt idx="57">
                  <c:v>16.450018872165291</c:v>
                </c:pt>
                <c:pt idx="58">
                  <c:v>15.535752714390448</c:v>
                </c:pt>
                <c:pt idx="59">
                  <c:v>16.237826693187166</c:v>
                </c:pt>
                <c:pt idx="60">
                  <c:v>16.091462554262215</c:v>
                </c:pt>
              </c:numCache>
            </c:numRef>
          </c:val>
          <c:extLst>
            <c:ext xmlns:c16="http://schemas.microsoft.com/office/drawing/2014/chart" uri="{C3380CC4-5D6E-409C-BE32-E72D297353CC}">
              <c16:uniqueId val="{00000002-A38E-4495-9E51-678335010736}"/>
            </c:ext>
          </c:extLst>
        </c:ser>
        <c:ser>
          <c:idx val="3"/>
          <c:order val="2"/>
          <c:tx>
            <c:strRef>
              <c:f>'Energy Use Ratios'!$L$7</c:f>
              <c:strCache>
                <c:ptCount val="1"/>
                <c:pt idx="0">
                  <c:v>Renewable</c:v>
                </c:pt>
              </c:strCache>
            </c:strRef>
          </c:tx>
          <c:spPr>
            <a:solidFill>
              <a:schemeClr val="accent3"/>
            </a:solidFill>
            <a:ln>
              <a:noFill/>
            </a:ln>
            <a:effectLst/>
          </c:spPr>
          <c:cat>
            <c:numRef>
              <c:f>'Energy Use Ratios'!$A$9:$A$70</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'Energy Use Ratios'!$L$9:$L$69</c:f>
              <c:numCache>
                <c:formatCode>0.0</c:formatCode>
                <c:ptCount val="61"/>
                <c:pt idx="0">
                  <c:v>3.9315687285266203</c:v>
                </c:pt>
                <c:pt idx="1">
                  <c:v>3.8406040167355981</c:v>
                </c:pt>
                <c:pt idx="2">
                  <c:v>3.693639574540875</c:v>
                </c:pt>
                <c:pt idx="3">
                  <c:v>3.4633941997036835</c:v>
                </c:pt>
                <c:pt idx="4">
                  <c:v>3.3682271353048545</c:v>
                </c:pt>
                <c:pt idx="5">
                  <c:v>3.2945229555924387</c:v>
                </c:pt>
                <c:pt idx="6">
                  <c:v>3.4619630283992247</c:v>
                </c:pt>
                <c:pt idx="7">
                  <c:v>3.5015496886503654</c:v>
                </c:pt>
                <c:pt idx="8">
                  <c:v>3.5695265177974989</c:v>
                </c:pt>
                <c:pt idx="9">
                  <c:v>3.7694795929569089</c:v>
                </c:pt>
                <c:pt idx="10">
                  <c:v>3.6422016088909297</c:v>
                </c:pt>
                <c:pt idx="11">
                  <c:v>3.7131361316280911</c:v>
                </c:pt>
                <c:pt idx="12">
                  <c:v>3.3720181396204221</c:v>
                </c:pt>
                <c:pt idx="13">
                  <c:v>3.4705094831524796</c:v>
                </c:pt>
                <c:pt idx="14">
                  <c:v>3.6901963647058498</c:v>
                </c:pt>
                <c:pt idx="15">
                  <c:v>4.053079968189941</c:v>
                </c:pt>
                <c:pt idx="16">
                  <c:v>4.409378907674264</c:v>
                </c:pt>
                <c:pt idx="17">
                  <c:v>5.2365600644921653</c:v>
                </c:pt>
                <c:pt idx="18">
                  <c:v>5.8186658872987538</c:v>
                </c:pt>
                <c:pt idx="19">
                  <c:v>14.926428497536151</c:v>
                </c:pt>
                <c:pt idx="20">
                  <c:v>13.492159502676527</c:v>
                </c:pt>
                <c:pt idx="21">
                  <c:v>12.122617660825924</c:v>
                </c:pt>
                <c:pt idx="22">
                  <c:v>14.719174466655517</c:v>
                </c:pt>
                <c:pt idx="23">
                  <c:v>9.7307469640230799</c:v>
                </c:pt>
                <c:pt idx="24">
                  <c:v>9.882779535092288</c:v>
                </c:pt>
                <c:pt idx="25">
                  <c:v>8.8362420080221753</c:v>
                </c:pt>
                <c:pt idx="26">
                  <c:v>6.1675544629360051</c:v>
                </c:pt>
                <c:pt idx="27">
                  <c:v>6.4195032518306787</c:v>
                </c:pt>
                <c:pt idx="28">
                  <c:v>6.4562471289274654</c:v>
                </c:pt>
                <c:pt idx="29">
                  <c:v>5.6022342403235568</c:v>
                </c:pt>
                <c:pt idx="30">
                  <c:v>5.8261648398383912</c:v>
                </c:pt>
                <c:pt idx="31">
                  <c:v>6.054060078254925</c:v>
                </c:pt>
                <c:pt idx="32">
                  <c:v>6.204066156770736</c:v>
                </c:pt>
                <c:pt idx="33">
                  <c:v>5.8134631562795542</c:v>
                </c:pt>
                <c:pt idx="34">
                  <c:v>5.7450990443249665</c:v>
                </c:pt>
                <c:pt idx="35">
                  <c:v>5.9153342052949549</c:v>
                </c:pt>
                <c:pt idx="36">
                  <c:v>4.1967892080457405</c:v>
                </c:pt>
                <c:pt idx="37">
                  <c:v>3.6995384282176333</c:v>
                </c:pt>
                <c:pt idx="38">
                  <c:v>3.7672904641004008</c:v>
                </c:pt>
                <c:pt idx="39">
                  <c:v>3.9991312221140562</c:v>
                </c:pt>
                <c:pt idx="40">
                  <c:v>3.1897961542119608</c:v>
                </c:pt>
                <c:pt idx="41">
                  <c:v>3.2102989143013749</c:v>
                </c:pt>
                <c:pt idx="42">
                  <c:v>3.3095316735188418</c:v>
                </c:pt>
                <c:pt idx="43">
                  <c:v>3.3794732401173104</c:v>
                </c:pt>
                <c:pt idx="44">
                  <c:v>0.99064197152509781</c:v>
                </c:pt>
                <c:pt idx="45">
                  <c:v>0.87562512303643614</c:v>
                </c:pt>
                <c:pt idx="46">
                  <c:v>0.94261172278758243</c:v>
                </c:pt>
                <c:pt idx="47">
                  <c:v>1.0617020972375604</c:v>
                </c:pt>
                <c:pt idx="48">
                  <c:v>2.6396672881897376</c:v>
                </c:pt>
                <c:pt idx="49">
                  <c:v>2.8294625526499164</c:v>
                </c:pt>
                <c:pt idx="50">
                  <c:v>2.76598688996223</c:v>
                </c:pt>
                <c:pt idx="51">
                  <c:v>2.3815515555791285</c:v>
                </c:pt>
                <c:pt idx="52">
                  <c:v>3.0832491665098161</c:v>
                </c:pt>
                <c:pt idx="53">
                  <c:v>3.2557916363716988</c:v>
                </c:pt>
                <c:pt idx="54">
                  <c:v>3.1366907953688243</c:v>
                </c:pt>
                <c:pt idx="55">
                  <c:v>3.0424128556548666</c:v>
                </c:pt>
                <c:pt idx="56">
                  <c:v>3.2821931818960302</c:v>
                </c:pt>
                <c:pt idx="57">
                  <c:v>3.6370706465914595</c:v>
                </c:pt>
                <c:pt idx="58">
                  <c:v>4.1020045103246403</c:v>
                </c:pt>
                <c:pt idx="59">
                  <c:v>3.6266039444438194</c:v>
                </c:pt>
                <c:pt idx="60">
                  <c:v>3.8313006081576706</c:v>
                </c:pt>
              </c:numCache>
            </c:numRef>
          </c:val>
          <c:extLst>
            <c:ext xmlns:c16="http://schemas.microsoft.com/office/drawing/2014/chart" uri="{C3380CC4-5D6E-409C-BE32-E72D297353CC}">
              <c16:uniqueId val="{00000003-A38E-4495-9E51-678335010736}"/>
            </c:ext>
          </c:extLst>
        </c:ser>
        <c:dLbls>
          <c:showLegendKey val="0"/>
          <c:showVal val="0"/>
          <c:showCatName val="0"/>
          <c:showSerName val="0"/>
          <c:showPercent val="0"/>
          <c:showBubbleSize val="0"/>
        </c:dLbls>
        <c:axId val="328882864"/>
        <c:axId val="1533568015"/>
      </c:areaChart>
      <c:catAx>
        <c:axId val="3288828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3568015"/>
        <c:crosses val="autoZero"/>
        <c:auto val="1"/>
        <c:lblAlgn val="ctr"/>
        <c:lblOffset val="100"/>
        <c:noMultiLvlLbl val="0"/>
      </c:catAx>
      <c:valAx>
        <c:axId val="153356801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8828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Actual kbt/sqft (blue)</a:t>
            </a:r>
            <a:r>
              <a:rPr lang="en-US" baseline="0"/>
              <a:t> vs modeled as if no retrofit improvement (orange)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0950594824175075E-2"/>
          <c:y val="1.1821402678783569E-2"/>
          <c:w val="0.94001877775982734"/>
          <c:h val="0.86154782672947006"/>
        </c:manualLayout>
      </c:layout>
      <c:lineChart>
        <c:grouping val="standard"/>
        <c:varyColors val="0"/>
        <c:ser>
          <c:idx val="0"/>
          <c:order val="0"/>
          <c:tx>
            <c:strRef>
              <c:f>'kbtu-sqft-year'!$AC$8</c:f>
              <c:strCache>
                <c:ptCount val="1"/>
                <c:pt idx="0">
                  <c:v> Actual kbtu/ sqkft </c:v>
                </c:pt>
              </c:strCache>
            </c:strRef>
          </c:tx>
          <c:spPr>
            <a:ln w="28575" cap="rnd">
              <a:solidFill>
                <a:schemeClr val="accent1"/>
              </a:solidFill>
              <a:round/>
            </a:ln>
            <a:effectLst/>
          </c:spPr>
          <c:marker>
            <c:symbol val="none"/>
          </c:marker>
          <c:cat>
            <c:strRef>
              <c:f>'kbtu-sqft-year'!$B$20:$B$81</c:f>
              <c:strCach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strCache>
            </c:strRef>
          </c:cat>
          <c:val>
            <c:numRef>
              <c:f>'kbtu-sqft-year'!$AC$9:$AC$81</c:f>
              <c:numCache>
                <c:formatCode>_(* #,##0.0_);_(* \(#,##0.0\);_(* "-"??_);_(@_)</c:formatCode>
                <c:ptCount val="62"/>
                <c:pt idx="0">
                  <c:v>145.74886929323685</c:v>
                </c:pt>
                <c:pt idx="1">
                  <c:v>147.60875678778984</c:v>
                </c:pt>
                <c:pt idx="2">
                  <c:v>149.98000692178937</c:v>
                </c:pt>
                <c:pt idx="3">
                  <c:v>142.3589953514566</c:v>
                </c:pt>
                <c:pt idx="4">
                  <c:v>137.03366187319224</c:v>
                </c:pt>
                <c:pt idx="5">
                  <c:v>144.04868133465362</c:v>
                </c:pt>
                <c:pt idx="6">
                  <c:v>131.21267280476073</c:v>
                </c:pt>
                <c:pt idx="7">
                  <c:v>139.47136470696515</c:v>
                </c:pt>
                <c:pt idx="8">
                  <c:v>140.78876684150134</c:v>
                </c:pt>
                <c:pt idx="9">
                  <c:v>144.14162182633049</c:v>
                </c:pt>
                <c:pt idx="10">
                  <c:v>145.16774984008134</c:v>
                </c:pt>
                <c:pt idx="11">
                  <c:v>148.13043078303554</c:v>
                </c:pt>
                <c:pt idx="12">
                  <c:v>150.57805140718784</c:v>
                </c:pt>
                <c:pt idx="13">
                  <c:v>147.32503443316517</c:v>
                </c:pt>
                <c:pt idx="14">
                  <c:v>139.21077510528087</c:v>
                </c:pt>
                <c:pt idx="15">
                  <c:v>135.57366572495894</c:v>
                </c:pt>
                <c:pt idx="16">
                  <c:v>143.81924203864224</c:v>
                </c:pt>
                <c:pt idx="17">
                  <c:v>139.75069672113463</c:v>
                </c:pt>
                <c:pt idx="18">
                  <c:v>132.50036085336484</c:v>
                </c:pt>
                <c:pt idx="19">
                  <c:v>104.698234175575</c:v>
                </c:pt>
                <c:pt idx="20">
                  <c:v>107.55078186899179</c:v>
                </c:pt>
                <c:pt idx="21">
                  <c:v>96.737095529062046</c:v>
                </c:pt>
                <c:pt idx="22">
                  <c:v>95.916498402431245</c:v>
                </c:pt>
                <c:pt idx="23">
                  <c:v>95.600321050051306</c:v>
                </c:pt>
                <c:pt idx="24">
                  <c:v>99.500093278480179</c:v>
                </c:pt>
                <c:pt idx="25">
                  <c:v>97.594314715468798</c:v>
                </c:pt>
                <c:pt idx="26">
                  <c:v>98.099635907851209</c:v>
                </c:pt>
                <c:pt idx="27">
                  <c:v>97.114751164394164</c:v>
                </c:pt>
                <c:pt idx="28">
                  <c:v>97.681777474686228</c:v>
                </c:pt>
                <c:pt idx="29">
                  <c:v>100.99328283512247</c:v>
                </c:pt>
                <c:pt idx="30">
                  <c:v>93.188292828873443</c:v>
                </c:pt>
                <c:pt idx="31">
                  <c:v>89.063958464675693</c:v>
                </c:pt>
                <c:pt idx="32">
                  <c:v>98.608859203288702</c:v>
                </c:pt>
                <c:pt idx="33">
                  <c:v>98.622303899930301</c:v>
                </c:pt>
                <c:pt idx="34">
                  <c:v>96.441840302450075</c:v>
                </c:pt>
                <c:pt idx="35">
                  <c:v>88.00863085926639</c:v>
                </c:pt>
                <c:pt idx="36">
                  <c:v>87.504482467076159</c:v>
                </c:pt>
                <c:pt idx="37">
                  <c:v>84.100957551390167</c:v>
                </c:pt>
                <c:pt idx="38">
                  <c:v>77.410842573440831</c:v>
                </c:pt>
                <c:pt idx="39">
                  <c:v>81.251314347227648</c:v>
                </c:pt>
                <c:pt idx="40">
                  <c:v>87.160498333467004</c:v>
                </c:pt>
                <c:pt idx="41">
                  <c:v>86.570161478933727</c:v>
                </c:pt>
                <c:pt idx="42">
                  <c:v>86.074513283050521</c:v>
                </c:pt>
                <c:pt idx="43">
                  <c:v>89.133606708094064</c:v>
                </c:pt>
                <c:pt idx="44">
                  <c:v>82.301492213282458</c:v>
                </c:pt>
                <c:pt idx="45">
                  <c:v>79.759147236583601</c:v>
                </c:pt>
                <c:pt idx="46">
                  <c:v>69.829695463804427</c:v>
                </c:pt>
                <c:pt idx="47">
                  <c:v>73.105772981214869</c:v>
                </c:pt>
                <c:pt idx="48">
                  <c:v>76.625770422879242</c:v>
                </c:pt>
                <c:pt idx="49">
                  <c:v>76.095015022151287</c:v>
                </c:pt>
                <c:pt idx="50">
                  <c:v>76.126936475987506</c:v>
                </c:pt>
                <c:pt idx="51">
                  <c:v>75.366183602597843</c:v>
                </c:pt>
                <c:pt idx="52">
                  <c:v>67.31349580324229</c:v>
                </c:pt>
                <c:pt idx="53">
                  <c:v>69.840402545627498</c:v>
                </c:pt>
                <c:pt idx="54">
                  <c:v>73.943230300128647</c:v>
                </c:pt>
                <c:pt idx="55">
                  <c:v>73.211077605917112</c:v>
                </c:pt>
                <c:pt idx="56">
                  <c:v>64.134533926537756</c:v>
                </c:pt>
                <c:pt idx="57">
                  <c:v>67.392779628018218</c:v>
                </c:pt>
                <c:pt idx="58">
                  <c:v>71.714354714985944</c:v>
                </c:pt>
                <c:pt idx="59">
                  <c:v>72.274706996044884</c:v>
                </c:pt>
                <c:pt idx="60">
                  <c:v>66.362770534028016</c:v>
                </c:pt>
                <c:pt idx="61">
                  <c:v>67.519926784320418</c:v>
                </c:pt>
              </c:numCache>
            </c:numRef>
          </c:val>
          <c:smooth val="0"/>
          <c:extLst>
            <c:ext xmlns:c16="http://schemas.microsoft.com/office/drawing/2014/chart" uri="{C3380CC4-5D6E-409C-BE32-E72D297353CC}">
              <c16:uniqueId val="{00000000-D700-4550-AF46-D058CCE89FF0}"/>
            </c:ext>
          </c:extLst>
        </c:ser>
        <c:ser>
          <c:idx val="1"/>
          <c:order val="1"/>
          <c:tx>
            <c:strRef>
              <c:f>'kbtu-sqft-year'!$AD$8</c:f>
              <c:strCache>
                <c:ptCount val="1"/>
                <c:pt idx="0">
                  <c:v> BSTR Predicted kbtu/sqft </c:v>
                </c:pt>
              </c:strCache>
            </c:strRef>
          </c:tx>
          <c:spPr>
            <a:ln w="28575" cap="rnd">
              <a:solidFill>
                <a:schemeClr val="accent2"/>
              </a:solidFill>
              <a:round/>
            </a:ln>
            <a:effectLst/>
          </c:spPr>
          <c:marker>
            <c:symbol val="none"/>
          </c:marker>
          <c:cat>
            <c:strRef>
              <c:f>'kbtu-sqft-year'!$B$20:$B$81</c:f>
              <c:strCach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strCache>
            </c:strRef>
          </c:cat>
          <c:val>
            <c:numRef>
              <c:f>'kbtu-sqft-year'!$AD$20:$AD$81</c:f>
              <c:numCache>
                <c:formatCode>_(* #,##0.0_);_(* \(#,##0.0\);_(* "-"??_);_(@_)</c:formatCode>
                <c:ptCount val="62"/>
                <c:pt idx="0">
                  <c:v>64.83674331456794</c:v>
                </c:pt>
                <c:pt idx="1">
                  <c:v>64.738386329724818</c:v>
                </c:pt>
                <c:pt idx="2">
                  <c:v>64.616302814896272</c:v>
                </c:pt>
                <c:pt idx="3">
                  <c:v>64.51078195320494</c:v>
                </c:pt>
                <c:pt idx="4">
                  <c:v>64.418458720464983</c:v>
                </c:pt>
                <c:pt idx="5">
                  <c:v>64.288005672627534</c:v>
                </c:pt>
                <c:pt idx="6">
                  <c:v>64.209090905228749</c:v>
                </c:pt>
                <c:pt idx="7">
                  <c:v>64.131035129979423</c:v>
                </c:pt>
                <c:pt idx="8">
                  <c:v>64.054284513802955</c:v>
                </c:pt>
                <c:pt idx="9">
                  <c:v>63.990764992971513</c:v>
                </c:pt>
                <c:pt idx="10">
                  <c:v>63.95107754574623</c:v>
                </c:pt>
                <c:pt idx="11">
                  <c:v>63.899391485088522</c:v>
                </c:pt>
                <c:pt idx="12">
                  <c:v>63.846768919525097</c:v>
                </c:pt>
                <c:pt idx="13">
                  <c:v>63.801609153741367</c:v>
                </c:pt>
                <c:pt idx="14">
                  <c:v>63.757703847760403</c:v>
                </c:pt>
                <c:pt idx="15">
                  <c:v>63.723199606632598</c:v>
                </c:pt>
                <c:pt idx="16">
                  <c:v>63.674946407673858</c:v>
                </c:pt>
                <c:pt idx="17">
                  <c:v>63.608571016415709</c:v>
                </c:pt>
                <c:pt idx="18">
                  <c:v>63.546305604914572</c:v>
                </c:pt>
                <c:pt idx="19">
                  <c:v>63.497244547892585</c:v>
                </c:pt>
                <c:pt idx="20">
                  <c:v>63.32518597675228</c:v>
                </c:pt>
                <c:pt idx="21">
                  <c:v>63.179475197013836</c:v>
                </c:pt>
                <c:pt idx="22">
                  <c:v>63.061950014504468</c:v>
                </c:pt>
                <c:pt idx="23">
                  <c:v>62.859248993916815</c:v>
                </c:pt>
                <c:pt idx="24">
                  <c:v>62.61424709336773</c:v>
                </c:pt>
                <c:pt idx="25">
                  <c:v>62.322055530612481</c:v>
                </c:pt>
                <c:pt idx="26">
                  <c:v>62.029058818082099</c:v>
                </c:pt>
                <c:pt idx="27">
                  <c:v>61.758128803511404</c:v>
                </c:pt>
                <c:pt idx="28">
                  <c:v>61.519651658326325</c:v>
                </c:pt>
                <c:pt idx="29">
                  <c:v>61.32581933247468</c:v>
                </c:pt>
                <c:pt idx="30">
                  <c:v>61.166417461569026</c:v>
                </c:pt>
                <c:pt idx="31">
                  <c:v>61.01729918993405</c:v>
                </c:pt>
                <c:pt idx="32">
                  <c:v>60.822252395929965</c:v>
                </c:pt>
                <c:pt idx="33">
                  <c:v>60.607248649272229</c:v>
                </c:pt>
                <c:pt idx="34">
                  <c:v>60.38253292527417</c:v>
                </c:pt>
                <c:pt idx="35">
                  <c:v>60.188384982455965</c:v>
                </c:pt>
                <c:pt idx="36">
                  <c:v>59.992034051564538</c:v>
                </c:pt>
                <c:pt idx="37">
                  <c:v>59.784425360333103</c:v>
                </c:pt>
                <c:pt idx="38">
                  <c:v>59.578369505954548</c:v>
                </c:pt>
                <c:pt idx="39">
                  <c:v>59.3807212299726</c:v>
                </c:pt>
                <c:pt idx="40">
                  <c:v>59.018268000198411</c:v>
                </c:pt>
                <c:pt idx="41">
                  <c:v>58.680855756410899</c:v>
                </c:pt>
                <c:pt idx="42">
                  <c:v>58.372560019849523</c:v>
                </c:pt>
                <c:pt idx="43">
                  <c:v>58.084605985420907</c:v>
                </c:pt>
                <c:pt idx="44">
                  <c:v>57.782127454250443</c:v>
                </c:pt>
                <c:pt idx="45">
                  <c:v>57.500533813395869</c:v>
                </c:pt>
                <c:pt idx="46">
                  <c:v>57.28943816070781</c:v>
                </c:pt>
                <c:pt idx="47">
                  <c:v>57.122944907456365</c:v>
                </c:pt>
                <c:pt idx="48">
                  <c:v>56.997812123332437</c:v>
                </c:pt>
                <c:pt idx="49">
                  <c:v>56.895518715162432</c:v>
                </c:pt>
                <c:pt idx="50">
                  <c:v>56.789138014336963</c:v>
                </c:pt>
                <c:pt idx="51">
                  <c:v>56.695365825084821</c:v>
                </c:pt>
                <c:pt idx="52">
                  <c:v>56.584488834195916</c:v>
                </c:pt>
                <c:pt idx="53">
                  <c:v>56.466463937464695</c:v>
                </c:pt>
                <c:pt idx="54">
                  <c:v>56.338984307205251</c:v>
                </c:pt>
                <c:pt idx="55">
                  <c:v>56.217438380164651</c:v>
                </c:pt>
                <c:pt idx="56">
                  <c:v>56.072837946190518</c:v>
                </c:pt>
                <c:pt idx="57">
                  <c:v>55.932342542896365</c:v>
                </c:pt>
                <c:pt idx="58">
                  <c:v>55.813362027819878</c:v>
                </c:pt>
                <c:pt idx="59">
                  <c:v>55.706674775509754</c:v>
                </c:pt>
                <c:pt idx="60">
                  <c:v>55.619813548803883</c:v>
                </c:pt>
                <c:pt idx="61">
                  <c:v>55.531666233986286</c:v>
                </c:pt>
              </c:numCache>
            </c:numRef>
          </c:val>
          <c:smooth val="0"/>
          <c:extLst>
            <c:ext xmlns:c16="http://schemas.microsoft.com/office/drawing/2014/chart" uri="{C3380CC4-5D6E-409C-BE32-E72D297353CC}">
              <c16:uniqueId val="{00000001-D700-4550-AF46-D058CCE89FF0}"/>
            </c:ext>
          </c:extLst>
        </c:ser>
        <c:dLbls>
          <c:showLegendKey val="0"/>
          <c:showVal val="0"/>
          <c:showCatName val="0"/>
          <c:showSerName val="0"/>
          <c:showPercent val="0"/>
          <c:showBubbleSize val="0"/>
        </c:dLbls>
        <c:smooth val="0"/>
        <c:axId val="1241712112"/>
        <c:axId val="328787760"/>
      </c:lineChart>
      <c:catAx>
        <c:axId val="1241712112"/>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787760"/>
        <c:crosses val="autoZero"/>
        <c:auto val="1"/>
        <c:lblAlgn val="ctr"/>
        <c:lblOffset val="100"/>
        <c:noMultiLvlLbl val="0"/>
      </c:catAx>
      <c:valAx>
        <c:axId val="328787760"/>
        <c:scaling>
          <c:orientation val="minMax"/>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171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Difference</a:t>
            </a:r>
            <a:r>
              <a:rPr lang="en-US" baseline="0"/>
              <a:t> between Actual and Construction Date based EUI</a:t>
            </a:r>
            <a:r>
              <a:rPr lang="en-US"/>
              <a:t> between</a:t>
            </a:r>
            <a:r>
              <a:rPr lang="en-US" baseline="0"/>
              <a:t> 2000 and 2021.  Raw value is blue line, weather/time smoothed value is orange.</a:t>
            </a:r>
            <a:endParaRPr lang="en-US"/>
          </a:p>
        </c:rich>
      </c:tx>
      <c:layout>
        <c:manualLayout>
          <c:xMode val="edge"/>
          <c:yMode val="edge"/>
          <c:x val="0.10281174660241425"/>
          <c:y val="5.12000086005263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'kbtu-sqft-year'!$AG$59</c:f>
              <c:strCache>
                <c:ptCount val="1"/>
                <c:pt idx="0">
                  <c:v>actual vs BSTR model EUI</c:v>
                </c:pt>
              </c:strCache>
            </c:strRef>
          </c:tx>
          <c:spPr>
            <a:ln w="28575" cap="rnd">
              <a:solidFill>
                <a:schemeClr val="accent1"/>
              </a:solidFill>
              <a:round/>
            </a:ln>
            <a:effectLst/>
          </c:spPr>
          <c:marker>
            <c:symbol val="none"/>
          </c:marker>
          <c:cat>
            <c:strRef>
              <c:f>'kbtu-sqft-year'!$B$60:$B$81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'kbtu-sqft-year'!$AG$60:$AG$81</c:f>
              <c:numCache>
                <c:formatCode>_(* #,##0.00_);_(* \(#,##0.00\);_(* "-"??_);_(@_)</c:formatCode>
                <c:ptCount val="22"/>
                <c:pt idx="0">
                  <c:v>28.142230333268593</c:v>
                </c:pt>
                <c:pt idx="1">
                  <c:v>27.889305722522828</c:v>
                </c:pt>
                <c:pt idx="2">
                  <c:v>27.701953263200998</c:v>
                </c:pt>
                <c:pt idx="3">
                  <c:v>31.049000722673156</c:v>
                </c:pt>
                <c:pt idx="4">
                  <c:v>24.519364759032015</c:v>
                </c:pt>
                <c:pt idx="5">
                  <c:v>22.258613423187732</c:v>
                </c:pt>
                <c:pt idx="6">
                  <c:v>12.540257303096617</c:v>
                </c:pt>
                <c:pt idx="7">
                  <c:v>15.982828073758505</c:v>
                </c:pt>
                <c:pt idx="8">
                  <c:v>19.627958299546805</c:v>
                </c:pt>
                <c:pt idx="9">
                  <c:v>19.199496306988856</c:v>
                </c:pt>
                <c:pt idx="10">
                  <c:v>19.337798461650543</c:v>
                </c:pt>
                <c:pt idx="11">
                  <c:v>18.670817777513022</c:v>
                </c:pt>
                <c:pt idx="12">
                  <c:v>10.729006969046374</c:v>
                </c:pt>
                <c:pt idx="13">
                  <c:v>13.373938608162803</c:v>
                </c:pt>
                <c:pt idx="14">
                  <c:v>17.604245992923396</c:v>
                </c:pt>
                <c:pt idx="15">
                  <c:v>16.99363922575246</c:v>
                </c:pt>
                <c:pt idx="16">
                  <c:v>8.0616959803472383</c:v>
                </c:pt>
                <c:pt idx="17">
                  <c:v>11.460437085121853</c:v>
                </c:pt>
                <c:pt idx="18">
                  <c:v>15.900992687166067</c:v>
                </c:pt>
                <c:pt idx="19">
                  <c:v>16.56803222053513</c:v>
                </c:pt>
                <c:pt idx="20">
                  <c:v>10.742956985224133</c:v>
                </c:pt>
                <c:pt idx="21">
                  <c:v>11.988260550334132</c:v>
                </c:pt>
              </c:numCache>
            </c:numRef>
          </c:val>
          <c:smooth val="0"/>
          <c:extLst>
            <c:ext xmlns:c16="http://schemas.microsoft.com/office/drawing/2014/chart" uri="{C3380CC4-5D6E-409C-BE32-E72D297353CC}">
              <c16:uniqueId val="{00000000-7631-4BF4-BA2A-0DDB249AB8EA}"/>
            </c:ext>
          </c:extLst>
        </c:ser>
        <c:ser>
          <c:idx val="1"/>
          <c:order val="1"/>
          <c:tx>
            <c:strRef>
              <c:f>'kbtu-sqft-year'!$AS$93</c:f>
              <c:strCache>
                <c:ptCount val="1"/>
                <c:pt idx="0">
                  <c:v>Predicted actual vs BSTR model EUI</c:v>
                </c:pt>
              </c:strCache>
            </c:strRef>
          </c:tx>
          <c:spPr>
            <a:ln w="28575" cap="rnd">
              <a:solidFill>
                <a:schemeClr val="accent2"/>
              </a:solidFill>
              <a:round/>
            </a:ln>
            <a:effectLst/>
          </c:spPr>
          <c:marker>
            <c:symbol val="none"/>
          </c:marker>
          <c:cat>
            <c:strRef>
              <c:f>'kbtu-sqft-year'!$B$60:$B$81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'kbtu-sqft-year'!$AS$94:$AS$115</c:f>
              <c:numCache>
                <c:formatCode>General</c:formatCode>
                <c:ptCount val="22"/>
                <c:pt idx="0">
                  <c:v>26.905083160542635</c:v>
                </c:pt>
                <c:pt idx="1">
                  <c:v>23.576647966720259</c:v>
                </c:pt>
                <c:pt idx="2">
                  <c:v>22.993632966620357</c:v>
                </c:pt>
                <c:pt idx="3">
                  <c:v>26.491909138798597</c:v>
                </c:pt>
                <c:pt idx="4">
                  <c:v>24.240263255448546</c:v>
                </c:pt>
                <c:pt idx="5">
                  <c:v>23.840839926904216</c:v>
                </c:pt>
                <c:pt idx="6">
                  <c:v>18.161948201192743</c:v>
                </c:pt>
                <c:pt idx="7">
                  <c:v>21.576279497232086</c:v>
                </c:pt>
                <c:pt idx="8">
                  <c:v>19.2207593786598</c:v>
                </c:pt>
                <c:pt idx="9">
                  <c:v>19.57442425547665</c:v>
                </c:pt>
                <c:pt idx="10">
                  <c:v>16.305777138904286</c:v>
                </c:pt>
                <c:pt idx="11">
                  <c:v>15.529507747693252</c:v>
                </c:pt>
                <c:pt idx="12">
                  <c:v>12.800765086287601</c:v>
                </c:pt>
                <c:pt idx="13">
                  <c:v>16.535173967604749</c:v>
                </c:pt>
                <c:pt idx="14">
                  <c:v>16.681694293949356</c:v>
                </c:pt>
                <c:pt idx="15">
                  <c:v>15.957362020349432</c:v>
                </c:pt>
                <c:pt idx="16">
                  <c:v>12.380715717943712</c:v>
                </c:pt>
                <c:pt idx="17">
                  <c:v>12.541730123621655</c:v>
                </c:pt>
                <c:pt idx="18">
                  <c:v>12.226251671216215</c:v>
                </c:pt>
                <c:pt idx="19">
                  <c:v>10.112903461505066</c:v>
                </c:pt>
                <c:pt idx="20">
                  <c:v>8.3474131557939426</c:v>
                </c:pt>
                <c:pt idx="21">
                  <c:v>7.4147284917773408</c:v>
                </c:pt>
              </c:numCache>
            </c:numRef>
          </c:val>
          <c:smooth val="0"/>
          <c:extLst>
            <c:ext xmlns:c16="http://schemas.microsoft.com/office/drawing/2014/chart" uri="{C3380CC4-5D6E-409C-BE32-E72D297353CC}">
              <c16:uniqueId val="{00000002-7631-4BF4-BA2A-0DDB249AB8EA}"/>
            </c:ext>
          </c:extLst>
        </c:ser>
        <c:dLbls>
          <c:showLegendKey val="0"/>
          <c:showVal val="0"/>
          <c:showCatName val="0"/>
          <c:showSerName val="0"/>
          <c:showPercent val="0"/>
          <c:showBubbleSize val="0"/>
        </c:dLbls>
        <c:smooth val="0"/>
        <c:axId val="1417505424"/>
        <c:axId val="1505306719"/>
      </c:lineChart>
      <c:catAx>
        <c:axId val="141750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5306719"/>
        <c:crosses val="autoZero"/>
        <c:auto val="1"/>
        <c:lblAlgn val="ctr"/>
        <c:lblOffset val="100"/>
        <c:noMultiLvlLbl val="0"/>
      </c:catAx>
      <c:valAx>
        <c:axId val="1505306719"/>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7505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372435798466368E-2"/>
          <c:y val="0.1041187384044527"/>
          <c:w val="0.94536060933559773"/>
          <c:h val="0.85086390175254067"/>
        </c:manualLayout>
      </c:layout>
      <c:lineChart>
        <c:grouping val="standard"/>
        <c:varyColors val="0"/>
        <c:ser>
          <c:idx val="0"/>
          <c:order val="0"/>
          <c:tx>
            <c:strRef>
              <c:f>'DEP Emissions'!$C$8</c:f>
              <c:strCache>
                <c:ptCount val="1"/>
                <c:pt idx="0">
                  <c:v>Residential CO2e from Fuel Combustion</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'DEP Emissions'!$D$7:$AI$7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'DEP Emissions'!$D$8:$AI$8</c:f>
              <c:numCache>
                <c:formatCode>#,##0.0</c:formatCode>
                <c:ptCount val="32"/>
                <c:pt idx="0">
                  <c:v>15.31365040534536</c:v>
                </c:pt>
                <c:pt idx="1">
                  <c:v>14.527052552404657</c:v>
                </c:pt>
                <c:pt idx="2">
                  <c:v>16.646700373508807</c:v>
                </c:pt>
                <c:pt idx="3">
                  <c:v>16.769539190858623</c:v>
                </c:pt>
                <c:pt idx="4">
                  <c:v>16.586519731598614</c:v>
                </c:pt>
                <c:pt idx="5">
                  <c:v>14.985199822275373</c:v>
                </c:pt>
                <c:pt idx="6">
                  <c:v>14.783556353142796</c:v>
                </c:pt>
                <c:pt idx="7">
                  <c:v>14.56570222247966</c:v>
                </c:pt>
                <c:pt idx="8">
                  <c:v>13.362508808295884</c:v>
                </c:pt>
                <c:pt idx="9">
                  <c:v>14.18686330894133</c:v>
                </c:pt>
                <c:pt idx="10">
                  <c:v>15.778292716413683</c:v>
                </c:pt>
                <c:pt idx="11">
                  <c:v>16.11701473598843</c:v>
                </c:pt>
                <c:pt idx="12">
                  <c:v>16.032713551712639</c:v>
                </c:pt>
                <c:pt idx="13">
                  <c:v>16.516900162386992</c:v>
                </c:pt>
                <c:pt idx="14">
                  <c:v>15.108299284136143</c:v>
                </c:pt>
                <c:pt idx="15">
                  <c:v>14.951847636382787</c:v>
                </c:pt>
                <c:pt idx="16">
                  <c:v>12.879569748426253</c:v>
                </c:pt>
                <c:pt idx="17">
                  <c:v>13.586642567934586</c:v>
                </c:pt>
                <c:pt idx="18">
                  <c:v>14.461750214851556</c:v>
                </c:pt>
                <c:pt idx="19">
                  <c:v>13.969207047972812</c:v>
                </c:pt>
                <c:pt idx="20">
                  <c:v>13.706046217576358</c:v>
                </c:pt>
                <c:pt idx="21">
                  <c:v>13.742483130830253</c:v>
                </c:pt>
                <c:pt idx="22">
                  <c:v>11.89975308236065</c:v>
                </c:pt>
                <c:pt idx="23">
                  <c:v>12.407155413227548</c:v>
                </c:pt>
                <c:pt idx="24">
                  <c:v>13.722341929197254</c:v>
                </c:pt>
                <c:pt idx="25">
                  <c:v>13.633222460346639</c:v>
                </c:pt>
                <c:pt idx="26">
                  <c:v>11.38956845448174</c:v>
                </c:pt>
                <c:pt idx="27">
                  <c:v>12.353878584496393</c:v>
                </c:pt>
                <c:pt idx="28">
                  <c:v>13.395876569756707</c:v>
                </c:pt>
                <c:pt idx="29">
                  <c:v>13.740750936829723</c:v>
                </c:pt>
                <c:pt idx="30">
                  <c:v>12.215425162776652</c:v>
                </c:pt>
                <c:pt idx="31">
                  <c:v>12.07153180699277</c:v>
                </c:pt>
              </c:numCache>
            </c:numRef>
          </c:val>
          <c:smooth val="0"/>
          <c:extLst>
            <c:ext xmlns:c16="http://schemas.microsoft.com/office/drawing/2014/chart" uri="{C3380CC4-5D6E-409C-BE32-E72D297353CC}">
              <c16:uniqueId val="{00000001-8D51-4894-A3F2-58D1B9B84462}"/>
            </c:ext>
          </c:extLst>
        </c:ser>
        <c:dLbls>
          <c:showLegendKey val="0"/>
          <c:showVal val="0"/>
          <c:showCatName val="0"/>
          <c:showSerName val="0"/>
          <c:showPercent val="0"/>
          <c:showBubbleSize val="0"/>
        </c:dLbls>
        <c:smooth val="0"/>
        <c:axId val="2056611520"/>
        <c:axId val="2056607680"/>
      </c:lineChart>
      <c:catAx>
        <c:axId val="205661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6607680"/>
        <c:crosses val="autoZero"/>
        <c:auto val="1"/>
        <c:lblAlgn val="ctr"/>
        <c:lblOffset val="100"/>
        <c:noMultiLvlLbl val="0"/>
      </c:catAx>
      <c:valAx>
        <c:axId val="2056607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661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CO2e from Residential Fossil Combustion in Massachusetts (MMTCO2)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802262347887378E-2"/>
          <c:y val="8.3636363636363634E-2"/>
          <c:w val="0.95119773765211257"/>
          <c:h val="0.86578593473133292"/>
        </c:manualLayout>
      </c:layout>
      <c:lineChart>
        <c:grouping val="standard"/>
        <c:varyColors val="0"/>
        <c:ser>
          <c:idx val="0"/>
          <c:order val="0"/>
          <c:tx>
            <c:strRef>
              <c:f>'EIA Emissions'!$U$7</c:f>
              <c:strCache>
                <c:ptCount val="1"/>
                <c:pt idx="0">
                  <c:v>Total CO2e from Residential Fossil Combustion in Massachusetts (MMTCO2e) </c:v>
                </c:pt>
              </c:strCache>
            </c:strRef>
          </c:tx>
          <c:spPr>
            <a:ln w="28575" cap="rnd">
              <a:solidFill>
                <a:schemeClr val="accent1"/>
              </a:solidFill>
              <a:round/>
            </a:ln>
            <a:effectLst/>
          </c:spPr>
          <c:marker>
            <c:symbol val="none"/>
          </c:marker>
          <c:cat>
            <c:numRef>
              <c:f>'EIA Emissions'!$A$8:$A$69</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'EIA Emissions'!$U$8:$U$69</c:f>
              <c:numCache>
                <c:formatCode>0.0</c:formatCode>
                <c:ptCount val="62"/>
                <c:pt idx="0">
                  <c:v>20.17560688</c:v>
                </c:pt>
                <c:pt idx="1">
                  <c:v>20.616432</c:v>
                </c:pt>
                <c:pt idx="2">
                  <c:v>21.16619888</c:v>
                </c:pt>
                <c:pt idx="3">
                  <c:v>20.192454399999999</c:v>
                </c:pt>
                <c:pt idx="4">
                  <c:v>19.565058579999999</c:v>
                </c:pt>
                <c:pt idx="5">
                  <c:v>21.106736579999993</c:v>
                </c:pt>
                <c:pt idx="6">
                  <c:v>19.088597740000001</c:v>
                </c:pt>
                <c:pt idx="7">
                  <c:v>20.464101799999998</c:v>
                </c:pt>
                <c:pt idx="8">
                  <c:v>20.924280699999997</c:v>
                </c:pt>
                <c:pt idx="9">
                  <c:v>21.523926419999995</c:v>
                </c:pt>
                <c:pt idx="10">
                  <c:v>22.011541640000001</c:v>
                </c:pt>
                <c:pt idx="11">
                  <c:v>22.651134859999999</c:v>
                </c:pt>
                <c:pt idx="12">
                  <c:v>23.378169799999995</c:v>
                </c:pt>
                <c:pt idx="13">
                  <c:v>23.144056599999999</c:v>
                </c:pt>
                <c:pt idx="14">
                  <c:v>21.921295139999994</c:v>
                </c:pt>
                <c:pt idx="15">
                  <c:v>21.643683659999997</c:v>
                </c:pt>
                <c:pt idx="16">
                  <c:v>23.291958940000001</c:v>
                </c:pt>
                <c:pt idx="17">
                  <c:v>22.737777739999999</c:v>
                </c:pt>
                <c:pt idx="18">
                  <c:v>21.528789059999998</c:v>
                </c:pt>
                <c:pt idx="19">
                  <c:v>16.01827364</c:v>
                </c:pt>
                <c:pt idx="20">
                  <c:v>15.185950739999999</c:v>
                </c:pt>
                <c:pt idx="21">
                  <c:v>13.58668142</c:v>
                </c:pt>
                <c:pt idx="22">
                  <c:v>13.519712779999999</c:v>
                </c:pt>
                <c:pt idx="23">
                  <c:v>12.843338979999999</c:v>
                </c:pt>
                <c:pt idx="24">
                  <c:v>14.693462899999997</c:v>
                </c:pt>
                <c:pt idx="25">
                  <c:v>14.463641640000002</c:v>
                </c:pt>
                <c:pt idx="26">
                  <c:v>14.889726359999997</c:v>
                </c:pt>
                <c:pt idx="27">
                  <c:v>15.360810639999997</c:v>
                </c:pt>
                <c:pt idx="28">
                  <c:v>15.483062179999997</c:v>
                </c:pt>
                <c:pt idx="29">
                  <c:v>16.366528639999999</c:v>
                </c:pt>
                <c:pt idx="30">
                  <c:v>15.027848379999996</c:v>
                </c:pt>
                <c:pt idx="31">
                  <c:v>14.215611739999998</c:v>
                </c:pt>
                <c:pt idx="32">
                  <c:v>16.318389159999995</c:v>
                </c:pt>
                <c:pt idx="33">
                  <c:v>16.399496840000001</c:v>
                </c:pt>
                <c:pt idx="34">
                  <c:v>16.371535259999998</c:v>
                </c:pt>
                <c:pt idx="35">
                  <c:v>14.758336119999999</c:v>
                </c:pt>
                <c:pt idx="36">
                  <c:v>14.531163940000001</c:v>
                </c:pt>
                <c:pt idx="37">
                  <c:v>14.40276096</c:v>
                </c:pt>
                <c:pt idx="38">
                  <c:v>13.250377739999998</c:v>
                </c:pt>
                <c:pt idx="39">
                  <c:v>13.835153440000001</c:v>
                </c:pt>
                <c:pt idx="40">
                  <c:v>15.470058259999998</c:v>
                </c:pt>
                <c:pt idx="41">
                  <c:v>15.84386456</c:v>
                </c:pt>
                <c:pt idx="42">
                  <c:v>15.777301999999995</c:v>
                </c:pt>
                <c:pt idx="43">
                  <c:v>16.333036719999996</c:v>
                </c:pt>
                <c:pt idx="44">
                  <c:v>14.934893199999999</c:v>
                </c:pt>
                <c:pt idx="45">
                  <c:v>14.954476739999999</c:v>
                </c:pt>
                <c:pt idx="46">
                  <c:v>12.92174848</c:v>
                </c:pt>
                <c:pt idx="47">
                  <c:v>13.610804719999999</c:v>
                </c:pt>
                <c:pt idx="48">
                  <c:v>14.546620620000001</c:v>
                </c:pt>
                <c:pt idx="49">
                  <c:v>13.882126019999998</c:v>
                </c:pt>
                <c:pt idx="50">
                  <c:v>13.607555639999998</c:v>
                </c:pt>
                <c:pt idx="51">
                  <c:v>13.66589682</c:v>
                </c:pt>
                <c:pt idx="52">
                  <c:v>11.8002354</c:v>
                </c:pt>
                <c:pt idx="53">
                  <c:v>12.38450568</c:v>
                </c:pt>
                <c:pt idx="54">
                  <c:v>13.742983739999998</c:v>
                </c:pt>
                <c:pt idx="55">
                  <c:v>13.655407439999998</c:v>
                </c:pt>
                <c:pt idx="56">
                  <c:v>11.448450299999999</c:v>
                </c:pt>
                <c:pt idx="57">
                  <c:v>12.420871979999998</c:v>
                </c:pt>
                <c:pt idx="58">
                  <c:v>13.3895523</c:v>
                </c:pt>
                <c:pt idx="59">
                  <c:v>13.70853906</c:v>
                </c:pt>
                <c:pt idx="60">
                  <c:v>12.205306199999997</c:v>
                </c:pt>
                <c:pt idx="61">
                  <c:v>12.595508280000001</c:v>
                </c:pt>
              </c:numCache>
            </c:numRef>
          </c:val>
          <c:smooth val="0"/>
          <c:extLst>
            <c:ext xmlns:c16="http://schemas.microsoft.com/office/drawing/2014/chart" uri="{C3380CC4-5D6E-409C-BE32-E72D297353CC}">
              <c16:uniqueId val="{00000000-75A8-4A8D-8619-F0DF0E98FEF7}"/>
            </c:ext>
          </c:extLst>
        </c:ser>
        <c:dLbls>
          <c:showLegendKey val="0"/>
          <c:showVal val="0"/>
          <c:showCatName val="0"/>
          <c:showSerName val="0"/>
          <c:showPercent val="0"/>
          <c:showBubbleSize val="0"/>
        </c:dLbls>
        <c:smooth val="0"/>
        <c:axId val="1021783328"/>
        <c:axId val="1021783808"/>
      </c:lineChart>
      <c:catAx>
        <c:axId val="102178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783808"/>
        <c:crosses val="autoZero"/>
        <c:auto val="1"/>
        <c:lblAlgn val="ctr"/>
        <c:lblOffset val="100"/>
        <c:noMultiLvlLbl val="0"/>
      </c:catAx>
      <c:valAx>
        <c:axId val="1021783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783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Massachusetts</a:t>
            </a:r>
            <a:r>
              <a:rPr lang="en-US" baseline="0"/>
              <a:t> Residential Energy Consumption in TeraBTUs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'EIA Energy Use '!$O$4</c:f>
              <c:strCache>
                <c:ptCount val="1"/>
                <c:pt idx="0">
                  <c:v>Fossile use computed as total end use less Renewables and Delivered Electricity</c:v>
                </c:pt>
              </c:strCache>
            </c:strRef>
          </c:tx>
          <c:spPr>
            <a:solidFill>
              <a:schemeClr val="accent1"/>
            </a:solidFill>
            <a:ln>
              <a:noFill/>
            </a:ln>
            <a:effectLst/>
          </c:spPr>
          <c:cat>
            <c:numRef>
              <c:f>'EIA Energy Use '!$A$5:$A$66</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'EIA Energy Use '!$O$5:$O$66</c:f>
              <c:numCache>
                <c:formatCode>General</c:formatCode>
                <c:ptCount val="62"/>
                <c:pt idx="0">
                  <c:v>288.59999999999997</c:v>
                </c:pt>
                <c:pt idx="1">
                  <c:v>295.40000000000003</c:v>
                </c:pt>
                <c:pt idx="2">
                  <c:v>304.49999999999994</c:v>
                </c:pt>
                <c:pt idx="3">
                  <c:v>291.2</c:v>
                </c:pt>
                <c:pt idx="4">
                  <c:v>283.2</c:v>
                </c:pt>
                <c:pt idx="5">
                  <c:v>305</c:v>
                </c:pt>
                <c:pt idx="6">
                  <c:v>278.2</c:v>
                </c:pt>
                <c:pt idx="7">
                  <c:v>298.89999999999998</c:v>
                </c:pt>
                <c:pt idx="8">
                  <c:v>305</c:v>
                </c:pt>
                <c:pt idx="9">
                  <c:v>314.5</c:v>
                </c:pt>
                <c:pt idx="10">
                  <c:v>321.7</c:v>
                </c:pt>
                <c:pt idx="11">
                  <c:v>331.09999999999997</c:v>
                </c:pt>
                <c:pt idx="12">
                  <c:v>341.70000000000005</c:v>
                </c:pt>
                <c:pt idx="13">
                  <c:v>337.6</c:v>
                </c:pt>
                <c:pt idx="14">
                  <c:v>321.59999999999997</c:v>
                </c:pt>
                <c:pt idx="15">
                  <c:v>318.5</c:v>
                </c:pt>
                <c:pt idx="16">
                  <c:v>342.2</c:v>
                </c:pt>
                <c:pt idx="17">
                  <c:v>334.5</c:v>
                </c:pt>
                <c:pt idx="18">
                  <c:v>316.10000000000002</c:v>
                </c:pt>
                <c:pt idx="19">
                  <c:v>239.40000000000003</c:v>
                </c:pt>
                <c:pt idx="20">
                  <c:v>224.60000000000002</c:v>
                </c:pt>
                <c:pt idx="21">
                  <c:v>199.39999999999998</c:v>
                </c:pt>
                <c:pt idx="22">
                  <c:v>201.90000000000003</c:v>
                </c:pt>
                <c:pt idx="23">
                  <c:v>195</c:v>
                </c:pt>
                <c:pt idx="24">
                  <c:v>224.2</c:v>
                </c:pt>
                <c:pt idx="25">
                  <c:v>222.6</c:v>
                </c:pt>
                <c:pt idx="26">
                  <c:v>230.60000000000002</c:v>
                </c:pt>
                <c:pt idx="27">
                  <c:v>238.60000000000005</c:v>
                </c:pt>
                <c:pt idx="28">
                  <c:v>241.5</c:v>
                </c:pt>
                <c:pt idx="29">
                  <c:v>255.29999999999995</c:v>
                </c:pt>
                <c:pt idx="30">
                  <c:v>235.60000000000002</c:v>
                </c:pt>
                <c:pt idx="31">
                  <c:v>224</c:v>
                </c:pt>
                <c:pt idx="32">
                  <c:v>257.39999999999998</c:v>
                </c:pt>
                <c:pt idx="33">
                  <c:v>259.5</c:v>
                </c:pt>
                <c:pt idx="34">
                  <c:v>256.2</c:v>
                </c:pt>
                <c:pt idx="35">
                  <c:v>230.70000000000002</c:v>
                </c:pt>
                <c:pt idx="36">
                  <c:v>230.5</c:v>
                </c:pt>
                <c:pt idx="37">
                  <c:v>227.60000000000002</c:v>
                </c:pt>
                <c:pt idx="38">
                  <c:v>208.39999999999998</c:v>
                </c:pt>
                <c:pt idx="39">
                  <c:v>221.8</c:v>
                </c:pt>
                <c:pt idx="40">
                  <c:v>245.3</c:v>
                </c:pt>
                <c:pt idx="41">
                  <c:v>247.8</c:v>
                </c:pt>
                <c:pt idx="42">
                  <c:v>246.79999999999998</c:v>
                </c:pt>
                <c:pt idx="43">
                  <c:v>258.40000000000003</c:v>
                </c:pt>
                <c:pt idx="44">
                  <c:v>235.39999999999998</c:v>
                </c:pt>
                <c:pt idx="45">
                  <c:v>235.79999999999998</c:v>
                </c:pt>
                <c:pt idx="46">
                  <c:v>203.70000000000002</c:v>
                </c:pt>
                <c:pt idx="47">
                  <c:v>216.8</c:v>
                </c:pt>
                <c:pt idx="48">
                  <c:v>233.60000000000002</c:v>
                </c:pt>
                <c:pt idx="49">
                  <c:v>226.99999999999997</c:v>
                </c:pt>
                <c:pt idx="50">
                  <c:v>221.2</c:v>
                </c:pt>
                <c:pt idx="51">
                  <c:v>222.8</c:v>
                </c:pt>
                <c:pt idx="52">
                  <c:v>193.99999999999997</c:v>
                </c:pt>
                <c:pt idx="53">
                  <c:v>202.10000000000002</c:v>
                </c:pt>
                <c:pt idx="54">
                  <c:v>222.3</c:v>
                </c:pt>
                <c:pt idx="55">
                  <c:v>221.49999999999997</c:v>
                </c:pt>
                <c:pt idx="56">
                  <c:v>187.9</c:v>
                </c:pt>
                <c:pt idx="57">
                  <c:v>203.8</c:v>
                </c:pt>
                <c:pt idx="58">
                  <c:v>219.7</c:v>
                </c:pt>
                <c:pt idx="59">
                  <c:v>225.59999999999997</c:v>
                </c:pt>
                <c:pt idx="60">
                  <c:v>200.9</c:v>
                </c:pt>
                <c:pt idx="61">
                  <c:v>206.5</c:v>
                </c:pt>
              </c:numCache>
            </c:numRef>
          </c:val>
          <c:extLst>
            <c:ext xmlns:c16="http://schemas.microsoft.com/office/drawing/2014/chart" uri="{C3380CC4-5D6E-409C-BE32-E72D297353CC}">
              <c16:uniqueId val="{00000000-27D6-419B-AE50-F7F1F56FE3EA}"/>
            </c:ext>
          </c:extLst>
        </c:ser>
        <c:ser>
          <c:idx val="1"/>
          <c:order val="1"/>
          <c:tx>
            <c:strRef>
              <c:f>'EIA Energy Use '!$M$4</c:f>
              <c:strCache>
                <c:ptCount val="1"/>
                <c:pt idx="0">
                  <c:v>Delivered Electricity</c:v>
                </c:pt>
              </c:strCache>
            </c:strRef>
          </c:tx>
          <c:spPr>
            <a:solidFill>
              <a:schemeClr val="accent2"/>
            </a:solidFill>
            <a:ln>
              <a:noFill/>
            </a:ln>
            <a:effectLst/>
          </c:spPr>
          <c:cat>
            <c:numRef>
              <c:f>'EIA Energy Use '!$A$5:$A$66</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'EIA Energy Use '!$M$5:$M$66</c:f>
              <c:numCache>
                <c:formatCode>General</c:formatCode>
                <c:ptCount val="62"/>
                <c:pt idx="0">
                  <c:v>14.3</c:v>
                </c:pt>
                <c:pt idx="1">
                  <c:v>15.2</c:v>
                </c:pt>
                <c:pt idx="2">
                  <c:v>16.100000000000001</c:v>
                </c:pt>
                <c:pt idx="3">
                  <c:v>17.2</c:v>
                </c:pt>
                <c:pt idx="4">
                  <c:v>18.3</c:v>
                </c:pt>
                <c:pt idx="5">
                  <c:v>19.7</c:v>
                </c:pt>
                <c:pt idx="6">
                  <c:v>21.2</c:v>
                </c:pt>
                <c:pt idx="7">
                  <c:v>23.6</c:v>
                </c:pt>
                <c:pt idx="8">
                  <c:v>25.9</c:v>
                </c:pt>
                <c:pt idx="9">
                  <c:v>28.7</c:v>
                </c:pt>
                <c:pt idx="10">
                  <c:v>31.8</c:v>
                </c:pt>
                <c:pt idx="11">
                  <c:v>34.799999999999997</c:v>
                </c:pt>
                <c:pt idx="12">
                  <c:v>37.4</c:v>
                </c:pt>
                <c:pt idx="13">
                  <c:v>40</c:v>
                </c:pt>
                <c:pt idx="14">
                  <c:v>39</c:v>
                </c:pt>
                <c:pt idx="15">
                  <c:v>36.299999999999997</c:v>
                </c:pt>
                <c:pt idx="16">
                  <c:v>38.299999999999997</c:v>
                </c:pt>
                <c:pt idx="17">
                  <c:v>37.799999999999997</c:v>
                </c:pt>
                <c:pt idx="18">
                  <c:v>38.4</c:v>
                </c:pt>
                <c:pt idx="19">
                  <c:v>39</c:v>
                </c:pt>
                <c:pt idx="20">
                  <c:v>39.5</c:v>
                </c:pt>
                <c:pt idx="21">
                  <c:v>39.9</c:v>
                </c:pt>
                <c:pt idx="22">
                  <c:v>40.9</c:v>
                </c:pt>
                <c:pt idx="23">
                  <c:v>42.4</c:v>
                </c:pt>
                <c:pt idx="24">
                  <c:v>43.3</c:v>
                </c:pt>
                <c:pt idx="25">
                  <c:v>44</c:v>
                </c:pt>
                <c:pt idx="26">
                  <c:v>46.4</c:v>
                </c:pt>
                <c:pt idx="27">
                  <c:v>49.4</c:v>
                </c:pt>
                <c:pt idx="28">
                  <c:v>52.9</c:v>
                </c:pt>
                <c:pt idx="29">
                  <c:v>53.8</c:v>
                </c:pt>
                <c:pt idx="30">
                  <c:v>53.2</c:v>
                </c:pt>
                <c:pt idx="31">
                  <c:v>52.5</c:v>
                </c:pt>
                <c:pt idx="32">
                  <c:v>53.1</c:v>
                </c:pt>
                <c:pt idx="33">
                  <c:v>53.9</c:v>
                </c:pt>
                <c:pt idx="34">
                  <c:v>54.8</c:v>
                </c:pt>
                <c:pt idx="35">
                  <c:v>54.6</c:v>
                </c:pt>
                <c:pt idx="36">
                  <c:v>55.5</c:v>
                </c:pt>
                <c:pt idx="37">
                  <c:v>55.5</c:v>
                </c:pt>
                <c:pt idx="38">
                  <c:v>55.9</c:v>
                </c:pt>
                <c:pt idx="39">
                  <c:v>59.3</c:v>
                </c:pt>
                <c:pt idx="40">
                  <c:v>59.9</c:v>
                </c:pt>
                <c:pt idx="41">
                  <c:v>61.4</c:v>
                </c:pt>
                <c:pt idx="42">
                  <c:v>63.8</c:v>
                </c:pt>
                <c:pt idx="43">
                  <c:v>66.8</c:v>
                </c:pt>
                <c:pt idx="44">
                  <c:v>67.5</c:v>
                </c:pt>
                <c:pt idx="45">
                  <c:v>70.099999999999994</c:v>
                </c:pt>
                <c:pt idx="46">
                  <c:v>67</c:v>
                </c:pt>
                <c:pt idx="47">
                  <c:v>68.7</c:v>
                </c:pt>
                <c:pt idx="48">
                  <c:v>67</c:v>
                </c:pt>
                <c:pt idx="49">
                  <c:v>66.400000000000006</c:v>
                </c:pt>
                <c:pt idx="50">
                  <c:v>73</c:v>
                </c:pt>
                <c:pt idx="51">
                  <c:v>69.900000000000006</c:v>
                </c:pt>
                <c:pt idx="52">
                  <c:v>69.3</c:v>
                </c:pt>
                <c:pt idx="53">
                  <c:v>70.7</c:v>
                </c:pt>
                <c:pt idx="54">
                  <c:v>68.5</c:v>
                </c:pt>
                <c:pt idx="55">
                  <c:v>68.8</c:v>
                </c:pt>
                <c:pt idx="56">
                  <c:v>67.2</c:v>
                </c:pt>
                <c:pt idx="57">
                  <c:v>66</c:v>
                </c:pt>
                <c:pt idx="58">
                  <c:v>69.2</c:v>
                </c:pt>
                <c:pt idx="59">
                  <c:v>65.900000000000006</c:v>
                </c:pt>
                <c:pt idx="60">
                  <c:v>69.400000000000006</c:v>
                </c:pt>
                <c:pt idx="61">
                  <c:v>69.3</c:v>
                </c:pt>
              </c:numCache>
            </c:numRef>
          </c:val>
          <c:extLst>
            <c:ext xmlns:c16="http://schemas.microsoft.com/office/drawing/2014/chart" uri="{C3380CC4-5D6E-409C-BE32-E72D297353CC}">
              <c16:uniqueId val="{00000002-27D6-419B-AE50-F7F1F56FE3EA}"/>
            </c:ext>
          </c:extLst>
        </c:ser>
        <c:ser>
          <c:idx val="2"/>
          <c:order val="2"/>
          <c:tx>
            <c:strRef>
              <c:f>'EIA Energy Use '!$L$4</c:f>
              <c:strCache>
                <c:ptCount val="1"/>
                <c:pt idx="0">
                  <c:v>Renewables</c:v>
                </c:pt>
              </c:strCache>
            </c:strRef>
          </c:tx>
          <c:spPr>
            <a:solidFill>
              <a:schemeClr val="accent3"/>
            </a:solidFill>
            <a:ln>
              <a:noFill/>
            </a:ln>
            <a:effectLst/>
          </c:spPr>
          <c:val>
            <c:numRef>
              <c:f>'EIA Energy Use '!$L$5:$L$66</c:f>
              <c:numCache>
                <c:formatCode>General</c:formatCode>
                <c:ptCount val="62"/>
                <c:pt idx="0">
                  <c:v>8.5</c:v>
                </c:pt>
                <c:pt idx="1">
                  <c:v>8.4</c:v>
                </c:pt>
                <c:pt idx="2">
                  <c:v>8.3000000000000007</c:v>
                </c:pt>
                <c:pt idx="3">
                  <c:v>8.1</c:v>
                </c:pt>
                <c:pt idx="4">
                  <c:v>7.7</c:v>
                </c:pt>
                <c:pt idx="5">
                  <c:v>7.6</c:v>
                </c:pt>
                <c:pt idx="6">
                  <c:v>7.6</c:v>
                </c:pt>
                <c:pt idx="7">
                  <c:v>8.1</c:v>
                </c:pt>
                <c:pt idx="8">
                  <c:v>8.3000000000000007</c:v>
                </c:pt>
                <c:pt idx="9">
                  <c:v>8.6</c:v>
                </c:pt>
                <c:pt idx="10">
                  <c:v>9.1999999999999993</c:v>
                </c:pt>
                <c:pt idx="11">
                  <c:v>9.1</c:v>
                </c:pt>
                <c:pt idx="12">
                  <c:v>9.4</c:v>
                </c:pt>
                <c:pt idx="13">
                  <c:v>8.6999999999999993</c:v>
                </c:pt>
                <c:pt idx="14">
                  <c:v>9.1</c:v>
                </c:pt>
                <c:pt idx="15">
                  <c:v>9.8000000000000007</c:v>
                </c:pt>
                <c:pt idx="16">
                  <c:v>10.9</c:v>
                </c:pt>
                <c:pt idx="17">
                  <c:v>12</c:v>
                </c:pt>
                <c:pt idx="18">
                  <c:v>14.4</c:v>
                </c:pt>
                <c:pt idx="19">
                  <c:v>16.2</c:v>
                </c:pt>
                <c:pt idx="20">
                  <c:v>42</c:v>
                </c:pt>
                <c:pt idx="21">
                  <c:v>38.4</c:v>
                </c:pt>
                <c:pt idx="22">
                  <c:v>34.799999999999997</c:v>
                </c:pt>
                <c:pt idx="23">
                  <c:v>42.6</c:v>
                </c:pt>
                <c:pt idx="24">
                  <c:v>28.5</c:v>
                </c:pt>
                <c:pt idx="25">
                  <c:v>29.4</c:v>
                </c:pt>
                <c:pt idx="26">
                  <c:v>26.8</c:v>
                </c:pt>
                <c:pt idx="27">
                  <c:v>19.100000000000001</c:v>
                </c:pt>
                <c:pt idx="28">
                  <c:v>20.3</c:v>
                </c:pt>
                <c:pt idx="29">
                  <c:v>20.8</c:v>
                </c:pt>
                <c:pt idx="30">
                  <c:v>18.3</c:v>
                </c:pt>
                <c:pt idx="31">
                  <c:v>19.2</c:v>
                </c:pt>
                <c:pt idx="32">
                  <c:v>20.099999999999998</c:v>
                </c:pt>
                <c:pt idx="33">
                  <c:v>20.8</c:v>
                </c:pt>
                <c:pt idx="34">
                  <c:v>19.7</c:v>
                </c:pt>
                <c:pt idx="35">
                  <c:v>19.7</c:v>
                </c:pt>
                <c:pt idx="36">
                  <c:v>20.5</c:v>
                </c:pt>
                <c:pt idx="37">
                  <c:v>14.7</c:v>
                </c:pt>
                <c:pt idx="38">
                  <c:v>13.1</c:v>
                </c:pt>
                <c:pt idx="39">
                  <c:v>13.5</c:v>
                </c:pt>
                <c:pt idx="40">
                  <c:v>14.5</c:v>
                </c:pt>
                <c:pt idx="41">
                  <c:v>11.7</c:v>
                </c:pt>
                <c:pt idx="42">
                  <c:v>11.899999999999999</c:v>
                </c:pt>
                <c:pt idx="43">
                  <c:v>12.4</c:v>
                </c:pt>
                <c:pt idx="44">
                  <c:v>12.799999999999999</c:v>
                </c:pt>
                <c:pt idx="45">
                  <c:v>3.8000000000000003</c:v>
                </c:pt>
                <c:pt idx="46">
                  <c:v>3.4000000000000004</c:v>
                </c:pt>
                <c:pt idx="47">
                  <c:v>3.7</c:v>
                </c:pt>
                <c:pt idx="48">
                  <c:v>4.2</c:v>
                </c:pt>
                <c:pt idx="49">
                  <c:v>10.5</c:v>
                </c:pt>
                <c:pt idx="50">
                  <c:v>11.3</c:v>
                </c:pt>
                <c:pt idx="51">
                  <c:v>11.1</c:v>
                </c:pt>
                <c:pt idx="52">
                  <c:v>9.6</c:v>
                </c:pt>
                <c:pt idx="53">
                  <c:v>12.5</c:v>
                </c:pt>
                <c:pt idx="54">
                  <c:v>13.299999999999999</c:v>
                </c:pt>
                <c:pt idx="55">
                  <c:v>12.899999999999999</c:v>
                </c:pt>
                <c:pt idx="56">
                  <c:v>12.6</c:v>
                </c:pt>
                <c:pt idx="57">
                  <c:v>13.7</c:v>
                </c:pt>
                <c:pt idx="58">
                  <c:v>15.3</c:v>
                </c:pt>
                <c:pt idx="59">
                  <c:v>17.399999999999999</c:v>
                </c:pt>
                <c:pt idx="60">
                  <c:v>15.5</c:v>
                </c:pt>
                <c:pt idx="61">
                  <c:v>16.5</c:v>
                </c:pt>
              </c:numCache>
            </c:numRef>
          </c:val>
          <c:extLst>
            <c:ext xmlns:c16="http://schemas.microsoft.com/office/drawing/2014/chart" uri="{C3380CC4-5D6E-409C-BE32-E72D297353CC}">
              <c16:uniqueId val="{00000003-27D6-419B-AE50-F7F1F56FE3EA}"/>
            </c:ext>
          </c:extLst>
        </c:ser>
        <c:dLbls>
          <c:showLegendKey val="0"/>
          <c:showVal val="0"/>
          <c:showCatName val="0"/>
          <c:showSerName val="0"/>
          <c:showPercent val="0"/>
          <c:showBubbleSize val="0"/>
        </c:dLbls>
        <c:axId val="191092496"/>
        <c:axId val="191093456"/>
      </c:areaChart>
      <c:catAx>
        <c:axId val="19109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93456"/>
        <c:crosses val="autoZero"/>
        <c:auto val="1"/>
        <c:lblAlgn val="ctr"/>
        <c:lblOffset val="100"/>
        <c:noMultiLvlLbl val="0"/>
      </c:catAx>
      <c:valAx>
        <c:axId val="191093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924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Massachusetts Residential</a:t>
            </a:r>
            <a:r>
              <a:rPr lang="en-US" baseline="0"/>
              <a:t> </a:t>
            </a:r>
            <a:r>
              <a:rPr lang="en-US"/>
              <a:t>Consumption</a:t>
            </a:r>
            <a:r>
              <a:rPr lang="en-US" baseline="0"/>
              <a:t> of Fossil Fuels by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percentStacked"/>
        <c:varyColors val="0"/>
        <c:ser>
          <c:idx val="0"/>
          <c:order val="0"/>
          <c:tx>
            <c:strRef>
              <c:f>'EIA Energy Use '!$B$4</c:f>
              <c:strCache>
                <c:ptCount val="1"/>
                <c:pt idx="0">
                  <c:v>Coal </c:v>
                </c:pt>
              </c:strCache>
            </c:strRef>
          </c:tx>
          <c:spPr>
            <a:solidFill>
              <a:schemeClr val="accent1"/>
            </a:solidFill>
            <a:ln>
              <a:noFill/>
            </a:ln>
            <a:effectLst/>
          </c:spPr>
          <c:cat>
            <c:numRef>
              <c:f>'EIA Energy Use '!$A$5:$A$66</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'EIA Energy Use '!$B$5:$B$66</c:f>
              <c:numCache>
                <c:formatCode>General</c:formatCode>
                <c:ptCount val="62"/>
                <c:pt idx="0">
                  <c:v>12.1</c:v>
                </c:pt>
                <c:pt idx="1">
                  <c:v>9.6</c:v>
                </c:pt>
                <c:pt idx="2">
                  <c:v>9.1</c:v>
                </c:pt>
                <c:pt idx="3">
                  <c:v>6.6</c:v>
                </c:pt>
                <c:pt idx="4">
                  <c:v>6.3</c:v>
                </c:pt>
                <c:pt idx="5">
                  <c:v>5.2</c:v>
                </c:pt>
                <c:pt idx="6">
                  <c:v>4.5999999999999996</c:v>
                </c:pt>
                <c:pt idx="7">
                  <c:v>4.0999999999999996</c:v>
                </c:pt>
                <c:pt idx="8">
                  <c:v>3.9</c:v>
                </c:pt>
                <c:pt idx="9">
                  <c:v>3</c:v>
                </c:pt>
                <c:pt idx="10">
                  <c:v>2.5</c:v>
                </c:pt>
                <c:pt idx="11">
                  <c:v>1.9</c:v>
                </c:pt>
                <c:pt idx="12">
                  <c:v>1.3</c:v>
                </c:pt>
                <c:pt idx="13">
                  <c:v>1.2</c:v>
                </c:pt>
                <c:pt idx="14">
                  <c:v>1</c:v>
                </c:pt>
                <c:pt idx="15">
                  <c:v>0.7</c:v>
                </c:pt>
                <c:pt idx="16">
                  <c:v>0.6</c:v>
                </c:pt>
                <c:pt idx="17">
                  <c:v>0.6</c:v>
                </c:pt>
                <c:pt idx="18">
                  <c:v>0.4</c:v>
                </c:pt>
                <c:pt idx="19">
                  <c:v>0.3</c:v>
                </c:pt>
                <c:pt idx="20">
                  <c:v>0.5</c:v>
                </c:pt>
                <c:pt idx="21">
                  <c:v>0.6</c:v>
                </c:pt>
                <c:pt idx="22">
                  <c:v>0.6</c:v>
                </c:pt>
                <c:pt idx="23">
                  <c:v>0.5</c:v>
                </c:pt>
                <c:pt idx="24">
                  <c:v>1</c:v>
                </c:pt>
                <c:pt idx="25">
                  <c:v>0.7</c:v>
                </c:pt>
                <c:pt idx="26">
                  <c:v>0.4</c:v>
                </c:pt>
                <c:pt idx="27">
                  <c:v>0.3</c:v>
                </c:pt>
                <c:pt idx="28">
                  <c:v>0.4</c:v>
                </c:pt>
                <c:pt idx="29">
                  <c:v>0.3</c:v>
                </c:pt>
                <c:pt idx="30">
                  <c:v>0.3</c:v>
                </c:pt>
                <c:pt idx="31">
                  <c:v>0.1</c:v>
                </c:pt>
                <c:pt idx="32">
                  <c:v>0.3</c:v>
                </c:pt>
                <c:pt idx="33">
                  <c:v>0.2</c:v>
                </c:pt>
                <c:pt idx="34">
                  <c:v>0.1</c:v>
                </c:pt>
                <c:pt idx="35">
                  <c:v>0.1</c:v>
                </c:pt>
                <c:pt idx="36">
                  <c:v>0.1</c:v>
                </c:pt>
                <c:pt idx="37">
                  <c:v>0.1</c:v>
                </c:pt>
                <c:pt idx="38">
                  <c:v>0.1</c:v>
                </c:pt>
                <c:pt idx="39">
                  <c:v>0.1</c:v>
                </c:pt>
                <c:pt idx="40">
                  <c:v>0.1</c:v>
                </c:pt>
                <c:pt idx="41">
                  <c:v>0.1</c:v>
                </c:pt>
                <c:pt idx="42">
                  <c:v>0.3</c:v>
                </c:pt>
                <c:pt idx="43">
                  <c:v>0.2</c:v>
                </c:pt>
                <c:pt idx="44">
                  <c:v>0.1</c:v>
                </c:pt>
                <c:pt idx="45">
                  <c:v>0.1</c:v>
                </c:pt>
                <c:pt idx="46">
                  <c:v>0.1</c:v>
                </c:pt>
                <c:pt idx="47">
                  <c:v>0.1</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0-8EAF-4CA1-BDB2-2B3CF4253A55}"/>
            </c:ext>
          </c:extLst>
        </c:ser>
        <c:ser>
          <c:idx val="1"/>
          <c:order val="1"/>
          <c:tx>
            <c:strRef>
              <c:f>'EIA Energy Use '!$C$4</c:f>
              <c:strCache>
                <c:ptCount val="1"/>
                <c:pt idx="0">
                  <c:v>Natural Gas</c:v>
                </c:pt>
              </c:strCache>
            </c:strRef>
          </c:tx>
          <c:spPr>
            <a:solidFill>
              <a:schemeClr val="accent2"/>
            </a:solidFill>
            <a:ln>
              <a:noFill/>
            </a:ln>
            <a:effectLst/>
          </c:spPr>
          <c:cat>
            <c:numRef>
              <c:f>'EIA Energy Use '!$A$5:$A$66</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'EIA Energy Use '!$C$5:$C$66</c:f>
              <c:numCache>
                <c:formatCode>General</c:formatCode>
                <c:ptCount val="62"/>
                <c:pt idx="0">
                  <c:v>46.6</c:v>
                </c:pt>
                <c:pt idx="1">
                  <c:v>51.4</c:v>
                </c:pt>
                <c:pt idx="2">
                  <c:v>56</c:v>
                </c:pt>
                <c:pt idx="3">
                  <c:v>59.1</c:v>
                </c:pt>
                <c:pt idx="4">
                  <c:v>62.5</c:v>
                </c:pt>
                <c:pt idx="5">
                  <c:v>65.7</c:v>
                </c:pt>
                <c:pt idx="6">
                  <c:v>67.2</c:v>
                </c:pt>
                <c:pt idx="7">
                  <c:v>74.400000000000006</c:v>
                </c:pt>
                <c:pt idx="8">
                  <c:v>75.8</c:v>
                </c:pt>
                <c:pt idx="9">
                  <c:v>79.400000000000006</c:v>
                </c:pt>
                <c:pt idx="10">
                  <c:v>83.6</c:v>
                </c:pt>
                <c:pt idx="11">
                  <c:v>84.4</c:v>
                </c:pt>
                <c:pt idx="12">
                  <c:v>87.2</c:v>
                </c:pt>
                <c:pt idx="13">
                  <c:v>84.9</c:v>
                </c:pt>
                <c:pt idx="14">
                  <c:v>86.3</c:v>
                </c:pt>
                <c:pt idx="15">
                  <c:v>90.6</c:v>
                </c:pt>
                <c:pt idx="16">
                  <c:v>95.7</c:v>
                </c:pt>
                <c:pt idx="17">
                  <c:v>93.9</c:v>
                </c:pt>
                <c:pt idx="18">
                  <c:v>87.6</c:v>
                </c:pt>
                <c:pt idx="19">
                  <c:v>81.599999999999994</c:v>
                </c:pt>
                <c:pt idx="20">
                  <c:v>96</c:v>
                </c:pt>
                <c:pt idx="21">
                  <c:v>98.3</c:v>
                </c:pt>
                <c:pt idx="22">
                  <c:v>99.8</c:v>
                </c:pt>
                <c:pt idx="23">
                  <c:v>93.7</c:v>
                </c:pt>
                <c:pt idx="24">
                  <c:v>99.2</c:v>
                </c:pt>
                <c:pt idx="25">
                  <c:v>100.1</c:v>
                </c:pt>
                <c:pt idx="26">
                  <c:v>104.9</c:v>
                </c:pt>
                <c:pt idx="27">
                  <c:v>108</c:v>
                </c:pt>
                <c:pt idx="28">
                  <c:v>111.9</c:v>
                </c:pt>
                <c:pt idx="29">
                  <c:v>115.7</c:v>
                </c:pt>
                <c:pt idx="30">
                  <c:v>110.6</c:v>
                </c:pt>
                <c:pt idx="31">
                  <c:v>107</c:v>
                </c:pt>
                <c:pt idx="32">
                  <c:v>124.4</c:v>
                </c:pt>
                <c:pt idx="33">
                  <c:v>126.1</c:v>
                </c:pt>
                <c:pt idx="34">
                  <c:v>122.5</c:v>
                </c:pt>
                <c:pt idx="35">
                  <c:v>108.5</c:v>
                </c:pt>
                <c:pt idx="36">
                  <c:v>117.3</c:v>
                </c:pt>
                <c:pt idx="37">
                  <c:v>114.5</c:v>
                </c:pt>
                <c:pt idx="38">
                  <c:v>103.6</c:v>
                </c:pt>
                <c:pt idx="39">
                  <c:v>112.1</c:v>
                </c:pt>
                <c:pt idx="40">
                  <c:v>119.1</c:v>
                </c:pt>
                <c:pt idx="41">
                  <c:v>111.5</c:v>
                </c:pt>
                <c:pt idx="42">
                  <c:v>113.1</c:v>
                </c:pt>
                <c:pt idx="43">
                  <c:v>129.4</c:v>
                </c:pt>
                <c:pt idx="44">
                  <c:v>116</c:v>
                </c:pt>
                <c:pt idx="45">
                  <c:v>120.4</c:v>
                </c:pt>
                <c:pt idx="46">
                  <c:v>104.9</c:v>
                </c:pt>
                <c:pt idx="47">
                  <c:v>117</c:v>
                </c:pt>
                <c:pt idx="48">
                  <c:v>134.5</c:v>
                </c:pt>
                <c:pt idx="49">
                  <c:v>137</c:v>
                </c:pt>
                <c:pt idx="50">
                  <c:v>129.80000000000001</c:v>
                </c:pt>
                <c:pt idx="51">
                  <c:v>132.9</c:v>
                </c:pt>
                <c:pt idx="52">
                  <c:v>119.2</c:v>
                </c:pt>
                <c:pt idx="53">
                  <c:v>120.7</c:v>
                </c:pt>
                <c:pt idx="54">
                  <c:v>129.9</c:v>
                </c:pt>
                <c:pt idx="55">
                  <c:v>130.4</c:v>
                </c:pt>
                <c:pt idx="56">
                  <c:v>115.5</c:v>
                </c:pt>
                <c:pt idx="57">
                  <c:v>124.8</c:v>
                </c:pt>
                <c:pt idx="58">
                  <c:v>134.30000000000001</c:v>
                </c:pt>
                <c:pt idx="59">
                  <c:v>139.30000000000001</c:v>
                </c:pt>
                <c:pt idx="60">
                  <c:v>123.9</c:v>
                </c:pt>
                <c:pt idx="61">
                  <c:v>126.5</c:v>
                </c:pt>
              </c:numCache>
            </c:numRef>
          </c:val>
          <c:extLst>
            <c:ext xmlns:c16="http://schemas.microsoft.com/office/drawing/2014/chart" uri="{C3380CC4-5D6E-409C-BE32-E72D297353CC}">
              <c16:uniqueId val="{00000001-8EAF-4CA1-BDB2-2B3CF4253A55}"/>
            </c:ext>
          </c:extLst>
        </c:ser>
        <c:ser>
          <c:idx val="2"/>
          <c:order val="2"/>
          <c:tx>
            <c:strRef>
              <c:f>'EIA Energy Use '!$D$4</c:f>
              <c:strCache>
                <c:ptCount val="1"/>
                <c:pt idx="0">
                  <c:v>Distillate
Fuel Oil</c:v>
                </c:pt>
              </c:strCache>
            </c:strRef>
          </c:tx>
          <c:spPr>
            <a:solidFill>
              <a:schemeClr val="accent3"/>
            </a:solidFill>
            <a:ln>
              <a:noFill/>
            </a:ln>
            <a:effectLst/>
          </c:spPr>
          <c:cat>
            <c:numRef>
              <c:f>'EIA Energy Use '!$A$5:$A$66</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'EIA Energy Use '!$D$5:$D$66</c:f>
              <c:numCache>
                <c:formatCode>General</c:formatCode>
                <c:ptCount val="62"/>
                <c:pt idx="0">
                  <c:v>199.8</c:v>
                </c:pt>
                <c:pt idx="1">
                  <c:v>205.6</c:v>
                </c:pt>
                <c:pt idx="2">
                  <c:v>210.8</c:v>
                </c:pt>
                <c:pt idx="3">
                  <c:v>199.7</c:v>
                </c:pt>
                <c:pt idx="4">
                  <c:v>193.1</c:v>
                </c:pt>
                <c:pt idx="5">
                  <c:v>216</c:v>
                </c:pt>
                <c:pt idx="6">
                  <c:v>193</c:v>
                </c:pt>
                <c:pt idx="7">
                  <c:v>208.4</c:v>
                </c:pt>
                <c:pt idx="8">
                  <c:v>214.5</c:v>
                </c:pt>
                <c:pt idx="9">
                  <c:v>221</c:v>
                </c:pt>
                <c:pt idx="10">
                  <c:v>224.4</c:v>
                </c:pt>
                <c:pt idx="11">
                  <c:v>233.7</c:v>
                </c:pt>
                <c:pt idx="12">
                  <c:v>241.2</c:v>
                </c:pt>
                <c:pt idx="13">
                  <c:v>242.5</c:v>
                </c:pt>
                <c:pt idx="14">
                  <c:v>227.7</c:v>
                </c:pt>
                <c:pt idx="15">
                  <c:v>220.5</c:v>
                </c:pt>
                <c:pt idx="16">
                  <c:v>238.8</c:v>
                </c:pt>
                <c:pt idx="17">
                  <c:v>232.4</c:v>
                </c:pt>
                <c:pt idx="18">
                  <c:v>222</c:v>
                </c:pt>
                <c:pt idx="19">
                  <c:v>153</c:v>
                </c:pt>
                <c:pt idx="20">
                  <c:v>132.30000000000001</c:v>
                </c:pt>
                <c:pt idx="21">
                  <c:v>108.9</c:v>
                </c:pt>
                <c:pt idx="22">
                  <c:v>105.4</c:v>
                </c:pt>
                <c:pt idx="23">
                  <c:v>102.3</c:v>
                </c:pt>
                <c:pt idx="24">
                  <c:v>120.3</c:v>
                </c:pt>
                <c:pt idx="25">
                  <c:v>116.9</c:v>
                </c:pt>
                <c:pt idx="26">
                  <c:v>120.1</c:v>
                </c:pt>
                <c:pt idx="27">
                  <c:v>123.6</c:v>
                </c:pt>
                <c:pt idx="28">
                  <c:v>123.6</c:v>
                </c:pt>
                <c:pt idx="29">
                  <c:v>132.9</c:v>
                </c:pt>
                <c:pt idx="30">
                  <c:v>119.6</c:v>
                </c:pt>
                <c:pt idx="31">
                  <c:v>112.2</c:v>
                </c:pt>
                <c:pt idx="32">
                  <c:v>127.4</c:v>
                </c:pt>
                <c:pt idx="33">
                  <c:v>127.5</c:v>
                </c:pt>
                <c:pt idx="34">
                  <c:v>128</c:v>
                </c:pt>
                <c:pt idx="35">
                  <c:v>116.8</c:v>
                </c:pt>
                <c:pt idx="36">
                  <c:v>106.9</c:v>
                </c:pt>
                <c:pt idx="37">
                  <c:v>106.7</c:v>
                </c:pt>
                <c:pt idx="38">
                  <c:v>98.8</c:v>
                </c:pt>
                <c:pt idx="39">
                  <c:v>103.7</c:v>
                </c:pt>
                <c:pt idx="40">
                  <c:v>119</c:v>
                </c:pt>
                <c:pt idx="41">
                  <c:v>129.69999999999999</c:v>
                </c:pt>
                <c:pt idx="42">
                  <c:v>128.4</c:v>
                </c:pt>
                <c:pt idx="43">
                  <c:v>121.1</c:v>
                </c:pt>
                <c:pt idx="44">
                  <c:v>112.5</c:v>
                </c:pt>
                <c:pt idx="45">
                  <c:v>107.2</c:v>
                </c:pt>
                <c:pt idx="46">
                  <c:v>90.8</c:v>
                </c:pt>
                <c:pt idx="47">
                  <c:v>91.9</c:v>
                </c:pt>
                <c:pt idx="48">
                  <c:v>91.3</c:v>
                </c:pt>
                <c:pt idx="49">
                  <c:v>82.5</c:v>
                </c:pt>
                <c:pt idx="50">
                  <c:v>84.3</c:v>
                </c:pt>
                <c:pt idx="51">
                  <c:v>82</c:v>
                </c:pt>
                <c:pt idx="52">
                  <c:v>68.8</c:v>
                </c:pt>
                <c:pt idx="53">
                  <c:v>74.099999999999994</c:v>
                </c:pt>
                <c:pt idx="54">
                  <c:v>84.1</c:v>
                </c:pt>
                <c:pt idx="55">
                  <c:v>83.3</c:v>
                </c:pt>
                <c:pt idx="56">
                  <c:v>64.7</c:v>
                </c:pt>
                <c:pt idx="57">
                  <c:v>70.7</c:v>
                </c:pt>
                <c:pt idx="58">
                  <c:v>76.7</c:v>
                </c:pt>
                <c:pt idx="59">
                  <c:v>75.8</c:v>
                </c:pt>
                <c:pt idx="60">
                  <c:v>68</c:v>
                </c:pt>
                <c:pt idx="61">
                  <c:v>71.7</c:v>
                </c:pt>
              </c:numCache>
            </c:numRef>
          </c:val>
          <c:extLst>
            <c:ext xmlns:c16="http://schemas.microsoft.com/office/drawing/2014/chart" uri="{C3380CC4-5D6E-409C-BE32-E72D297353CC}">
              <c16:uniqueId val="{00000002-8EAF-4CA1-BDB2-2B3CF4253A55}"/>
            </c:ext>
          </c:extLst>
        </c:ser>
        <c:ser>
          <c:idx val="3"/>
          <c:order val="3"/>
          <c:tx>
            <c:strRef>
              <c:f>'EIA Energy Use '!$E$4</c:f>
              <c:strCache>
                <c:ptCount val="1"/>
                <c:pt idx="0">
                  <c:v>Propane</c:v>
                </c:pt>
              </c:strCache>
            </c:strRef>
          </c:tx>
          <c:spPr>
            <a:solidFill>
              <a:schemeClr val="accent4"/>
            </a:solidFill>
            <a:ln>
              <a:noFill/>
            </a:ln>
            <a:effectLst/>
          </c:spPr>
          <c:cat>
            <c:numRef>
              <c:f>'EIA Energy Use '!$A$5:$A$66</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'EIA Energy Use '!$E$5:$E$66</c:f>
              <c:numCache>
                <c:formatCode>General</c:formatCode>
                <c:ptCount val="62"/>
                <c:pt idx="0">
                  <c:v>2.4</c:v>
                </c:pt>
                <c:pt idx="1">
                  <c:v>2.2000000000000002</c:v>
                </c:pt>
                <c:pt idx="2">
                  <c:v>2.6</c:v>
                </c:pt>
                <c:pt idx="3">
                  <c:v>2.7</c:v>
                </c:pt>
                <c:pt idx="4">
                  <c:v>2.7</c:v>
                </c:pt>
                <c:pt idx="5">
                  <c:v>3</c:v>
                </c:pt>
                <c:pt idx="6">
                  <c:v>2.6</c:v>
                </c:pt>
                <c:pt idx="7">
                  <c:v>2.6</c:v>
                </c:pt>
                <c:pt idx="8">
                  <c:v>2.8</c:v>
                </c:pt>
                <c:pt idx="9">
                  <c:v>3.2</c:v>
                </c:pt>
                <c:pt idx="10">
                  <c:v>3</c:v>
                </c:pt>
                <c:pt idx="11">
                  <c:v>3</c:v>
                </c:pt>
                <c:pt idx="12">
                  <c:v>3.4</c:v>
                </c:pt>
                <c:pt idx="13">
                  <c:v>3.1</c:v>
                </c:pt>
                <c:pt idx="14">
                  <c:v>3.1</c:v>
                </c:pt>
                <c:pt idx="15">
                  <c:v>3.2</c:v>
                </c:pt>
                <c:pt idx="16">
                  <c:v>3.4</c:v>
                </c:pt>
                <c:pt idx="17">
                  <c:v>3.8</c:v>
                </c:pt>
                <c:pt idx="18">
                  <c:v>3.6</c:v>
                </c:pt>
                <c:pt idx="19">
                  <c:v>2.1</c:v>
                </c:pt>
                <c:pt idx="20">
                  <c:v>2.2000000000000002</c:v>
                </c:pt>
                <c:pt idx="21">
                  <c:v>2.2999999999999998</c:v>
                </c:pt>
                <c:pt idx="22">
                  <c:v>2.2999999999999998</c:v>
                </c:pt>
                <c:pt idx="23">
                  <c:v>2.7</c:v>
                </c:pt>
                <c:pt idx="24">
                  <c:v>2.8</c:v>
                </c:pt>
                <c:pt idx="25">
                  <c:v>3.3</c:v>
                </c:pt>
                <c:pt idx="26">
                  <c:v>3.7</c:v>
                </c:pt>
                <c:pt idx="27">
                  <c:v>4.4000000000000004</c:v>
                </c:pt>
                <c:pt idx="28">
                  <c:v>4.3</c:v>
                </c:pt>
                <c:pt idx="29">
                  <c:v>5.0999999999999996</c:v>
                </c:pt>
                <c:pt idx="30">
                  <c:v>4.4000000000000004</c:v>
                </c:pt>
                <c:pt idx="31">
                  <c:v>4</c:v>
                </c:pt>
                <c:pt idx="32">
                  <c:v>3.9</c:v>
                </c:pt>
                <c:pt idx="33">
                  <c:v>4.3</c:v>
                </c:pt>
                <c:pt idx="34">
                  <c:v>4.5</c:v>
                </c:pt>
                <c:pt idx="35">
                  <c:v>4.7</c:v>
                </c:pt>
                <c:pt idx="36">
                  <c:v>5.5</c:v>
                </c:pt>
                <c:pt idx="37">
                  <c:v>5.2</c:v>
                </c:pt>
                <c:pt idx="38">
                  <c:v>4.8</c:v>
                </c:pt>
                <c:pt idx="39">
                  <c:v>4.9000000000000004</c:v>
                </c:pt>
                <c:pt idx="40">
                  <c:v>6.1</c:v>
                </c:pt>
                <c:pt idx="41">
                  <c:v>5.5</c:v>
                </c:pt>
                <c:pt idx="42">
                  <c:v>4.5</c:v>
                </c:pt>
                <c:pt idx="43">
                  <c:v>6.3</c:v>
                </c:pt>
                <c:pt idx="44">
                  <c:v>5.3</c:v>
                </c:pt>
                <c:pt idx="45">
                  <c:v>6.5</c:v>
                </c:pt>
                <c:pt idx="46">
                  <c:v>6.7</c:v>
                </c:pt>
                <c:pt idx="47">
                  <c:v>6.9</c:v>
                </c:pt>
                <c:pt idx="48">
                  <c:v>7.4</c:v>
                </c:pt>
                <c:pt idx="49">
                  <c:v>6.9</c:v>
                </c:pt>
                <c:pt idx="50">
                  <c:v>6.5</c:v>
                </c:pt>
                <c:pt idx="51">
                  <c:v>7.6</c:v>
                </c:pt>
                <c:pt idx="52">
                  <c:v>6</c:v>
                </c:pt>
                <c:pt idx="53">
                  <c:v>7.2</c:v>
                </c:pt>
                <c:pt idx="54">
                  <c:v>8.1</c:v>
                </c:pt>
                <c:pt idx="55">
                  <c:v>7.6</c:v>
                </c:pt>
                <c:pt idx="56">
                  <c:v>7.6</c:v>
                </c:pt>
                <c:pt idx="57">
                  <c:v>8.1</c:v>
                </c:pt>
                <c:pt idx="58">
                  <c:v>8.6</c:v>
                </c:pt>
                <c:pt idx="59">
                  <c:v>10.3</c:v>
                </c:pt>
                <c:pt idx="60">
                  <c:v>8.6</c:v>
                </c:pt>
                <c:pt idx="61">
                  <c:v>8.1</c:v>
                </c:pt>
              </c:numCache>
            </c:numRef>
          </c:val>
          <c:extLst>
            <c:ext xmlns:c16="http://schemas.microsoft.com/office/drawing/2014/chart" uri="{C3380CC4-5D6E-409C-BE32-E72D297353CC}">
              <c16:uniqueId val="{00000003-8EAF-4CA1-BDB2-2B3CF4253A55}"/>
            </c:ext>
          </c:extLst>
        </c:ser>
        <c:ser>
          <c:idx val="4"/>
          <c:order val="4"/>
          <c:tx>
            <c:strRef>
              <c:f>'EIA Energy Use '!$F$4</c:f>
              <c:strCache>
                <c:ptCount val="1"/>
                <c:pt idx="0">
                  <c:v>Kerosene</c:v>
                </c:pt>
              </c:strCache>
            </c:strRef>
          </c:tx>
          <c:spPr>
            <a:solidFill>
              <a:schemeClr val="accent5"/>
            </a:solidFill>
            <a:ln>
              <a:noFill/>
            </a:ln>
            <a:effectLst/>
          </c:spPr>
          <c:cat>
            <c:numRef>
              <c:f>'EIA Energy Use '!$A$5:$A$66</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'EIA Energy Use '!$F$5:$F$66</c:f>
              <c:numCache>
                <c:formatCode>General</c:formatCode>
                <c:ptCount val="62"/>
                <c:pt idx="0">
                  <c:v>27.5</c:v>
                </c:pt>
                <c:pt idx="1">
                  <c:v>26.8</c:v>
                </c:pt>
                <c:pt idx="2">
                  <c:v>26</c:v>
                </c:pt>
                <c:pt idx="3">
                  <c:v>23.2</c:v>
                </c:pt>
                <c:pt idx="4">
                  <c:v>18.5</c:v>
                </c:pt>
                <c:pt idx="5">
                  <c:v>15.2</c:v>
                </c:pt>
                <c:pt idx="6">
                  <c:v>10.8</c:v>
                </c:pt>
                <c:pt idx="7">
                  <c:v>9.3000000000000007</c:v>
                </c:pt>
                <c:pt idx="8">
                  <c:v>8</c:v>
                </c:pt>
                <c:pt idx="9">
                  <c:v>8.1</c:v>
                </c:pt>
                <c:pt idx="10">
                  <c:v>8.1</c:v>
                </c:pt>
                <c:pt idx="11">
                  <c:v>8.1</c:v>
                </c:pt>
                <c:pt idx="12">
                  <c:v>8.6</c:v>
                </c:pt>
                <c:pt idx="13">
                  <c:v>5.9</c:v>
                </c:pt>
                <c:pt idx="14">
                  <c:v>3.6</c:v>
                </c:pt>
                <c:pt idx="15">
                  <c:v>3.3</c:v>
                </c:pt>
                <c:pt idx="16">
                  <c:v>3.7</c:v>
                </c:pt>
                <c:pt idx="17">
                  <c:v>3.8</c:v>
                </c:pt>
                <c:pt idx="18">
                  <c:v>2.6</c:v>
                </c:pt>
                <c:pt idx="19">
                  <c:v>2.5</c:v>
                </c:pt>
                <c:pt idx="20">
                  <c:v>1.8</c:v>
                </c:pt>
                <c:pt idx="21">
                  <c:v>1</c:v>
                </c:pt>
                <c:pt idx="22">
                  <c:v>2.9</c:v>
                </c:pt>
                <c:pt idx="23">
                  <c:v>0.9</c:v>
                </c:pt>
                <c:pt idx="24">
                  <c:v>3.9</c:v>
                </c:pt>
                <c:pt idx="25">
                  <c:v>3.3</c:v>
                </c:pt>
                <c:pt idx="26">
                  <c:v>2.8</c:v>
                </c:pt>
                <c:pt idx="27">
                  <c:v>3</c:v>
                </c:pt>
                <c:pt idx="28">
                  <c:v>1.7</c:v>
                </c:pt>
                <c:pt idx="29">
                  <c:v>1.5</c:v>
                </c:pt>
                <c:pt idx="30">
                  <c:v>0.9</c:v>
                </c:pt>
                <c:pt idx="31">
                  <c:v>0.9</c:v>
                </c:pt>
                <c:pt idx="32">
                  <c:v>1.5</c:v>
                </c:pt>
                <c:pt idx="33">
                  <c:v>1.4</c:v>
                </c:pt>
                <c:pt idx="34">
                  <c:v>1.2</c:v>
                </c:pt>
                <c:pt idx="35">
                  <c:v>0.7</c:v>
                </c:pt>
                <c:pt idx="36">
                  <c:v>0.8</c:v>
                </c:pt>
                <c:pt idx="37">
                  <c:v>1.1000000000000001</c:v>
                </c:pt>
                <c:pt idx="38">
                  <c:v>1.1000000000000001</c:v>
                </c:pt>
                <c:pt idx="39">
                  <c:v>1</c:v>
                </c:pt>
                <c:pt idx="40">
                  <c:v>1.1000000000000001</c:v>
                </c:pt>
                <c:pt idx="41">
                  <c:v>1.1000000000000001</c:v>
                </c:pt>
                <c:pt idx="42">
                  <c:v>0.7</c:v>
                </c:pt>
                <c:pt idx="43">
                  <c:v>1.4</c:v>
                </c:pt>
                <c:pt idx="44">
                  <c:v>1.6</c:v>
                </c:pt>
                <c:pt idx="45">
                  <c:v>1.7</c:v>
                </c:pt>
                <c:pt idx="46">
                  <c:v>1.4</c:v>
                </c:pt>
                <c:pt idx="47">
                  <c:v>0.9</c:v>
                </c:pt>
                <c:pt idx="48">
                  <c:v>0.4</c:v>
                </c:pt>
                <c:pt idx="49">
                  <c:v>0.6</c:v>
                </c:pt>
                <c:pt idx="50">
                  <c:v>0.6</c:v>
                </c:pt>
                <c:pt idx="51">
                  <c:v>0.3</c:v>
                </c:pt>
                <c:pt idx="52">
                  <c:v>0.2</c:v>
                </c:pt>
                <c:pt idx="53">
                  <c:v>0.2</c:v>
                </c:pt>
                <c:pt idx="54">
                  <c:v>0.3</c:v>
                </c:pt>
                <c:pt idx="55">
                  <c:v>0.3</c:v>
                </c:pt>
                <c:pt idx="56">
                  <c:v>0.3</c:v>
                </c:pt>
                <c:pt idx="57">
                  <c:v>0.2</c:v>
                </c:pt>
                <c:pt idx="58">
                  <c:v>0.2</c:v>
                </c:pt>
                <c:pt idx="59">
                  <c:v>0.2</c:v>
                </c:pt>
                <c:pt idx="60">
                  <c:v>0.3</c:v>
                </c:pt>
                <c:pt idx="61">
                  <c:v>0.2</c:v>
                </c:pt>
              </c:numCache>
            </c:numRef>
          </c:val>
          <c:extLst>
            <c:ext xmlns:c16="http://schemas.microsoft.com/office/drawing/2014/chart" uri="{C3380CC4-5D6E-409C-BE32-E72D297353CC}">
              <c16:uniqueId val="{00000004-8EAF-4CA1-BDB2-2B3CF4253A55}"/>
            </c:ext>
          </c:extLst>
        </c:ser>
        <c:dLbls>
          <c:showLegendKey val="0"/>
          <c:showVal val="0"/>
          <c:showCatName val="0"/>
          <c:showSerName val="0"/>
          <c:showPercent val="0"/>
          <c:showBubbleSize val="0"/>
        </c:dLbls>
        <c:axId val="226061424"/>
        <c:axId val="226062384"/>
      </c:areaChart>
      <c:catAx>
        <c:axId val="226061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062384"/>
        <c:crosses val="autoZero"/>
        <c:auto val="1"/>
        <c:lblAlgn val="ctr"/>
        <c:lblOffset val="100"/>
        <c:noMultiLvlLbl val="0"/>
      </c:catAx>
      <c:valAx>
        <c:axId val="226062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061424"/>
        <c:crosses val="autoZero"/>
        <c:crossBetween val="midCat"/>
      </c:valAx>
      <c:spPr>
        <a:noFill/>
        <a:ln>
          <a:noFill/>
        </a:ln>
        <a:effectLst/>
      </c:spPr>
    </c:plotArea>
    <c:legend>
      <c:legendPos val="b"/>
      <c:layout>
        <c:manualLayout>
          <c:xMode val="edge"/>
          <c:yMode val="edge"/>
          <c:x val="0.35179761904761903"/>
          <c:y val="0.9276522267513988"/>
          <c:w val="0.37140466816647921"/>
          <c:h val="5.94860369141960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Massachusetts Residential</a:t>
            </a:r>
            <a:r>
              <a:rPr lang="en-US" baseline="0"/>
              <a:t> Energy Consumption of Fuels by Type (Share of BTUs)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percentStacked"/>
        <c:varyColors val="0"/>
        <c:ser>
          <c:idx val="1"/>
          <c:order val="0"/>
          <c:tx>
            <c:strRef>
              <c:f>'EIA Energy Use '!$B$4</c:f>
              <c:strCache>
                <c:ptCount val="1"/>
                <c:pt idx="0">
                  <c:v>Coal </c:v>
                </c:pt>
              </c:strCache>
            </c:strRef>
          </c:tx>
          <c:spPr>
            <a:solidFill>
              <a:srgbClr val="0070C0"/>
            </a:solidFill>
            <a:ln>
              <a:noFill/>
            </a:ln>
            <a:effectLst/>
          </c:spPr>
          <c:cat>
            <c:strRef>
              <c:f>'EIA Energy Use '!$A$4:$A$66</c:f>
              <c:strCache>
                <c:ptCount val="63"/>
                <c:pt idx="0">
                  <c:v>Year</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strCache>
            </c:strRef>
          </c:cat>
          <c:val>
            <c:numRef>
              <c:f>'EIA Energy Use '!$B$5:$B$66</c:f>
              <c:numCache>
                <c:formatCode>General</c:formatCode>
                <c:ptCount val="62"/>
                <c:pt idx="0">
                  <c:v>12.1</c:v>
                </c:pt>
                <c:pt idx="1">
                  <c:v>9.6</c:v>
                </c:pt>
                <c:pt idx="2">
                  <c:v>9.1</c:v>
                </c:pt>
                <c:pt idx="3">
                  <c:v>6.6</c:v>
                </c:pt>
                <c:pt idx="4">
                  <c:v>6.3</c:v>
                </c:pt>
                <c:pt idx="5">
                  <c:v>5.2</c:v>
                </c:pt>
                <c:pt idx="6">
                  <c:v>4.5999999999999996</c:v>
                </c:pt>
                <c:pt idx="7">
                  <c:v>4.0999999999999996</c:v>
                </c:pt>
                <c:pt idx="8">
                  <c:v>3.9</c:v>
                </c:pt>
                <c:pt idx="9">
                  <c:v>3</c:v>
                </c:pt>
                <c:pt idx="10">
                  <c:v>2.5</c:v>
                </c:pt>
                <c:pt idx="11">
                  <c:v>1.9</c:v>
                </c:pt>
                <c:pt idx="12">
                  <c:v>1.3</c:v>
                </c:pt>
                <c:pt idx="13">
                  <c:v>1.2</c:v>
                </c:pt>
                <c:pt idx="14">
                  <c:v>1</c:v>
                </c:pt>
                <c:pt idx="15">
                  <c:v>0.7</c:v>
                </c:pt>
                <c:pt idx="16">
                  <c:v>0.6</c:v>
                </c:pt>
                <c:pt idx="17">
                  <c:v>0.6</c:v>
                </c:pt>
                <c:pt idx="18">
                  <c:v>0.4</c:v>
                </c:pt>
                <c:pt idx="19">
                  <c:v>0.3</c:v>
                </c:pt>
                <c:pt idx="20">
                  <c:v>0.5</c:v>
                </c:pt>
                <c:pt idx="21">
                  <c:v>0.6</c:v>
                </c:pt>
                <c:pt idx="22">
                  <c:v>0.6</c:v>
                </c:pt>
                <c:pt idx="23">
                  <c:v>0.5</c:v>
                </c:pt>
                <c:pt idx="24">
                  <c:v>1</c:v>
                </c:pt>
                <c:pt idx="25">
                  <c:v>0.7</c:v>
                </c:pt>
                <c:pt idx="26">
                  <c:v>0.4</c:v>
                </c:pt>
                <c:pt idx="27">
                  <c:v>0.3</c:v>
                </c:pt>
                <c:pt idx="28">
                  <c:v>0.4</c:v>
                </c:pt>
                <c:pt idx="29">
                  <c:v>0.3</c:v>
                </c:pt>
                <c:pt idx="30">
                  <c:v>0.3</c:v>
                </c:pt>
                <c:pt idx="31">
                  <c:v>0.1</c:v>
                </c:pt>
                <c:pt idx="32">
                  <c:v>0.3</c:v>
                </c:pt>
                <c:pt idx="33">
                  <c:v>0.2</c:v>
                </c:pt>
                <c:pt idx="34">
                  <c:v>0.1</c:v>
                </c:pt>
                <c:pt idx="35">
                  <c:v>0.1</c:v>
                </c:pt>
                <c:pt idx="36">
                  <c:v>0.1</c:v>
                </c:pt>
                <c:pt idx="37">
                  <c:v>0.1</c:v>
                </c:pt>
                <c:pt idx="38">
                  <c:v>0.1</c:v>
                </c:pt>
                <c:pt idx="39">
                  <c:v>0.1</c:v>
                </c:pt>
                <c:pt idx="40">
                  <c:v>0.1</c:v>
                </c:pt>
                <c:pt idx="41">
                  <c:v>0.1</c:v>
                </c:pt>
                <c:pt idx="42">
                  <c:v>0.3</c:v>
                </c:pt>
                <c:pt idx="43">
                  <c:v>0.2</c:v>
                </c:pt>
                <c:pt idx="44">
                  <c:v>0.1</c:v>
                </c:pt>
                <c:pt idx="45">
                  <c:v>0.1</c:v>
                </c:pt>
                <c:pt idx="46">
                  <c:v>0.1</c:v>
                </c:pt>
                <c:pt idx="47">
                  <c:v>0.1</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1-59CC-4409-A2AF-AC3FAF5FA415}"/>
            </c:ext>
          </c:extLst>
        </c:ser>
        <c:ser>
          <c:idx val="2"/>
          <c:order val="1"/>
          <c:tx>
            <c:strRef>
              <c:f>'EIA Energy Use '!$C$4</c:f>
              <c:strCache>
                <c:ptCount val="1"/>
                <c:pt idx="0">
                  <c:v>Natural Gas</c:v>
                </c:pt>
              </c:strCache>
            </c:strRef>
          </c:tx>
          <c:spPr>
            <a:solidFill>
              <a:schemeClr val="accent2"/>
            </a:solidFill>
            <a:ln>
              <a:noFill/>
            </a:ln>
            <a:effectLst/>
          </c:spPr>
          <c:cat>
            <c:strRef>
              <c:f>'EIA Energy Use '!$A$4:$A$66</c:f>
              <c:strCache>
                <c:ptCount val="63"/>
                <c:pt idx="0">
                  <c:v>Year</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strCache>
            </c:strRef>
          </c:cat>
          <c:val>
            <c:numRef>
              <c:f>'EIA Energy Use '!$C$5:$C$66</c:f>
              <c:numCache>
                <c:formatCode>General</c:formatCode>
                <c:ptCount val="62"/>
                <c:pt idx="0">
                  <c:v>46.6</c:v>
                </c:pt>
                <c:pt idx="1">
                  <c:v>51.4</c:v>
                </c:pt>
                <c:pt idx="2">
                  <c:v>56</c:v>
                </c:pt>
                <c:pt idx="3">
                  <c:v>59.1</c:v>
                </c:pt>
                <c:pt idx="4">
                  <c:v>62.5</c:v>
                </c:pt>
                <c:pt idx="5">
                  <c:v>65.7</c:v>
                </c:pt>
                <c:pt idx="6">
                  <c:v>67.2</c:v>
                </c:pt>
                <c:pt idx="7">
                  <c:v>74.400000000000006</c:v>
                </c:pt>
                <c:pt idx="8">
                  <c:v>75.8</c:v>
                </c:pt>
                <c:pt idx="9">
                  <c:v>79.400000000000006</c:v>
                </c:pt>
                <c:pt idx="10">
                  <c:v>83.6</c:v>
                </c:pt>
                <c:pt idx="11">
                  <c:v>84.4</c:v>
                </c:pt>
                <c:pt idx="12">
                  <c:v>87.2</c:v>
                </c:pt>
                <c:pt idx="13">
                  <c:v>84.9</c:v>
                </c:pt>
                <c:pt idx="14">
                  <c:v>86.3</c:v>
                </c:pt>
                <c:pt idx="15">
                  <c:v>90.6</c:v>
                </c:pt>
                <c:pt idx="16">
                  <c:v>95.7</c:v>
                </c:pt>
                <c:pt idx="17">
                  <c:v>93.9</c:v>
                </c:pt>
                <c:pt idx="18">
                  <c:v>87.6</c:v>
                </c:pt>
                <c:pt idx="19">
                  <c:v>81.599999999999994</c:v>
                </c:pt>
                <c:pt idx="20">
                  <c:v>96</c:v>
                </c:pt>
                <c:pt idx="21">
                  <c:v>98.3</c:v>
                </c:pt>
                <c:pt idx="22">
                  <c:v>99.8</c:v>
                </c:pt>
                <c:pt idx="23">
                  <c:v>93.7</c:v>
                </c:pt>
                <c:pt idx="24">
                  <c:v>99.2</c:v>
                </c:pt>
                <c:pt idx="25">
                  <c:v>100.1</c:v>
                </c:pt>
                <c:pt idx="26">
                  <c:v>104.9</c:v>
                </c:pt>
                <c:pt idx="27">
                  <c:v>108</c:v>
                </c:pt>
                <c:pt idx="28">
                  <c:v>111.9</c:v>
                </c:pt>
                <c:pt idx="29">
                  <c:v>115.7</c:v>
                </c:pt>
                <c:pt idx="30">
                  <c:v>110.6</c:v>
                </c:pt>
                <c:pt idx="31">
                  <c:v>107</c:v>
                </c:pt>
                <c:pt idx="32">
                  <c:v>124.4</c:v>
                </c:pt>
                <c:pt idx="33">
                  <c:v>126.1</c:v>
                </c:pt>
                <c:pt idx="34">
                  <c:v>122.5</c:v>
                </c:pt>
                <c:pt idx="35">
                  <c:v>108.5</c:v>
                </c:pt>
                <c:pt idx="36">
                  <c:v>117.3</c:v>
                </c:pt>
                <c:pt idx="37">
                  <c:v>114.5</c:v>
                </c:pt>
                <c:pt idx="38">
                  <c:v>103.6</c:v>
                </c:pt>
                <c:pt idx="39">
                  <c:v>112.1</c:v>
                </c:pt>
                <c:pt idx="40">
                  <c:v>119.1</c:v>
                </c:pt>
                <c:pt idx="41">
                  <c:v>111.5</c:v>
                </c:pt>
                <c:pt idx="42">
                  <c:v>113.1</c:v>
                </c:pt>
                <c:pt idx="43">
                  <c:v>129.4</c:v>
                </c:pt>
                <c:pt idx="44">
                  <c:v>116</c:v>
                </c:pt>
                <c:pt idx="45">
                  <c:v>120.4</c:v>
                </c:pt>
                <c:pt idx="46">
                  <c:v>104.9</c:v>
                </c:pt>
                <c:pt idx="47">
                  <c:v>117</c:v>
                </c:pt>
                <c:pt idx="48">
                  <c:v>134.5</c:v>
                </c:pt>
                <c:pt idx="49">
                  <c:v>137</c:v>
                </c:pt>
                <c:pt idx="50">
                  <c:v>129.80000000000001</c:v>
                </c:pt>
                <c:pt idx="51">
                  <c:v>132.9</c:v>
                </c:pt>
                <c:pt idx="52">
                  <c:v>119.2</c:v>
                </c:pt>
                <c:pt idx="53">
                  <c:v>120.7</c:v>
                </c:pt>
                <c:pt idx="54">
                  <c:v>129.9</c:v>
                </c:pt>
                <c:pt idx="55">
                  <c:v>130.4</c:v>
                </c:pt>
                <c:pt idx="56">
                  <c:v>115.5</c:v>
                </c:pt>
                <c:pt idx="57">
                  <c:v>124.8</c:v>
                </c:pt>
                <c:pt idx="58">
                  <c:v>134.30000000000001</c:v>
                </c:pt>
                <c:pt idx="59">
                  <c:v>139.30000000000001</c:v>
                </c:pt>
                <c:pt idx="60">
                  <c:v>123.9</c:v>
                </c:pt>
                <c:pt idx="61">
                  <c:v>126.5</c:v>
                </c:pt>
              </c:numCache>
            </c:numRef>
          </c:val>
          <c:extLst>
            <c:ext xmlns:c16="http://schemas.microsoft.com/office/drawing/2014/chart" uri="{C3380CC4-5D6E-409C-BE32-E72D297353CC}">
              <c16:uniqueId val="{00000002-59CC-4409-A2AF-AC3FAF5FA415}"/>
            </c:ext>
          </c:extLst>
        </c:ser>
        <c:ser>
          <c:idx val="3"/>
          <c:order val="2"/>
          <c:tx>
            <c:strRef>
              <c:f>'EIA Energy Use '!$D$4</c:f>
              <c:strCache>
                <c:ptCount val="1"/>
                <c:pt idx="0">
                  <c:v>Distillate
Fuel Oil</c:v>
                </c:pt>
              </c:strCache>
            </c:strRef>
          </c:tx>
          <c:spPr>
            <a:solidFill>
              <a:schemeClr val="bg1">
                <a:lumMod val="65000"/>
              </a:schemeClr>
            </a:solidFill>
            <a:ln>
              <a:noFill/>
            </a:ln>
            <a:effectLst/>
          </c:spPr>
          <c:cat>
            <c:strRef>
              <c:f>'EIA Energy Use '!$A$4:$A$66</c:f>
              <c:strCache>
                <c:ptCount val="63"/>
                <c:pt idx="0">
                  <c:v>Year</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strCache>
            </c:strRef>
          </c:cat>
          <c:val>
            <c:numRef>
              <c:f>'EIA Energy Use '!$D$5:$D$66</c:f>
              <c:numCache>
                <c:formatCode>General</c:formatCode>
                <c:ptCount val="62"/>
                <c:pt idx="0">
                  <c:v>199.8</c:v>
                </c:pt>
                <c:pt idx="1">
                  <c:v>205.6</c:v>
                </c:pt>
                <c:pt idx="2">
                  <c:v>210.8</c:v>
                </c:pt>
                <c:pt idx="3">
                  <c:v>199.7</c:v>
                </c:pt>
                <c:pt idx="4">
                  <c:v>193.1</c:v>
                </c:pt>
                <c:pt idx="5">
                  <c:v>216</c:v>
                </c:pt>
                <c:pt idx="6">
                  <c:v>193</c:v>
                </c:pt>
                <c:pt idx="7">
                  <c:v>208.4</c:v>
                </c:pt>
                <c:pt idx="8">
                  <c:v>214.5</c:v>
                </c:pt>
                <c:pt idx="9">
                  <c:v>221</c:v>
                </c:pt>
                <c:pt idx="10">
                  <c:v>224.4</c:v>
                </c:pt>
                <c:pt idx="11">
                  <c:v>233.7</c:v>
                </c:pt>
                <c:pt idx="12">
                  <c:v>241.2</c:v>
                </c:pt>
                <c:pt idx="13">
                  <c:v>242.5</c:v>
                </c:pt>
                <c:pt idx="14">
                  <c:v>227.7</c:v>
                </c:pt>
                <c:pt idx="15">
                  <c:v>220.5</c:v>
                </c:pt>
                <c:pt idx="16">
                  <c:v>238.8</c:v>
                </c:pt>
                <c:pt idx="17">
                  <c:v>232.4</c:v>
                </c:pt>
                <c:pt idx="18">
                  <c:v>222</c:v>
                </c:pt>
                <c:pt idx="19">
                  <c:v>153</c:v>
                </c:pt>
                <c:pt idx="20">
                  <c:v>132.30000000000001</c:v>
                </c:pt>
                <c:pt idx="21">
                  <c:v>108.9</c:v>
                </c:pt>
                <c:pt idx="22">
                  <c:v>105.4</c:v>
                </c:pt>
                <c:pt idx="23">
                  <c:v>102.3</c:v>
                </c:pt>
                <c:pt idx="24">
                  <c:v>120.3</c:v>
                </c:pt>
                <c:pt idx="25">
                  <c:v>116.9</c:v>
                </c:pt>
                <c:pt idx="26">
                  <c:v>120.1</c:v>
                </c:pt>
                <c:pt idx="27">
                  <c:v>123.6</c:v>
                </c:pt>
                <c:pt idx="28">
                  <c:v>123.6</c:v>
                </c:pt>
                <c:pt idx="29">
                  <c:v>132.9</c:v>
                </c:pt>
                <c:pt idx="30">
                  <c:v>119.6</c:v>
                </c:pt>
                <c:pt idx="31">
                  <c:v>112.2</c:v>
                </c:pt>
                <c:pt idx="32">
                  <c:v>127.4</c:v>
                </c:pt>
                <c:pt idx="33">
                  <c:v>127.5</c:v>
                </c:pt>
                <c:pt idx="34">
                  <c:v>128</c:v>
                </c:pt>
                <c:pt idx="35">
                  <c:v>116.8</c:v>
                </c:pt>
                <c:pt idx="36">
                  <c:v>106.9</c:v>
                </c:pt>
                <c:pt idx="37">
                  <c:v>106.7</c:v>
                </c:pt>
                <c:pt idx="38">
                  <c:v>98.8</c:v>
                </c:pt>
                <c:pt idx="39">
                  <c:v>103.7</c:v>
                </c:pt>
                <c:pt idx="40">
                  <c:v>119</c:v>
                </c:pt>
                <c:pt idx="41">
                  <c:v>129.69999999999999</c:v>
                </c:pt>
                <c:pt idx="42">
                  <c:v>128.4</c:v>
                </c:pt>
                <c:pt idx="43">
                  <c:v>121.1</c:v>
                </c:pt>
                <c:pt idx="44">
                  <c:v>112.5</c:v>
                </c:pt>
                <c:pt idx="45">
                  <c:v>107.2</c:v>
                </c:pt>
                <c:pt idx="46">
                  <c:v>90.8</c:v>
                </c:pt>
                <c:pt idx="47">
                  <c:v>91.9</c:v>
                </c:pt>
                <c:pt idx="48">
                  <c:v>91.3</c:v>
                </c:pt>
                <c:pt idx="49">
                  <c:v>82.5</c:v>
                </c:pt>
                <c:pt idx="50">
                  <c:v>84.3</c:v>
                </c:pt>
                <c:pt idx="51">
                  <c:v>82</c:v>
                </c:pt>
                <c:pt idx="52">
                  <c:v>68.8</c:v>
                </c:pt>
                <c:pt idx="53">
                  <c:v>74.099999999999994</c:v>
                </c:pt>
                <c:pt idx="54">
                  <c:v>84.1</c:v>
                </c:pt>
                <c:pt idx="55">
                  <c:v>83.3</c:v>
                </c:pt>
                <c:pt idx="56">
                  <c:v>64.7</c:v>
                </c:pt>
                <c:pt idx="57">
                  <c:v>70.7</c:v>
                </c:pt>
                <c:pt idx="58">
                  <c:v>76.7</c:v>
                </c:pt>
                <c:pt idx="59">
                  <c:v>75.8</c:v>
                </c:pt>
                <c:pt idx="60">
                  <c:v>68</c:v>
                </c:pt>
                <c:pt idx="61">
                  <c:v>71.7</c:v>
                </c:pt>
              </c:numCache>
            </c:numRef>
          </c:val>
          <c:extLst>
            <c:ext xmlns:c16="http://schemas.microsoft.com/office/drawing/2014/chart" uri="{C3380CC4-5D6E-409C-BE32-E72D297353CC}">
              <c16:uniqueId val="{00000003-59CC-4409-A2AF-AC3FAF5FA415}"/>
            </c:ext>
          </c:extLst>
        </c:ser>
        <c:ser>
          <c:idx val="4"/>
          <c:order val="3"/>
          <c:tx>
            <c:strRef>
              <c:f>'EIA Energy Use '!$E$4</c:f>
              <c:strCache>
                <c:ptCount val="1"/>
                <c:pt idx="0">
                  <c:v>Propane</c:v>
                </c:pt>
              </c:strCache>
            </c:strRef>
          </c:tx>
          <c:spPr>
            <a:solidFill>
              <a:srgbClr val="FFC000"/>
            </a:solidFill>
            <a:ln>
              <a:noFill/>
            </a:ln>
            <a:effectLst/>
          </c:spPr>
          <c:cat>
            <c:strRef>
              <c:f>'EIA Energy Use '!$A$4:$A$66</c:f>
              <c:strCache>
                <c:ptCount val="63"/>
                <c:pt idx="0">
                  <c:v>Year</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strCache>
            </c:strRef>
          </c:cat>
          <c:val>
            <c:numRef>
              <c:f>'EIA Energy Use '!$E$5:$E$66</c:f>
              <c:numCache>
                <c:formatCode>General</c:formatCode>
                <c:ptCount val="62"/>
                <c:pt idx="0">
                  <c:v>2.4</c:v>
                </c:pt>
                <c:pt idx="1">
                  <c:v>2.2000000000000002</c:v>
                </c:pt>
                <c:pt idx="2">
                  <c:v>2.6</c:v>
                </c:pt>
                <c:pt idx="3">
                  <c:v>2.7</c:v>
                </c:pt>
                <c:pt idx="4">
                  <c:v>2.7</c:v>
                </c:pt>
                <c:pt idx="5">
                  <c:v>3</c:v>
                </c:pt>
                <c:pt idx="6">
                  <c:v>2.6</c:v>
                </c:pt>
                <c:pt idx="7">
                  <c:v>2.6</c:v>
                </c:pt>
                <c:pt idx="8">
                  <c:v>2.8</c:v>
                </c:pt>
                <c:pt idx="9">
                  <c:v>3.2</c:v>
                </c:pt>
                <c:pt idx="10">
                  <c:v>3</c:v>
                </c:pt>
                <c:pt idx="11">
                  <c:v>3</c:v>
                </c:pt>
                <c:pt idx="12">
                  <c:v>3.4</c:v>
                </c:pt>
                <c:pt idx="13">
                  <c:v>3.1</c:v>
                </c:pt>
                <c:pt idx="14">
                  <c:v>3.1</c:v>
                </c:pt>
                <c:pt idx="15">
                  <c:v>3.2</c:v>
                </c:pt>
                <c:pt idx="16">
                  <c:v>3.4</c:v>
                </c:pt>
                <c:pt idx="17">
                  <c:v>3.8</c:v>
                </c:pt>
                <c:pt idx="18">
                  <c:v>3.6</c:v>
                </c:pt>
                <c:pt idx="19">
                  <c:v>2.1</c:v>
                </c:pt>
                <c:pt idx="20">
                  <c:v>2.2000000000000002</c:v>
                </c:pt>
                <c:pt idx="21">
                  <c:v>2.2999999999999998</c:v>
                </c:pt>
                <c:pt idx="22">
                  <c:v>2.2999999999999998</c:v>
                </c:pt>
                <c:pt idx="23">
                  <c:v>2.7</c:v>
                </c:pt>
                <c:pt idx="24">
                  <c:v>2.8</c:v>
                </c:pt>
                <c:pt idx="25">
                  <c:v>3.3</c:v>
                </c:pt>
                <c:pt idx="26">
                  <c:v>3.7</c:v>
                </c:pt>
                <c:pt idx="27">
                  <c:v>4.4000000000000004</c:v>
                </c:pt>
                <c:pt idx="28">
                  <c:v>4.3</c:v>
                </c:pt>
                <c:pt idx="29">
                  <c:v>5.0999999999999996</c:v>
                </c:pt>
                <c:pt idx="30">
                  <c:v>4.4000000000000004</c:v>
                </c:pt>
                <c:pt idx="31">
                  <c:v>4</c:v>
                </c:pt>
                <c:pt idx="32">
                  <c:v>3.9</c:v>
                </c:pt>
                <c:pt idx="33">
                  <c:v>4.3</c:v>
                </c:pt>
                <c:pt idx="34">
                  <c:v>4.5</c:v>
                </c:pt>
                <c:pt idx="35">
                  <c:v>4.7</c:v>
                </c:pt>
                <c:pt idx="36">
                  <c:v>5.5</c:v>
                </c:pt>
                <c:pt idx="37">
                  <c:v>5.2</c:v>
                </c:pt>
                <c:pt idx="38">
                  <c:v>4.8</c:v>
                </c:pt>
                <c:pt idx="39">
                  <c:v>4.9000000000000004</c:v>
                </c:pt>
                <c:pt idx="40">
                  <c:v>6.1</c:v>
                </c:pt>
                <c:pt idx="41">
                  <c:v>5.5</c:v>
                </c:pt>
                <c:pt idx="42">
                  <c:v>4.5</c:v>
                </c:pt>
                <c:pt idx="43">
                  <c:v>6.3</c:v>
                </c:pt>
                <c:pt idx="44">
                  <c:v>5.3</c:v>
                </c:pt>
                <c:pt idx="45">
                  <c:v>6.5</c:v>
                </c:pt>
                <c:pt idx="46">
                  <c:v>6.7</c:v>
                </c:pt>
                <c:pt idx="47">
                  <c:v>6.9</c:v>
                </c:pt>
                <c:pt idx="48">
                  <c:v>7.4</c:v>
                </c:pt>
                <c:pt idx="49">
                  <c:v>6.9</c:v>
                </c:pt>
                <c:pt idx="50">
                  <c:v>6.5</c:v>
                </c:pt>
                <c:pt idx="51">
                  <c:v>7.6</c:v>
                </c:pt>
                <c:pt idx="52">
                  <c:v>6</c:v>
                </c:pt>
                <c:pt idx="53">
                  <c:v>7.2</c:v>
                </c:pt>
                <c:pt idx="54">
                  <c:v>8.1</c:v>
                </c:pt>
                <c:pt idx="55">
                  <c:v>7.6</c:v>
                </c:pt>
                <c:pt idx="56">
                  <c:v>7.6</c:v>
                </c:pt>
                <c:pt idx="57">
                  <c:v>8.1</c:v>
                </c:pt>
                <c:pt idx="58">
                  <c:v>8.6</c:v>
                </c:pt>
                <c:pt idx="59">
                  <c:v>10.3</c:v>
                </c:pt>
                <c:pt idx="60">
                  <c:v>8.6</c:v>
                </c:pt>
                <c:pt idx="61">
                  <c:v>8.1</c:v>
                </c:pt>
              </c:numCache>
            </c:numRef>
          </c:val>
          <c:extLst>
            <c:ext xmlns:c16="http://schemas.microsoft.com/office/drawing/2014/chart" uri="{C3380CC4-5D6E-409C-BE32-E72D297353CC}">
              <c16:uniqueId val="{00000004-59CC-4409-A2AF-AC3FAF5FA415}"/>
            </c:ext>
          </c:extLst>
        </c:ser>
        <c:ser>
          <c:idx val="5"/>
          <c:order val="4"/>
          <c:tx>
            <c:strRef>
              <c:f>'EIA Energy Use '!$F$4</c:f>
              <c:strCache>
                <c:ptCount val="1"/>
                <c:pt idx="0">
                  <c:v>Kerosene</c:v>
                </c:pt>
              </c:strCache>
            </c:strRef>
          </c:tx>
          <c:spPr>
            <a:solidFill>
              <a:srgbClr val="00B0F0"/>
            </a:solidFill>
            <a:ln>
              <a:noFill/>
            </a:ln>
            <a:effectLst/>
          </c:spPr>
          <c:cat>
            <c:strRef>
              <c:f>'EIA Energy Use '!$A$4:$A$66</c:f>
              <c:strCache>
                <c:ptCount val="63"/>
                <c:pt idx="0">
                  <c:v>Year</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strCache>
            </c:strRef>
          </c:cat>
          <c:val>
            <c:numRef>
              <c:f>'EIA Energy Use '!$F$5:$F$66</c:f>
              <c:numCache>
                <c:formatCode>General</c:formatCode>
                <c:ptCount val="62"/>
                <c:pt idx="0">
                  <c:v>27.5</c:v>
                </c:pt>
                <c:pt idx="1">
                  <c:v>26.8</c:v>
                </c:pt>
                <c:pt idx="2">
                  <c:v>26</c:v>
                </c:pt>
                <c:pt idx="3">
                  <c:v>23.2</c:v>
                </c:pt>
                <c:pt idx="4">
                  <c:v>18.5</c:v>
                </c:pt>
                <c:pt idx="5">
                  <c:v>15.2</c:v>
                </c:pt>
                <c:pt idx="6">
                  <c:v>10.8</c:v>
                </c:pt>
                <c:pt idx="7">
                  <c:v>9.3000000000000007</c:v>
                </c:pt>
                <c:pt idx="8">
                  <c:v>8</c:v>
                </c:pt>
                <c:pt idx="9">
                  <c:v>8.1</c:v>
                </c:pt>
                <c:pt idx="10">
                  <c:v>8.1</c:v>
                </c:pt>
                <c:pt idx="11">
                  <c:v>8.1</c:v>
                </c:pt>
                <c:pt idx="12">
                  <c:v>8.6</c:v>
                </c:pt>
                <c:pt idx="13">
                  <c:v>5.9</c:v>
                </c:pt>
                <c:pt idx="14">
                  <c:v>3.6</c:v>
                </c:pt>
                <c:pt idx="15">
                  <c:v>3.3</c:v>
                </c:pt>
                <c:pt idx="16">
                  <c:v>3.7</c:v>
                </c:pt>
                <c:pt idx="17">
                  <c:v>3.8</c:v>
                </c:pt>
                <c:pt idx="18">
                  <c:v>2.6</c:v>
                </c:pt>
                <c:pt idx="19">
                  <c:v>2.5</c:v>
                </c:pt>
                <c:pt idx="20">
                  <c:v>1.8</c:v>
                </c:pt>
                <c:pt idx="21">
                  <c:v>1</c:v>
                </c:pt>
                <c:pt idx="22">
                  <c:v>2.9</c:v>
                </c:pt>
                <c:pt idx="23">
                  <c:v>0.9</c:v>
                </c:pt>
                <c:pt idx="24">
                  <c:v>3.9</c:v>
                </c:pt>
                <c:pt idx="25">
                  <c:v>3.3</c:v>
                </c:pt>
                <c:pt idx="26">
                  <c:v>2.8</c:v>
                </c:pt>
                <c:pt idx="27">
                  <c:v>3</c:v>
                </c:pt>
                <c:pt idx="28">
                  <c:v>1.7</c:v>
                </c:pt>
                <c:pt idx="29">
                  <c:v>1.5</c:v>
                </c:pt>
                <c:pt idx="30">
                  <c:v>0.9</c:v>
                </c:pt>
                <c:pt idx="31">
                  <c:v>0.9</c:v>
                </c:pt>
                <c:pt idx="32">
                  <c:v>1.5</c:v>
                </c:pt>
                <c:pt idx="33">
                  <c:v>1.4</c:v>
                </c:pt>
                <c:pt idx="34">
                  <c:v>1.2</c:v>
                </c:pt>
                <c:pt idx="35">
                  <c:v>0.7</c:v>
                </c:pt>
                <c:pt idx="36">
                  <c:v>0.8</c:v>
                </c:pt>
                <c:pt idx="37">
                  <c:v>1.1000000000000001</c:v>
                </c:pt>
                <c:pt idx="38">
                  <c:v>1.1000000000000001</c:v>
                </c:pt>
                <c:pt idx="39">
                  <c:v>1</c:v>
                </c:pt>
                <c:pt idx="40">
                  <c:v>1.1000000000000001</c:v>
                </c:pt>
                <c:pt idx="41">
                  <c:v>1.1000000000000001</c:v>
                </c:pt>
                <c:pt idx="42">
                  <c:v>0.7</c:v>
                </c:pt>
                <c:pt idx="43">
                  <c:v>1.4</c:v>
                </c:pt>
                <c:pt idx="44">
                  <c:v>1.6</c:v>
                </c:pt>
                <c:pt idx="45">
                  <c:v>1.7</c:v>
                </c:pt>
                <c:pt idx="46">
                  <c:v>1.4</c:v>
                </c:pt>
                <c:pt idx="47">
                  <c:v>0.9</c:v>
                </c:pt>
                <c:pt idx="48">
                  <c:v>0.4</c:v>
                </c:pt>
                <c:pt idx="49">
                  <c:v>0.6</c:v>
                </c:pt>
                <c:pt idx="50">
                  <c:v>0.6</c:v>
                </c:pt>
                <c:pt idx="51">
                  <c:v>0.3</c:v>
                </c:pt>
                <c:pt idx="52">
                  <c:v>0.2</c:v>
                </c:pt>
                <c:pt idx="53">
                  <c:v>0.2</c:v>
                </c:pt>
                <c:pt idx="54">
                  <c:v>0.3</c:v>
                </c:pt>
                <c:pt idx="55">
                  <c:v>0.3</c:v>
                </c:pt>
                <c:pt idx="56">
                  <c:v>0.3</c:v>
                </c:pt>
                <c:pt idx="57">
                  <c:v>0.2</c:v>
                </c:pt>
                <c:pt idx="58">
                  <c:v>0.2</c:v>
                </c:pt>
                <c:pt idx="59">
                  <c:v>0.2</c:v>
                </c:pt>
                <c:pt idx="60">
                  <c:v>0.3</c:v>
                </c:pt>
                <c:pt idx="61">
                  <c:v>0.2</c:v>
                </c:pt>
              </c:numCache>
            </c:numRef>
          </c:val>
          <c:extLst>
            <c:ext xmlns:c16="http://schemas.microsoft.com/office/drawing/2014/chart" uri="{C3380CC4-5D6E-409C-BE32-E72D297353CC}">
              <c16:uniqueId val="{00000005-59CC-4409-A2AF-AC3FAF5FA415}"/>
            </c:ext>
          </c:extLst>
        </c:ser>
        <c:dLbls>
          <c:showLegendKey val="0"/>
          <c:showVal val="0"/>
          <c:showCatName val="0"/>
          <c:showSerName val="0"/>
          <c:showPercent val="0"/>
          <c:showBubbleSize val="0"/>
        </c:dLbls>
        <c:axId val="1728668399"/>
        <c:axId val="522720800"/>
      </c:areaChart>
      <c:catAx>
        <c:axId val="172866839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720800"/>
        <c:crosses val="autoZero"/>
        <c:auto val="1"/>
        <c:lblAlgn val="ctr"/>
        <c:lblOffset val="100"/>
        <c:noMultiLvlLbl val="0"/>
      </c:catAx>
      <c:valAx>
        <c:axId val="522720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866839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Massachusetts</a:t>
            </a:r>
            <a:r>
              <a:rPr lang="en-US" baseline="0"/>
              <a:t> Residential Energy Use: </a:t>
            </a:r>
            <a:r>
              <a:rPr lang="en-US"/>
              <a:t>MMBTU</a:t>
            </a:r>
            <a:r>
              <a:rPr lang="en-US" baseline="0"/>
              <a:t> per capita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'Energy Use Ratios'!$E$7</c:f>
              <c:strCache>
                <c:ptCount val="1"/>
                <c:pt idx="0">
                  <c:v>Fossil</c:v>
                </c:pt>
              </c:strCache>
            </c:strRef>
          </c:tx>
          <c:spPr>
            <a:solidFill>
              <a:schemeClr val="accent1"/>
            </a:solidFill>
            <a:ln>
              <a:noFill/>
            </a:ln>
            <a:effectLst/>
          </c:spPr>
          <c:cat>
            <c:numRef>
              <c:f>'Energy Use Ratios'!$A$8:$A$69</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'Energy Use Ratios'!$E$8:$E$69</c:f>
              <c:numCache>
                <c:formatCode>General</c:formatCode>
                <c:ptCount val="62"/>
                <c:pt idx="0">
                  <c:v>55.930232558139529</c:v>
                </c:pt>
                <c:pt idx="1">
                  <c:v>56.60088139490324</c:v>
                </c:pt>
                <c:pt idx="2">
                  <c:v>57.856735702071049</c:v>
                </c:pt>
                <c:pt idx="3">
                  <c:v>54.491017964071858</c:v>
                </c:pt>
                <c:pt idx="4">
                  <c:v>51.982378854625544</c:v>
                </c:pt>
                <c:pt idx="5">
                  <c:v>55.4343874954562</c:v>
                </c:pt>
                <c:pt idx="6">
                  <c:v>50.26196928635953</c:v>
                </c:pt>
                <c:pt idx="7">
                  <c:v>53.432248838040756</c:v>
                </c:pt>
                <c:pt idx="8">
                  <c:v>54.289782840868632</c:v>
                </c:pt>
                <c:pt idx="9">
                  <c:v>55.663716814159294</c:v>
                </c:pt>
                <c:pt idx="10">
                  <c:v>56.54603395574398</c:v>
                </c:pt>
                <c:pt idx="11">
                  <c:v>57.707256369410089</c:v>
                </c:pt>
                <c:pt idx="12">
                  <c:v>59.319806496256625</c:v>
                </c:pt>
                <c:pt idx="13">
                  <c:v>58.396463554448822</c:v>
                </c:pt>
                <c:pt idx="14">
                  <c:v>55.702316842260593</c:v>
                </c:pt>
                <c:pt idx="15">
                  <c:v>55.316689349114483</c:v>
                </c:pt>
                <c:pt idx="16">
                  <c:v>59.578611034891956</c:v>
                </c:pt>
                <c:pt idx="17">
                  <c:v>58.293551687559116</c:v>
                </c:pt>
                <c:pt idx="18">
                  <c:v>55.10358375509395</c:v>
                </c:pt>
                <c:pt idx="19">
                  <c:v>41.71891696715673</c:v>
                </c:pt>
                <c:pt idx="20">
                  <c:v>39.087551067467793</c:v>
                </c:pt>
                <c:pt idx="21">
                  <c:v>34.565936604269424</c:v>
                </c:pt>
                <c:pt idx="22">
                  <c:v>34.983925414756186</c:v>
                </c:pt>
                <c:pt idx="23">
                  <c:v>33.624127432339208</c:v>
                </c:pt>
                <c:pt idx="24">
                  <c:v>38.385330160922187</c:v>
                </c:pt>
                <c:pt idx="25">
                  <c:v>37.852424179094676</c:v>
                </c:pt>
                <c:pt idx="26">
                  <c:v>39.067013311585022</c:v>
                </c:pt>
                <c:pt idx="27">
                  <c:v>40.200808598996773</c:v>
                </c:pt>
                <c:pt idx="28">
                  <c:v>40.384736944024247</c:v>
                </c:pt>
                <c:pt idx="29">
                  <c:v>42.440517611401781</c:v>
                </c:pt>
                <c:pt idx="30">
                  <c:v>39.144899931280435</c:v>
                </c:pt>
                <c:pt idx="31">
                  <c:v>37.341722773716498</c:v>
                </c:pt>
                <c:pt idx="32">
                  <c:v>42.946711706766386</c:v>
                </c:pt>
                <c:pt idx="33">
                  <c:v>43.171686560579111</c:v>
                </c:pt>
                <c:pt idx="34">
                  <c:v>42.47803809162523</c:v>
                </c:pt>
                <c:pt idx="35">
                  <c:v>38.054643961443901</c:v>
                </c:pt>
                <c:pt idx="36">
                  <c:v>37.877586542068855</c:v>
                </c:pt>
                <c:pt idx="37">
                  <c:v>37.217053913710068</c:v>
                </c:pt>
                <c:pt idx="38">
                  <c:v>33.917024051303891</c:v>
                </c:pt>
                <c:pt idx="39">
                  <c:v>35.918045319893267</c:v>
                </c:pt>
                <c:pt idx="40">
                  <c:v>38.562488524004635</c:v>
                </c:pt>
                <c:pt idx="41">
                  <c:v>38.733069131494553</c:v>
                </c:pt>
                <c:pt idx="42">
                  <c:v>38.459105099633703</c:v>
                </c:pt>
                <c:pt idx="43">
                  <c:v>40.233146725646229</c:v>
                </c:pt>
                <c:pt idx="44">
                  <c:v>36.71080540606377</c:v>
                </c:pt>
                <c:pt idx="45">
                  <c:v>36.824819741101841</c:v>
                </c:pt>
                <c:pt idx="46">
                  <c:v>31.778054702559281</c:v>
                </c:pt>
                <c:pt idx="47">
                  <c:v>33.70877885128629</c:v>
                </c:pt>
                <c:pt idx="48">
                  <c:v>36.110865923415595</c:v>
                </c:pt>
                <c:pt idx="49">
                  <c:v>34.828701857566564</c:v>
                </c:pt>
                <c:pt idx="50">
                  <c:v>33.686441968555258</c:v>
                </c:pt>
                <c:pt idx="51">
                  <c:v>33.685010079800819</c:v>
                </c:pt>
                <c:pt idx="52">
                  <c:v>29.110469580384581</c:v>
                </c:pt>
                <c:pt idx="53">
                  <c:v>30.096090069660317</c:v>
                </c:pt>
                <c:pt idx="54">
                  <c:v>32.86097104095515</c:v>
                </c:pt>
                <c:pt idx="55">
                  <c:v>32.585586078613787</c:v>
                </c:pt>
                <c:pt idx="56">
                  <c:v>27.521941388078414</c:v>
                </c:pt>
                <c:pt idx="57">
                  <c:v>29.693045591500621</c:v>
                </c:pt>
                <c:pt idx="58">
                  <c:v>31.906612525632756</c:v>
                </c:pt>
                <c:pt idx="59">
                  <c:v>32.71991707473498</c:v>
                </c:pt>
                <c:pt idx="60">
                  <c:v>28.717521790795502</c:v>
                </c:pt>
                <c:pt idx="61">
                  <c:v>29.543513374699021</c:v>
                </c:pt>
              </c:numCache>
            </c:numRef>
          </c:val>
          <c:extLst>
            <c:ext xmlns:c16="http://schemas.microsoft.com/office/drawing/2014/chart" uri="{C3380CC4-5D6E-409C-BE32-E72D297353CC}">
              <c16:uniqueId val="{00000000-BD1E-4368-B6D9-8885CE45CCD3}"/>
            </c:ext>
          </c:extLst>
        </c:ser>
        <c:ser>
          <c:idx val="1"/>
          <c:order val="1"/>
          <c:tx>
            <c:strRef>
              <c:f>'Energy Use Ratios'!$F$7</c:f>
              <c:strCache>
                <c:ptCount val="1"/>
                <c:pt idx="0">
                  <c:v>Electric</c:v>
                </c:pt>
              </c:strCache>
            </c:strRef>
          </c:tx>
          <c:spPr>
            <a:solidFill>
              <a:schemeClr val="accent2"/>
            </a:solidFill>
            <a:ln>
              <a:noFill/>
            </a:ln>
            <a:effectLst/>
          </c:spPr>
          <c:cat>
            <c:numRef>
              <c:f>'Energy Use Ratios'!$A$8:$A$69</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'Energy Use Ratios'!$F$8:$F$69</c:f>
              <c:numCache>
                <c:formatCode>General</c:formatCode>
                <c:ptCount val="62"/>
                <c:pt idx="0">
                  <c:v>2.7713178294573644</c:v>
                </c:pt>
                <c:pt idx="1">
                  <c:v>2.9124353324391641</c:v>
                </c:pt>
                <c:pt idx="2">
                  <c:v>3.0590917727531828</c:v>
                </c:pt>
                <c:pt idx="3">
                  <c:v>3.2185628742514969</c:v>
                </c:pt>
                <c:pt idx="4">
                  <c:v>3.3590308370044055</c:v>
                </c:pt>
                <c:pt idx="5">
                  <c:v>3.5805161759360233</c:v>
                </c:pt>
                <c:pt idx="6">
                  <c:v>3.8301716350496835</c:v>
                </c:pt>
                <c:pt idx="7">
                  <c:v>4.2188058634250991</c:v>
                </c:pt>
                <c:pt idx="8">
                  <c:v>4.6101815592737632</c:v>
                </c:pt>
                <c:pt idx="9">
                  <c:v>5.0796460176991145</c:v>
                </c:pt>
                <c:pt idx="10">
                  <c:v>5.5895675467598966</c:v>
                </c:pt>
                <c:pt idx="11">
                  <c:v>6.0652749068422569</c:v>
                </c:pt>
                <c:pt idx="12">
                  <c:v>6.4927151388937592</c:v>
                </c:pt>
                <c:pt idx="13">
                  <c:v>6.9190122694844574</c:v>
                </c:pt>
                <c:pt idx="14">
                  <c:v>6.7549451394532447</c:v>
                </c:pt>
                <c:pt idx="15">
                  <c:v>6.3045394768378511</c:v>
                </c:pt>
                <c:pt idx="16">
                  <c:v>6.6682080731629521</c:v>
                </c:pt>
                <c:pt idx="17">
                  <c:v>6.5874327467555585</c:v>
                </c:pt>
                <c:pt idx="18">
                  <c:v>6.6940133381702225</c:v>
                </c:pt>
                <c:pt idx="19">
                  <c:v>6.7963147941483379</c:v>
                </c:pt>
                <c:pt idx="20">
                  <c:v>6.8742576454362325</c:v>
                </c:pt>
                <c:pt idx="21">
                  <c:v>6.9166543154982456</c:v>
                </c:pt>
                <c:pt idx="22">
                  <c:v>7.0868873177985527</c:v>
                </c:pt>
                <c:pt idx="23">
                  <c:v>7.3110923237496523</c:v>
                </c:pt>
                <c:pt idx="24">
                  <c:v>7.4134023013734653</c:v>
                </c:pt>
                <c:pt idx="25">
                  <c:v>7.4820604846368637</c:v>
                </c:pt>
                <c:pt idx="26">
                  <c:v>7.8608387582720916</c:v>
                </c:pt>
                <c:pt idx="27">
                  <c:v>8.3232185448048615</c:v>
                </c:pt>
                <c:pt idx="28">
                  <c:v>8.8461804734529306</c:v>
                </c:pt>
                <c:pt idx="29">
                  <c:v>8.943595172320471</c:v>
                </c:pt>
                <c:pt idx="30">
                  <c:v>8.8391709522246131</c:v>
                </c:pt>
                <c:pt idx="31">
                  <c:v>8.7519662750898028</c:v>
                </c:pt>
                <c:pt idx="32">
                  <c:v>8.8596363311161443</c:v>
                </c:pt>
                <c:pt idx="33">
                  <c:v>8.9670670736617115</c:v>
                </c:pt>
                <c:pt idx="34">
                  <c:v>9.0858567034389637</c:v>
                </c:pt>
                <c:pt idx="35">
                  <c:v>9.0064306904847715</c:v>
                </c:pt>
                <c:pt idx="36">
                  <c:v>9.1201997964634334</c:v>
                </c:pt>
                <c:pt idx="37">
                  <c:v>9.0753360817702493</c:v>
                </c:pt>
                <c:pt idx="38">
                  <c:v>9.0977046279649105</c:v>
                </c:pt>
                <c:pt idx="39">
                  <c:v>9.6029760481049173</c:v>
                </c:pt>
                <c:pt idx="40">
                  <c:v>9.4166044133219646</c:v>
                </c:pt>
                <c:pt idx="41">
                  <c:v>9.5972980011047841</c:v>
                </c:pt>
                <c:pt idx="42">
                  <c:v>9.9420214965827807</c:v>
                </c:pt>
                <c:pt idx="43">
                  <c:v>10.400828952295539</c:v>
                </c:pt>
                <c:pt idx="44">
                  <c:v>10.526675296980901</c:v>
                </c:pt>
                <c:pt idx="45">
                  <c:v>10.947497302168102</c:v>
                </c:pt>
                <c:pt idx="46">
                  <c:v>10.452281124553126</c:v>
                </c:pt>
                <c:pt idx="47">
                  <c:v>10.681702523447271</c:v>
                </c:pt>
                <c:pt idx="48">
                  <c:v>10.357140483171424</c:v>
                </c:pt>
                <c:pt idx="49">
                  <c:v>10.187778869349868</c:v>
                </c:pt>
                <c:pt idx="50">
                  <c:v>11.11713500770585</c:v>
                </c:pt>
                <c:pt idx="51">
                  <c:v>10.568142749452772</c:v>
                </c:pt>
                <c:pt idx="52">
                  <c:v>10.398739906807482</c:v>
                </c:pt>
                <c:pt idx="53">
                  <c:v>10.528419435551628</c:v>
                </c:pt>
                <c:pt idx="54">
                  <c:v>10.125850275777902</c:v>
                </c:pt>
                <c:pt idx="55">
                  <c:v>10.121391973853855</c:v>
                </c:pt>
                <c:pt idx="56">
                  <c:v>9.8428656800365584</c:v>
                </c:pt>
                <c:pt idx="57">
                  <c:v>9.6160010257067761</c:v>
                </c:pt>
                <c:pt idx="58">
                  <c:v>10.049784191050465</c:v>
                </c:pt>
                <c:pt idx="59">
                  <c:v>9.5578126561393439</c:v>
                </c:pt>
                <c:pt idx="60">
                  <c:v>9.9203385379851046</c:v>
                </c:pt>
                <c:pt idx="61">
                  <c:v>9.914602793543061</c:v>
                </c:pt>
              </c:numCache>
            </c:numRef>
          </c:val>
          <c:extLst>
            <c:ext xmlns:c16="http://schemas.microsoft.com/office/drawing/2014/chart" uri="{C3380CC4-5D6E-409C-BE32-E72D297353CC}">
              <c16:uniqueId val="{00000001-BD1E-4368-B6D9-8885CE45CCD3}"/>
            </c:ext>
          </c:extLst>
        </c:ser>
        <c:ser>
          <c:idx val="2"/>
          <c:order val="2"/>
          <c:tx>
            <c:strRef>
              <c:f>'Energy Use Ratios'!$G$7</c:f>
              <c:strCache>
                <c:ptCount val="1"/>
                <c:pt idx="0">
                  <c:v>Renewable</c:v>
                </c:pt>
              </c:strCache>
            </c:strRef>
          </c:tx>
          <c:spPr>
            <a:solidFill>
              <a:schemeClr val="accent3"/>
            </a:solidFill>
            <a:ln>
              <a:noFill/>
            </a:ln>
            <a:effectLst/>
          </c:spPr>
          <c:cat>
            <c:numRef>
              <c:f>'Energy Use Ratios'!$A$8:$A$69</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'Energy Use Ratios'!$G$8:$G$69</c:f>
              <c:numCache>
                <c:formatCode>General</c:formatCode>
                <c:ptCount val="62"/>
                <c:pt idx="0">
                  <c:v>1.6472868217054264</c:v>
                </c:pt>
                <c:pt idx="1">
                  <c:v>1.6095037363479594</c:v>
                </c:pt>
                <c:pt idx="2">
                  <c:v>1.5770473114193428</c:v>
                </c:pt>
                <c:pt idx="3">
                  <c:v>1.5157185628742516</c:v>
                </c:pt>
                <c:pt idx="4">
                  <c:v>1.4133627019089574</c:v>
                </c:pt>
                <c:pt idx="5">
                  <c:v>1.381315885132679</c:v>
                </c:pt>
                <c:pt idx="6">
                  <c:v>1.3730803974706414</c:v>
                </c:pt>
                <c:pt idx="7">
                  <c:v>1.4479799785484446</c:v>
                </c:pt>
                <c:pt idx="8">
                  <c:v>1.4773940904236385</c:v>
                </c:pt>
                <c:pt idx="9">
                  <c:v>1.5221238938053097</c:v>
                </c:pt>
                <c:pt idx="10">
                  <c:v>1.6171075921443725</c:v>
                </c:pt>
                <c:pt idx="11">
                  <c:v>1.586034530237487</c:v>
                </c:pt>
                <c:pt idx="12">
                  <c:v>1.6318588851765063</c:v>
                </c:pt>
                <c:pt idx="13">
                  <c:v>1.5048851686128695</c:v>
                </c:pt>
                <c:pt idx="14">
                  <c:v>1.5761538658724237</c:v>
                </c:pt>
                <c:pt idx="15">
                  <c:v>1.7020519799727534</c:v>
                </c:pt>
                <c:pt idx="16">
                  <c:v>1.8977406787852791</c:v>
                </c:pt>
                <c:pt idx="17">
                  <c:v>2.0912484910335105</c:v>
                </c:pt>
                <c:pt idx="18">
                  <c:v>2.5102550018138334</c:v>
                </c:pt>
                <c:pt idx="19">
                  <c:v>2.8230846068000788</c:v>
                </c:pt>
                <c:pt idx="20">
                  <c:v>7.3093372432486525</c:v>
                </c:pt>
                <c:pt idx="21">
                  <c:v>6.6566297171712439</c:v>
                </c:pt>
                <c:pt idx="22">
                  <c:v>6.0299187936281085</c:v>
                </c:pt>
                <c:pt idx="23">
                  <c:v>7.3455786082956411</c:v>
                </c:pt>
                <c:pt idx="24">
                  <c:v>4.8794911221511263</c:v>
                </c:pt>
                <c:pt idx="25">
                  <c:v>4.9993767783709959</c:v>
                </c:pt>
                <c:pt idx="26">
                  <c:v>4.5403120414157776</c:v>
                </c:pt>
                <c:pt idx="27">
                  <c:v>3.2180865223840667</c:v>
                </c:pt>
                <c:pt idx="28">
                  <c:v>3.3946590474687048</c:v>
                </c:pt>
                <c:pt idx="29">
                  <c:v>3.4577468324212974</c:v>
                </c:pt>
                <c:pt idx="30">
                  <c:v>3.0405418877013237</c:v>
                </c:pt>
                <c:pt idx="31">
                  <c:v>3.2007190948899851</c:v>
                </c:pt>
                <c:pt idx="32">
                  <c:v>3.3536476507614776</c:v>
                </c:pt>
                <c:pt idx="33">
                  <c:v>3.4603895200772463</c:v>
                </c:pt>
                <c:pt idx="34">
                  <c:v>3.2662660047034229</c:v>
                </c:pt>
                <c:pt idx="35">
                  <c:v>3.2495729780686813</c:v>
                </c:pt>
                <c:pt idx="36">
                  <c:v>3.3687224473423489</c:v>
                </c:pt>
                <c:pt idx="37">
                  <c:v>2.4037376649013091</c:v>
                </c:pt>
                <c:pt idx="38">
                  <c:v>2.1320202258737089</c:v>
                </c:pt>
                <c:pt idx="39">
                  <c:v>2.1861749856562631</c:v>
                </c:pt>
                <c:pt idx="40">
                  <c:v>2.279478530770759</c:v>
                </c:pt>
                <c:pt idx="41">
                  <c:v>1.8288010849010741</c:v>
                </c:pt>
                <c:pt idx="42">
                  <c:v>1.8543895894880107</c:v>
                </c:pt>
                <c:pt idx="43">
                  <c:v>1.9306927995279144</c:v>
                </c:pt>
                <c:pt idx="44">
                  <c:v>1.9961695377978601</c:v>
                </c:pt>
                <c:pt idx="45">
                  <c:v>0.59344493221453354</c:v>
                </c:pt>
                <c:pt idx="46">
                  <c:v>0.53041426602209896</c:v>
                </c:pt>
                <c:pt idx="47">
                  <c:v>0.57528819995276426</c:v>
                </c:pt>
                <c:pt idx="48">
                  <c:v>0.64925358252716392</c:v>
                </c:pt>
                <c:pt idx="49">
                  <c:v>1.6110192489182773</c:v>
                </c:pt>
                <c:pt idx="50">
                  <c:v>1.7208715833846042</c:v>
                </c:pt>
                <c:pt idx="51">
                  <c:v>1.6782029258787661</c:v>
                </c:pt>
                <c:pt idx="52">
                  <c:v>1.4405180823283092</c:v>
                </c:pt>
                <c:pt idx="53">
                  <c:v>1.8614602962432156</c:v>
                </c:pt>
                <c:pt idx="54">
                  <c:v>1.9660410024503079</c:v>
                </c:pt>
                <c:pt idx="55">
                  <c:v>1.8977609950975975</c:v>
                </c:pt>
                <c:pt idx="56">
                  <c:v>1.8455373150068548</c:v>
                </c:pt>
                <c:pt idx="57">
                  <c:v>1.9960486977603458</c:v>
                </c:pt>
                <c:pt idx="58">
                  <c:v>2.2219898572698282</c:v>
                </c:pt>
                <c:pt idx="59">
                  <c:v>2.5236106254449857</c:v>
                </c:pt>
                <c:pt idx="60">
                  <c:v>2.2156375697228978</c:v>
                </c:pt>
                <c:pt idx="61">
                  <c:v>2.3606197127483481</c:v>
                </c:pt>
              </c:numCache>
            </c:numRef>
          </c:val>
          <c:extLst>
            <c:ext xmlns:c16="http://schemas.microsoft.com/office/drawing/2014/chart" uri="{C3380CC4-5D6E-409C-BE32-E72D297353CC}">
              <c16:uniqueId val="{00000002-BD1E-4368-B6D9-8885CE45CCD3}"/>
            </c:ext>
          </c:extLst>
        </c:ser>
        <c:dLbls>
          <c:showLegendKey val="0"/>
          <c:showVal val="0"/>
          <c:showCatName val="0"/>
          <c:showSerName val="0"/>
          <c:showPercent val="0"/>
          <c:showBubbleSize val="0"/>
        </c:dLbls>
        <c:axId val="190986576"/>
        <c:axId val="190987056"/>
      </c:areaChart>
      <c:catAx>
        <c:axId val="19098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87056"/>
        <c:crosses val="autoZero"/>
        <c:auto val="1"/>
        <c:lblAlgn val="ctr"/>
        <c:lblOffset val="100"/>
        <c:noMultiLvlLbl val="0"/>
      </c:catAx>
      <c:valAx>
        <c:axId val="190987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865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Population of Massachusetts</c:v>
          </c:tx>
          <c:spPr>
            <a:ln w="28575" cap="rnd">
              <a:solidFill>
                <a:schemeClr val="accent2"/>
              </a:solidFill>
              <a:round/>
            </a:ln>
            <a:effectLst/>
          </c:spPr>
          <c:marker>
            <c:symbol val="none"/>
          </c:marker>
          <c:cat>
            <c:numRef>
              <c:f>'Energy Use Ratios'!$A$8:$A$69</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'Energy Use Ratios'!$B$8:$B$69</c:f>
              <c:numCache>
                <c:formatCode>#,##0</c:formatCode>
                <c:ptCount val="62"/>
                <c:pt idx="0">
                  <c:v>5160000</c:v>
                </c:pt>
                <c:pt idx="1">
                  <c:v>5219000</c:v>
                </c:pt>
                <c:pt idx="2">
                  <c:v>5263000</c:v>
                </c:pt>
                <c:pt idx="3">
                  <c:v>5344000</c:v>
                </c:pt>
                <c:pt idx="4">
                  <c:v>5448000</c:v>
                </c:pt>
                <c:pt idx="5">
                  <c:v>5502000</c:v>
                </c:pt>
                <c:pt idx="6">
                  <c:v>5535000</c:v>
                </c:pt>
                <c:pt idx="7">
                  <c:v>5594000</c:v>
                </c:pt>
                <c:pt idx="8">
                  <c:v>5618000</c:v>
                </c:pt>
                <c:pt idx="9">
                  <c:v>5650000</c:v>
                </c:pt>
                <c:pt idx="10">
                  <c:v>5689170</c:v>
                </c:pt>
                <c:pt idx="11">
                  <c:v>5737580</c:v>
                </c:pt>
                <c:pt idx="12">
                  <c:v>5760302</c:v>
                </c:pt>
                <c:pt idx="13">
                  <c:v>5781172</c:v>
                </c:pt>
                <c:pt idx="14">
                  <c:v>5773548</c:v>
                </c:pt>
                <c:pt idx="15">
                  <c:v>5757756</c:v>
                </c:pt>
                <c:pt idx="16">
                  <c:v>5743672</c:v>
                </c:pt>
                <c:pt idx="17">
                  <c:v>5738199</c:v>
                </c:pt>
                <c:pt idx="18">
                  <c:v>5736469</c:v>
                </c:pt>
                <c:pt idx="19">
                  <c:v>5738404</c:v>
                </c:pt>
                <c:pt idx="20">
                  <c:v>5746075</c:v>
                </c:pt>
                <c:pt idx="21">
                  <c:v>5768685</c:v>
                </c:pt>
                <c:pt idx="22">
                  <c:v>5771222</c:v>
                </c:pt>
                <c:pt idx="23">
                  <c:v>5799407</c:v>
                </c:pt>
                <c:pt idx="24">
                  <c:v>5840773</c:v>
                </c:pt>
                <c:pt idx="25">
                  <c:v>5880733</c:v>
                </c:pt>
                <c:pt idx="26">
                  <c:v>5902678</c:v>
                </c:pt>
                <c:pt idx="27">
                  <c:v>5935204</c:v>
                </c:pt>
                <c:pt idx="28">
                  <c:v>5979982</c:v>
                </c:pt>
                <c:pt idx="29">
                  <c:v>6015478</c:v>
                </c:pt>
                <c:pt idx="30">
                  <c:v>6018664</c:v>
                </c:pt>
                <c:pt idx="31">
                  <c:v>5998652</c:v>
                </c:pt>
                <c:pt idx="32">
                  <c:v>5993474</c:v>
                </c:pt>
                <c:pt idx="33">
                  <c:v>6010884</c:v>
                </c:pt>
                <c:pt idx="34">
                  <c:v>6031352</c:v>
                </c:pt>
                <c:pt idx="35">
                  <c:v>6062335</c:v>
                </c:pt>
                <c:pt idx="36">
                  <c:v>6085393</c:v>
                </c:pt>
                <c:pt idx="37">
                  <c:v>6115476</c:v>
                </c:pt>
                <c:pt idx="38">
                  <c:v>6144407</c:v>
                </c:pt>
                <c:pt idx="39">
                  <c:v>6175169</c:v>
                </c:pt>
                <c:pt idx="40">
                  <c:v>6361104</c:v>
                </c:pt>
                <c:pt idx="41">
                  <c:v>6397634</c:v>
                </c:pt>
                <c:pt idx="42">
                  <c:v>6417206</c:v>
                </c:pt>
                <c:pt idx="43">
                  <c:v>6422565</c:v>
                </c:pt>
                <c:pt idx="44">
                  <c:v>6412281</c:v>
                </c:pt>
                <c:pt idx="45">
                  <c:v>6403290</c:v>
                </c:pt>
                <c:pt idx="46">
                  <c:v>6410084</c:v>
                </c:pt>
                <c:pt idx="47">
                  <c:v>6431559</c:v>
                </c:pt>
                <c:pt idx="48">
                  <c:v>6468967</c:v>
                </c:pt>
                <c:pt idx="49">
                  <c:v>6517613</c:v>
                </c:pt>
                <c:pt idx="50">
                  <c:v>6566440</c:v>
                </c:pt>
                <c:pt idx="51">
                  <c:v>6614218</c:v>
                </c:pt>
                <c:pt idx="52">
                  <c:v>6664269</c:v>
                </c:pt>
                <c:pt idx="53">
                  <c:v>6715158</c:v>
                </c:pt>
                <c:pt idx="54">
                  <c:v>6764864</c:v>
                </c:pt>
                <c:pt idx="55">
                  <c:v>6797484</c:v>
                </c:pt>
                <c:pt idx="56">
                  <c:v>6827280</c:v>
                </c:pt>
                <c:pt idx="57">
                  <c:v>6863560</c:v>
                </c:pt>
                <c:pt idx="58">
                  <c:v>6885720</c:v>
                </c:pt>
                <c:pt idx="59">
                  <c:v>6894883</c:v>
                </c:pt>
                <c:pt idx="60">
                  <c:v>6995729</c:v>
                </c:pt>
                <c:pt idx="61">
                  <c:v>6989690</c:v>
                </c:pt>
              </c:numCache>
            </c:numRef>
          </c:val>
          <c:smooth val="0"/>
          <c:extLst>
            <c:ext xmlns:c16="http://schemas.microsoft.com/office/drawing/2014/chart" uri="{C3380CC4-5D6E-409C-BE32-E72D297353CC}">
              <c16:uniqueId val="{00000001-DF47-4C5E-A31D-78DED571218C}"/>
            </c:ext>
          </c:extLst>
        </c:ser>
        <c:dLbls>
          <c:showLegendKey val="0"/>
          <c:showVal val="0"/>
          <c:showCatName val="0"/>
          <c:showSerName val="0"/>
          <c:showPercent val="0"/>
          <c:showBubbleSize val="0"/>
        </c:dLbls>
        <c:smooth val="0"/>
        <c:axId val="967388400"/>
        <c:axId val="967387920"/>
      </c:lineChart>
      <c:catAx>
        <c:axId val="9673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387920"/>
        <c:crosses val="autoZero"/>
        <c:auto val="1"/>
        <c:lblAlgn val="ctr"/>
        <c:lblOffset val="100"/>
        <c:noMultiLvlLbl val="0"/>
      </c:catAx>
      <c:valAx>
        <c:axId val="967387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38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Consuming</a:t>
            </a:r>
            <a:r>
              <a:rPr lang="en-US" baseline="0"/>
              <a:t> more housing in Massachusetts, 1961 to 2021 -- Persons per unit down (blue line) and square footage per unit up (orange bars)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'Energy Use Ratios'!$O$35</c:f>
              <c:strCache>
                <c:ptCount val="1"/>
                <c:pt idx="0">
                  <c:v>Square Feet per Unit</c:v>
                </c:pt>
              </c:strCache>
            </c:strRef>
          </c:tx>
          <c:spPr>
            <a:solidFill>
              <a:schemeClr val="accent2"/>
            </a:solidFill>
            <a:ln>
              <a:noFill/>
            </a:ln>
            <a:effectLst/>
          </c:spPr>
          <c:invertIfNegative val="0"/>
          <c:cat>
            <c:numRef>
              <c:f>'Energy Use Ratios'!$M$36:$M$42</c:f>
              <c:numCache>
                <c:formatCode>General</c:formatCode>
                <c:ptCount val="7"/>
                <c:pt idx="0">
                  <c:v>1961</c:v>
                </c:pt>
                <c:pt idx="1">
                  <c:v>1971</c:v>
                </c:pt>
                <c:pt idx="2">
                  <c:v>1981</c:v>
                </c:pt>
                <c:pt idx="3">
                  <c:v>1991</c:v>
                </c:pt>
                <c:pt idx="4">
                  <c:v>2001</c:v>
                </c:pt>
                <c:pt idx="5">
                  <c:v>2011</c:v>
                </c:pt>
                <c:pt idx="6">
                  <c:v>2021</c:v>
                </c:pt>
              </c:numCache>
            </c:numRef>
          </c:cat>
          <c:val>
            <c:numRef>
              <c:f>'Energy Use Ratios'!$O$36:$O$42</c:f>
              <c:numCache>
                <c:formatCode>0</c:formatCode>
                <c:ptCount val="7"/>
                <c:pt idx="0">
                  <c:v>1367.9490468126246</c:v>
                </c:pt>
                <c:pt idx="1">
                  <c:v>1371.937463312795</c:v>
                </c:pt>
                <c:pt idx="2">
                  <c:v>1386.1446742647133</c:v>
                </c:pt>
                <c:pt idx="3">
                  <c:v>1422.4200135444798</c:v>
                </c:pt>
                <c:pt idx="4">
                  <c:v>1472.4875956749656</c:v>
                </c:pt>
                <c:pt idx="5">
                  <c:v>1506.9344322007325</c:v>
                </c:pt>
                <c:pt idx="6">
                  <c:v>1513.3581996981459</c:v>
                </c:pt>
              </c:numCache>
            </c:numRef>
          </c:val>
          <c:extLst>
            <c:ext xmlns:c16="http://schemas.microsoft.com/office/drawing/2014/chart" uri="{C3380CC4-5D6E-409C-BE32-E72D297353CC}">
              <c16:uniqueId val="{00000001-76A3-4273-8FB6-CD01C12240C7}"/>
            </c:ext>
          </c:extLst>
        </c:ser>
        <c:dLbls>
          <c:showLegendKey val="0"/>
          <c:showVal val="0"/>
          <c:showCatName val="0"/>
          <c:showSerName val="0"/>
          <c:showPercent val="0"/>
          <c:showBubbleSize val="0"/>
        </c:dLbls>
        <c:gapWidth val="219"/>
        <c:axId val="648514784"/>
        <c:axId val="928505903"/>
      </c:barChart>
      <c:lineChart>
        <c:grouping val="standard"/>
        <c:varyColors val="0"/>
        <c:ser>
          <c:idx val="0"/>
          <c:order val="0"/>
          <c:tx>
            <c:strRef>
              <c:f>'Energy Use Ratios'!$N$35</c:f>
              <c:strCache>
                <c:ptCount val="1"/>
                <c:pt idx="0">
                  <c:v>Persons per Unit</c:v>
                </c:pt>
              </c:strCache>
            </c:strRef>
          </c:tx>
          <c:spPr>
            <a:ln w="28575" cap="rnd">
              <a:solidFill>
                <a:schemeClr val="accent1"/>
              </a:solidFill>
              <a:round/>
            </a:ln>
            <a:effectLst/>
          </c:spPr>
          <c:marker>
            <c:symbol val="none"/>
          </c:marker>
          <c:cat>
            <c:numRef>
              <c:f>'Energy Use Ratios'!$M$36:$M$42</c:f>
              <c:numCache>
                <c:formatCode>General</c:formatCode>
                <c:ptCount val="7"/>
                <c:pt idx="0">
                  <c:v>1961</c:v>
                </c:pt>
                <c:pt idx="1">
                  <c:v>1971</c:v>
                </c:pt>
                <c:pt idx="2">
                  <c:v>1981</c:v>
                </c:pt>
                <c:pt idx="3">
                  <c:v>1991</c:v>
                </c:pt>
                <c:pt idx="4">
                  <c:v>2001</c:v>
                </c:pt>
                <c:pt idx="5">
                  <c:v>2011</c:v>
                </c:pt>
                <c:pt idx="6">
                  <c:v>2021</c:v>
                </c:pt>
              </c:numCache>
            </c:numRef>
          </c:cat>
          <c:val>
            <c:numRef>
              <c:f>'Energy Use Ratios'!$N$36:$N$42</c:f>
              <c:numCache>
                <c:formatCode>0.0</c:formatCode>
                <c:ptCount val="7"/>
                <c:pt idx="0">
                  <c:v>3.2964295889849602</c:v>
                </c:pt>
                <c:pt idx="1">
                  <c:v>3.1239625311412254</c:v>
                </c:pt>
                <c:pt idx="2">
                  <c:v>2.794156280272174</c:v>
                </c:pt>
                <c:pt idx="3">
                  <c:v>2.5968561958657825</c:v>
                </c:pt>
                <c:pt idx="4">
                  <c:v>2.5488320689076533</c:v>
                </c:pt>
                <c:pt idx="5">
                  <c:v>2.4587000970693325</c:v>
                </c:pt>
                <c:pt idx="6">
                  <c:v>2.4703256967859031</c:v>
                </c:pt>
              </c:numCache>
            </c:numRef>
          </c:val>
          <c:smooth val="0"/>
          <c:extLst>
            <c:ext xmlns:c16="http://schemas.microsoft.com/office/drawing/2014/chart" uri="{C3380CC4-5D6E-409C-BE32-E72D297353CC}">
              <c16:uniqueId val="{00000000-76A3-4273-8FB6-CD01C12240C7}"/>
            </c:ext>
          </c:extLst>
        </c:ser>
        <c:dLbls>
          <c:showLegendKey val="0"/>
          <c:showVal val="0"/>
          <c:showCatName val="0"/>
          <c:showSerName val="0"/>
          <c:showPercent val="0"/>
          <c:showBubbleSize val="0"/>
        </c:dLbls>
        <c:marker val="1"/>
        <c:smooth val="0"/>
        <c:axId val="648515248"/>
        <c:axId val="928313263"/>
      </c:lineChart>
      <c:catAx>
        <c:axId val="64851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313263"/>
        <c:crosses val="autoZero"/>
        <c:auto val="1"/>
        <c:lblAlgn val="ctr"/>
        <c:lblOffset val="100"/>
        <c:noMultiLvlLbl val="0"/>
      </c:catAx>
      <c:valAx>
        <c:axId val="92831326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515248"/>
        <c:crosses val="autoZero"/>
        <c:crossBetween val="between"/>
      </c:valAx>
      <c:valAx>
        <c:axId val="928505903"/>
        <c:scaling>
          <c:orientation val="minMax"/>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514784"/>
        <c:crosses val="max"/>
        <c:crossBetween val="between"/>
      </c:valAx>
      <c:catAx>
        <c:axId val="648514784"/>
        <c:scaling>
          <c:orientation val="minMax"/>
        </c:scaling>
        <c:delete val="1"/>
        <c:axPos val="b"/>
        <c:numFmt formatCode="General" sourceLinked="1"/>
        <c:majorTickMark val="out"/>
        <c:minorTickMark val="none"/>
        <c:tickLblPos val="nextTo"/>
        <c:crossAx val="928505903"/>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22</xdr:col>
      <xdr:colOff>471487</xdr:colOff>
      <xdr:row>8</xdr:row>
      <xdr:rowOff>323850</xdr:rowOff>
    </xdr:from>
    <xdr:to>
      <xdr:col>34</xdr:col>
      <xdr:colOff>142875</xdr:colOff>
      <xdr:row>20</xdr:row>
      <xdr:rowOff>109537</xdr:rowOff>
    </xdr:to>
    <xdr:graphicFrame macro="">
      <xdr:nvGraphicFramePr>
        <xdr:cNvPr id="2" name="Chart 1">
          <a:extLst>
            <a:ext uri="{FF2B5EF4-FFF2-40B4-BE49-F238E27FC236}">
              <a16:creationId xmlns:a16="http://schemas.microsoft.com/office/drawing/2014/main" id="{866E8F1A-0326-0670-CA68-5830E4F83E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219075</xdr:colOff>
      <xdr:row>1</xdr:row>
      <xdr:rowOff>180975</xdr:rowOff>
    </xdr:from>
    <xdr:to>
      <xdr:col>36</xdr:col>
      <xdr:colOff>180975</xdr:colOff>
      <xdr:row>28</xdr:row>
      <xdr:rowOff>95250</xdr:rowOff>
    </xdr:to>
    <xdr:graphicFrame macro="">
      <xdr:nvGraphicFramePr>
        <xdr:cNvPr id="3" name="Chart 2">
          <a:extLst>
            <a:ext uri="{FF2B5EF4-FFF2-40B4-BE49-F238E27FC236}">
              <a16:creationId xmlns:a16="http://schemas.microsoft.com/office/drawing/2014/main" id="{92D29794-8249-8B48-54F3-809A6D12DF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29</xdr:col>
      <xdr:colOff>533400</xdr:colOff>
      <xdr:row>18</xdr:row>
      <xdr:rowOff>142875</xdr:rowOff>
    </xdr:from>
    <xdr:to>
      <xdr:col>47</xdr:col>
      <xdr:colOff>438149</xdr:colOff>
      <xdr:row>52</xdr:row>
      <xdr:rowOff>57150</xdr:rowOff>
    </xdr:to>
    <xdr:graphicFrame macro="">
      <xdr:nvGraphicFramePr>
        <xdr:cNvPr id="2" name="Chart 1">
          <a:extLst>
            <a:ext uri="{FF2B5EF4-FFF2-40B4-BE49-F238E27FC236}">
              <a16:creationId xmlns:a16="http://schemas.microsoft.com/office/drawing/2014/main" id="{7687A461-40C5-2DD5-44F5-E5C74CE6D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361949</xdr:colOff>
      <xdr:row>3</xdr:row>
      <xdr:rowOff>76200</xdr:rowOff>
    </xdr:from>
    <xdr:to>
      <xdr:col>39</xdr:col>
      <xdr:colOff>19049</xdr:colOff>
      <xdr:row>30</xdr:row>
      <xdr:rowOff>171449</xdr:rowOff>
    </xdr:to>
    <xdr:graphicFrame macro="">
      <xdr:nvGraphicFramePr>
        <xdr:cNvPr id="2" name="Chart 1">
          <a:extLst>
            <a:ext uri="{FF2B5EF4-FFF2-40B4-BE49-F238E27FC236}">
              <a16:creationId xmlns:a16="http://schemas.microsoft.com/office/drawing/2014/main" id="{9A035ACA-87F2-06CC-F531-2CC933AFD7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438150</xdr:colOff>
      <xdr:row>45</xdr:row>
      <xdr:rowOff>85725</xdr:rowOff>
    </xdr:from>
    <xdr:to>
      <xdr:col>50</xdr:col>
      <xdr:colOff>133350</xdr:colOff>
      <xdr:row>75</xdr:row>
      <xdr:rowOff>104775</xdr:rowOff>
    </xdr:to>
    <xdr:graphicFrame macro="">
      <xdr:nvGraphicFramePr>
        <xdr:cNvPr id="3" name="Chart 2">
          <a:extLst>
            <a:ext uri="{FF2B5EF4-FFF2-40B4-BE49-F238E27FC236}">
              <a16:creationId xmlns:a16="http://schemas.microsoft.com/office/drawing/2014/main" id="{F3E43C01-21DA-FC63-73C1-BA2CB8A62CC5}"/>
            </a:ext>
            <a:ext uri="{147F2762-F138-4A5C-976F-8EAC2B608ADB}">
              <a16:predDERef xmlns:a16="http://schemas.microsoft.com/office/drawing/2014/main" pred="{9A035ACA-87F2-06CC-F531-2CC933AFD7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1404936</xdr:colOff>
      <xdr:row>30</xdr:row>
      <xdr:rowOff>52386</xdr:rowOff>
    </xdr:from>
    <xdr:to>
      <xdr:col>36</xdr:col>
      <xdr:colOff>171450</xdr:colOff>
      <xdr:row>56</xdr:row>
      <xdr:rowOff>0</xdr:rowOff>
    </xdr:to>
    <xdr:graphicFrame macro="">
      <xdr:nvGraphicFramePr>
        <xdr:cNvPr id="5" name="Chart 4">
          <a:extLst>
            <a:ext uri="{FF2B5EF4-FFF2-40B4-BE49-F238E27FC236}">
              <a16:creationId xmlns:a16="http://schemas.microsoft.com/office/drawing/2014/main" id="{5C0B740F-93FC-9144-4E6E-6FCD6C9C92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41</xdr:col>
      <xdr:colOff>95250</xdr:colOff>
      <xdr:row>5</xdr:row>
      <xdr:rowOff>133350</xdr:rowOff>
    </xdr:from>
    <xdr:to>
      <xdr:col>59</xdr:col>
      <xdr:colOff>466725</xdr:colOff>
      <xdr:row>40</xdr:row>
      <xdr:rowOff>133350</xdr:rowOff>
    </xdr:to>
    <xdr:graphicFrame macro="">
      <xdr:nvGraphicFramePr>
        <xdr:cNvPr id="3" name="Chart 2">
          <a:extLst>
            <a:ext uri="{FF2B5EF4-FFF2-40B4-BE49-F238E27FC236}">
              <a16:creationId xmlns:a16="http://schemas.microsoft.com/office/drawing/2014/main" id="{BB1B8267-AD94-59C5-AF1F-DC5A133789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428624</xdr:colOff>
      <xdr:row>5</xdr:row>
      <xdr:rowOff>85725</xdr:rowOff>
    </xdr:from>
    <xdr:to>
      <xdr:col>38</xdr:col>
      <xdr:colOff>390525</xdr:colOff>
      <xdr:row>31</xdr:row>
      <xdr:rowOff>161925</xdr:rowOff>
    </xdr:to>
    <xdr:graphicFrame macro="">
      <xdr:nvGraphicFramePr>
        <xdr:cNvPr id="4" name="Chart 3">
          <a:extLst>
            <a:ext uri="{FF2B5EF4-FFF2-40B4-BE49-F238E27FC236}">
              <a16:creationId xmlns:a16="http://schemas.microsoft.com/office/drawing/2014/main" id="{A4DD2994-371B-EC51-2D78-22C407795951}"/>
            </a:ext>
            <a:ext uri="{147F2762-F138-4A5C-976F-8EAC2B608ADB}">
              <a16:predDERef xmlns:a16="http://schemas.microsoft.com/office/drawing/2014/main" pred="{BB1B8267-AD94-59C5-AF1F-DC5A133789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657225</xdr:colOff>
      <xdr:row>1</xdr:row>
      <xdr:rowOff>152400</xdr:rowOff>
    </xdr:from>
    <xdr:to>
      <xdr:col>23</xdr:col>
      <xdr:colOff>76200</xdr:colOff>
      <xdr:row>21</xdr:row>
      <xdr:rowOff>42862</xdr:rowOff>
    </xdr:to>
    <xdr:graphicFrame macro="">
      <xdr:nvGraphicFramePr>
        <xdr:cNvPr id="2" name="Chart 1">
          <a:extLst>
            <a:ext uri="{FF2B5EF4-FFF2-40B4-BE49-F238E27FC236}">
              <a16:creationId xmlns:a16="http://schemas.microsoft.com/office/drawing/2014/main" id="{EC41302A-B112-0D1B-934A-A9B9500E54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400049</xdr:colOff>
      <xdr:row>35</xdr:row>
      <xdr:rowOff>133351</xdr:rowOff>
    </xdr:from>
    <xdr:to>
      <xdr:col>27</xdr:col>
      <xdr:colOff>400049</xdr:colOff>
      <xdr:row>68</xdr:row>
      <xdr:rowOff>85725</xdr:rowOff>
    </xdr:to>
    <xdr:graphicFrame macro="">
      <xdr:nvGraphicFramePr>
        <xdr:cNvPr id="5" name="Chart 4">
          <a:extLst>
            <a:ext uri="{FF2B5EF4-FFF2-40B4-BE49-F238E27FC236}">
              <a16:creationId xmlns:a16="http://schemas.microsoft.com/office/drawing/2014/main" id="{6688C424-421E-D153-F73B-34174DD694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34</xdr:col>
      <xdr:colOff>200025</xdr:colOff>
      <xdr:row>7</xdr:row>
      <xdr:rowOff>266700</xdr:rowOff>
    </xdr:from>
    <xdr:to>
      <xdr:col>51</xdr:col>
      <xdr:colOff>142875</xdr:colOff>
      <xdr:row>49</xdr:row>
      <xdr:rowOff>9525</xdr:rowOff>
    </xdr:to>
    <xdr:graphicFrame macro="">
      <xdr:nvGraphicFramePr>
        <xdr:cNvPr id="11" name="Chart 10">
          <a:extLst>
            <a:ext uri="{FF2B5EF4-FFF2-40B4-BE49-F238E27FC236}">
              <a16:creationId xmlns:a16="http://schemas.microsoft.com/office/drawing/2014/main" id="{30BDA091-2EA6-DF90-D364-547995A91C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371474</xdr:colOff>
      <xdr:row>4</xdr:row>
      <xdr:rowOff>9526</xdr:rowOff>
    </xdr:from>
    <xdr:to>
      <xdr:col>49</xdr:col>
      <xdr:colOff>28574</xdr:colOff>
      <xdr:row>43</xdr:row>
      <xdr:rowOff>28575</xdr:rowOff>
    </xdr:to>
    <xdr:graphicFrame macro="">
      <xdr:nvGraphicFramePr>
        <xdr:cNvPr id="9" name="Chart 8">
          <a:extLst>
            <a:ext uri="{FF2B5EF4-FFF2-40B4-BE49-F238E27FC236}">
              <a16:creationId xmlns:a16="http://schemas.microsoft.com/office/drawing/2014/main" id="{6897FBE1-48E7-4BCA-95A3-6CC93B93D3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Downloads\gwsa-appc(1).xlsx" TargetMode="External"/><Relationship Id="rId1" Type="http://schemas.openxmlformats.org/officeDocument/2006/relationships/externalLinkPath" Target="gwsa-app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990-2020 Total"/>
      <sheetName val="1990-2020 Sectors"/>
      <sheetName val="Summary"/>
      <sheetName val="Summary by Gas"/>
      <sheetName val="Process"/>
      <sheetName val="Sector Sublimits"/>
      <sheetName val="Sublimit Graphs"/>
      <sheetName val="CO2_FFC"/>
      <sheetName val="Stationary"/>
      <sheetName val="Mobile"/>
      <sheetName val="NG Sum&amp;Distribution&amp;PostMeter"/>
      <sheetName val="NG Transmission &amp; Storage"/>
      <sheetName val="Indust. Proc."/>
      <sheetName val="Agriculture"/>
      <sheetName val="Solid Waste"/>
      <sheetName val="Wastewater"/>
      <sheetName val="ElecImport"/>
      <sheetName val="EIA Adjust"/>
      <sheetName val="Biogenic Graphs"/>
      <sheetName val="Biogenic Summary"/>
      <sheetName val="Biogenic Combustion"/>
      <sheetName val="NWL"/>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C5">
            <v>15.09218729035536</v>
          </cell>
          <cell r="D5">
            <v>14.303855533404656</v>
          </cell>
          <cell r="E5">
            <v>16.405397212988806</v>
          </cell>
          <cell r="F5">
            <v>16.522609998468624</v>
          </cell>
          <cell r="G5">
            <v>16.349445260718614</v>
          </cell>
          <cell r="H5">
            <v>14.755065732665372</v>
          </cell>
          <cell r="I5">
            <v>14.549689113932796</v>
          </cell>
          <cell r="J5">
            <v>14.379982177559659</v>
          </cell>
          <cell r="K5">
            <v>13.195293039655883</v>
          </cell>
          <cell r="L5">
            <v>14.013129575781329</v>
          </cell>
          <cell r="M5">
            <v>15.588634595493682</v>
          </cell>
          <cell r="N5">
            <v>15.947004559649596</v>
          </cell>
          <cell r="O5">
            <v>15.86050617899458</v>
          </cell>
          <cell r="P5">
            <v>16.340043069708546</v>
          </cell>
          <cell r="Q5">
            <v>14.935535229929251</v>
          </cell>
          <cell r="R5">
            <v>14.854571872883273</v>
          </cell>
          <cell r="S5">
            <v>12.795435056036158</v>
          </cell>
          <cell r="T5">
            <v>13.497453604670172</v>
          </cell>
          <cell r="U5">
            <v>14.367303555781316</v>
          </cell>
          <cell r="V5">
            <v>13.826473707619709</v>
          </cell>
          <cell r="W5">
            <v>13.557642768461069</v>
          </cell>
          <cell r="X5">
            <v>13.596982504786817</v>
          </cell>
          <cell r="Y5">
            <v>11.777103269371192</v>
          </cell>
          <cell r="Z5">
            <v>12.259490270125456</v>
          </cell>
          <cell r="AA5">
            <v>13.567387167200254</v>
          </cell>
          <cell r="AB5">
            <v>13.488631948658384</v>
          </cell>
          <cell r="AC5">
            <v>11.272913044797342</v>
          </cell>
          <cell r="AD5">
            <v>12.233847645145593</v>
          </cell>
          <cell r="AE5">
            <v>13.271459779124175</v>
          </cell>
          <cell r="AF5">
            <v>13.599779170232134</v>
          </cell>
          <cell r="AG5">
            <v>12.100645487882803</v>
          </cell>
          <cell r="AH5">
            <v>12.022249789322769</v>
          </cell>
        </row>
      </sheetData>
      <sheetData sheetId="8">
        <row r="40">
          <cell r="C40">
            <v>0.22146311499000002</v>
          </cell>
          <cell r="D40">
            <v>0.22319701900000002</v>
          </cell>
          <cell r="E40">
            <v>0.24130316051999998</v>
          </cell>
          <cell r="F40">
            <v>0.24692919239</v>
          </cell>
          <cell r="G40">
            <v>0.23707447088</v>
          </cell>
          <cell r="H40">
            <v>0.23013408961000001</v>
          </cell>
          <cell r="I40">
            <v>0.23386723920999997</v>
          </cell>
          <cell r="J40">
            <v>0.18572004491999997</v>
          </cell>
          <cell r="K40">
            <v>0.16721576863999998</v>
          </cell>
          <cell r="L40">
            <v>0.17373373315999999</v>
          </cell>
          <cell r="M40">
            <v>0.18965812091999998</v>
          </cell>
          <cell r="N40">
            <v>0.17001017633883481</v>
          </cell>
          <cell r="O40">
            <v>0.17220737271805805</v>
          </cell>
          <cell r="P40">
            <v>0.1768570926784464</v>
          </cell>
          <cell r="Q40">
            <v>0.17276405420689284</v>
          </cell>
          <cell r="R40">
            <v>9.7275763499513487E-2</v>
          </cell>
          <cell r="S40">
            <v>8.4134692390093954E-2</v>
          </cell>
          <cell r="T40">
            <v>8.9188963264413237E-2</v>
          </cell>
          <cell r="U40">
            <v>9.4446659070239081E-2</v>
          </cell>
          <cell r="V40">
            <v>0.14273334035310292</v>
          </cell>
          <cell r="W40">
            <v>0.14840344911528816</v>
          </cell>
          <cell r="X40">
            <v>0.145500626043436</v>
          </cell>
          <cell r="Y40">
            <v>0.12264981298945812</v>
          </cell>
          <cell r="Z40">
            <v>0.14766514310209233</v>
          </cell>
          <cell r="AA40">
            <v>0.15495476199700042</v>
          </cell>
          <cell r="AB40">
            <v>0.1445905116882554</v>
          </cell>
          <cell r="AC40">
            <v>0.11665540968439764</v>
          </cell>
          <cell r="AD40">
            <v>0.12003093935079981</v>
          </cell>
          <cell r="AE40">
            <v>0.12441679063253187</v>
          </cell>
          <cell r="AF40">
            <v>0.14097176659758928</v>
          </cell>
          <cell r="AG40">
            <v>0.11477967489385052</v>
          </cell>
          <cell r="AH40">
            <v>4.9282017669999997E-2</v>
          </cell>
        </row>
      </sheetData>
      <sheetData sheetId="9"/>
      <sheetData sheetId="10"/>
      <sheetData sheetId="11" refreshError="1"/>
      <sheetData sheetId="12"/>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persons/person.xml><?xml version="1.0" encoding="utf-8"?>
<personList xmlns="http://schemas.microsoft.com/office/spreadsheetml/2018/threadedcomments" xmlns:x="http://schemas.openxmlformats.org/spreadsheetml/2006/main"/>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Will Brownsberger" refreshedDate="45111.793349884261" createdVersion="8" refreshedVersion="8" minRefreshableVersion="3" recordCount="280" xr:uid="{FACE61DF-38EF-4E2A-A30A-BF952AD3042C}">
  <cacheSource type="worksheet">
    <worksheetSource ref="A7:I287" sheet="Logan Data"/>
  </cacheSource>
  <cacheFields count="11">
    <cacheField name="Month starting" numFmtId="14">
      <sharedItems containsSemiMixedTypes="0" containsNonDate="0" containsDate="1" containsString="0" minDate="2000-01-01T00:00:00" maxDate="2023-04-02T00:00:00" count="28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01T00:00:00"/>
        <d v="2019-06-01T00:00:00"/>
        <d v="2019-07-01T00:00:00"/>
        <d v="2019-08-01T00:00:00"/>
        <d v="2019-09-01T00:00:00"/>
        <d v="2019-10-01T00:00:00"/>
        <d v="2019-11-01T00:00:00"/>
        <d v="2019-12-01T00:00:00"/>
        <d v="2020-01-01T00:00:00"/>
        <d v="2020-02-01T00:00:00"/>
        <d v="2020-03-01T00:00:00"/>
        <d v="2020-04-01T00:00:00"/>
        <d v="2020-05-01T00:00:00"/>
        <d v="2020-06-01T00:00:00"/>
        <d v="2020-07-01T00:00:00"/>
        <d v="2020-08-01T00:00:00"/>
        <d v="2020-09-01T00:00:00"/>
        <d v="2020-10-01T00:00:00"/>
        <d v="2020-11-01T00:00:00"/>
        <d v="2020-12-01T00:00:00"/>
        <d v="2021-01-01T00:00:00"/>
        <d v="2021-02-01T00:00:00"/>
        <d v="2021-03-01T00:00:00"/>
        <d v="2021-04-01T00:00:00"/>
        <d v="2021-05-01T00:00:00"/>
        <d v="2021-06-01T00:00:00"/>
        <d v="2021-07-01T00:00:00"/>
        <d v="2021-08-01T00:00:00"/>
        <d v="2021-09-01T00:00:00"/>
        <d v="2021-10-01T00:00:00"/>
        <d v="2021-11-01T00:00:00"/>
        <d v="2021-12-01T00:00:00"/>
        <d v="2022-01-01T00:00:00"/>
        <d v="2022-02-01T00:00:00"/>
        <d v="2022-03-01T00:00:00"/>
        <d v="2022-04-01T00:00:00"/>
        <d v="2022-05-01T00:00:00"/>
        <d v="2022-06-01T00:00:00"/>
        <d v="2022-07-01T00:00:00"/>
        <d v="2022-08-01T00:00:00"/>
        <d v="2022-09-01T00:00:00"/>
        <d v="2022-10-01T00:00:00"/>
        <d v="2022-11-01T00:00:00"/>
        <d v="2022-12-01T00:00:00"/>
        <d v="2023-01-01T00:00:00"/>
        <d v="2023-02-01T00:00:00"/>
        <d v="2023-03-01T00:00:00"/>
        <d v="2023-04-01T00:00:00"/>
      </sharedItems>
      <fieldGroup par="10" base="0">
        <rangePr groupBy="months" startDate="2000-01-01T00:00:00" endDate="2023-04-02T00:00:00"/>
        <groupItems count="14">
          <s v="&lt;1/1/2000"/>
          <s v="Jan"/>
          <s v="Feb"/>
          <s v="Mar"/>
          <s v="Apr"/>
          <s v="May"/>
          <s v="Jun"/>
          <s v="Jul"/>
          <s v="Aug"/>
          <s v="Sep"/>
          <s v="Oct"/>
          <s v="Nov"/>
          <s v="Dec"/>
          <s v="&gt;4/2/2023"/>
        </groupItems>
      </fieldGroup>
    </cacheField>
    <cacheField name="HDD 59" numFmtId="0">
      <sharedItems containsSemiMixedTypes="0" containsString="0" containsNumber="1" minValue="0" maxValue="1174.7"/>
    </cacheField>
    <cacheField name="HDD 60" numFmtId="0">
      <sharedItems containsSemiMixedTypes="0" containsString="0" containsNumber="1" minValue="0" maxValue="1205.7"/>
    </cacheField>
    <cacheField name="HDD 61" numFmtId="0">
      <sharedItems containsSemiMixedTypes="0" containsString="0" containsNumber="1" minValue="0" maxValue="1236.7"/>
    </cacheField>
    <cacheField name="HDD 62" numFmtId="0">
      <sharedItems containsSemiMixedTypes="0" containsString="0" containsNumber="1" minValue="0" maxValue="1267.7"/>
    </cacheField>
    <cacheField name="HDD 63" numFmtId="0">
      <sharedItems containsSemiMixedTypes="0" containsString="0" containsNumber="1" minValue="0" maxValue="1298.7"/>
    </cacheField>
    <cacheField name="HDD 64" numFmtId="0">
      <sharedItems containsSemiMixedTypes="0" containsString="0" containsNumber="1" minValue="0" maxValue="1329.7"/>
    </cacheField>
    <cacheField name="HDD 65" numFmtId="0">
      <sharedItems containsSemiMixedTypes="0" containsString="0" containsNumber="1" minValue="0.1" maxValue="1360.7"/>
    </cacheField>
    <cacheField name="HDD 71" numFmtId="0">
      <sharedItems containsSemiMixedTypes="0" containsString="0" containsNumber="1" minValue="24.1" maxValue="1592.4"/>
    </cacheField>
    <cacheField name="Quarters" numFmtId="0" databaseField="0">
      <fieldGroup base="0">
        <rangePr groupBy="quarters" startDate="2000-01-01T00:00:00" endDate="2023-04-02T00:00:00"/>
        <groupItems count="6">
          <s v="&lt;1/1/2000"/>
          <s v="Qtr1"/>
          <s v="Qtr2"/>
          <s v="Qtr3"/>
          <s v="Qtr4"/>
          <s v="&gt;4/2/2023"/>
        </groupItems>
      </fieldGroup>
    </cacheField>
    <cacheField name="Years" numFmtId="0" databaseField="0">
      <fieldGroup base="0">
        <rangePr groupBy="years" startDate="2000-01-01T00:00:00" endDate="2023-04-02T00:00:00"/>
        <groupItems count="26">
          <s v="&lt;1/1/2000"/>
          <s v="2000"/>
          <s v="2001"/>
          <s v="2002"/>
          <s v="2003"/>
          <s v="2004"/>
          <s v="2005"/>
          <s v="2006"/>
          <s v="2007"/>
          <s v="2008"/>
          <s v="2009"/>
          <s v="2010"/>
          <s v="2011"/>
          <s v="2012"/>
          <s v="2013"/>
          <s v="2014"/>
          <s v="2015"/>
          <s v="2016"/>
          <s v="2017"/>
          <s v="2018"/>
          <s v="2019"/>
          <s v="2020"/>
          <s v="2021"/>
          <s v="2022"/>
          <s v="2023"/>
          <s v="&gt;4/2/2023"/>
        </groupItems>
      </fieldGroup>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09DA9A-4775-4E80-A038-3F3A666F590C}"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28" firstHeaderRow="0" firstDataRow="1" firstDataCol="1"/>
  <pivotFields count="11">
    <pivotField axis="axisRow" numFmtId="14"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dataField="1" showAll="0"/>
    <pivotField dataField="1" showAll="0"/>
    <pivotField axis="axisRow" showAll="0">
      <items count="7">
        <item sd="0" x="0"/>
        <item sd="0" x="1"/>
        <item sd="0" x="2"/>
        <item sd="0" x="3"/>
        <item sd="0" x="4"/>
        <item sd="0" x="5"/>
        <item t="default"/>
      </items>
    </pivotField>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items>
    </pivotField>
  </pivotFields>
  <rowFields count="3">
    <field x="10"/>
    <field x="9"/>
    <field x="0"/>
  </rowFields>
  <rowItems count="25">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3">
    <i>
      <x/>
    </i>
    <i i="1">
      <x v="1"/>
    </i>
    <i i="2">
      <x v="2"/>
    </i>
  </colItems>
  <dataFields count="3">
    <dataField name="Sum of HDD 71" fld="8" baseField="0" baseItem="0"/>
    <dataField name="Sum of HDD 65" fld="7" baseField="0" baseItem="0"/>
    <dataField name="Sum of HDD 59" fld="1"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ia.gov/environment/emissions/co2_vol_mass.ph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eia.gov/naturalgas/annual/archive/1994/0131942.pdf" TargetMode="External"/><Relationship Id="rId1" Type="http://schemas.openxmlformats.org/officeDocument/2006/relationships/hyperlink" Target="https://www.eia.gov/state/seds/data.php?incfile=/state/seds/sep_use/res/use_res_MA.html&amp;sid=MA"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eia.gov/state/seds/data.php?incfile=/state/seds/sep_use/eu/use_eu_MA.html&amp;sid=MA" TargetMode="External"/><Relationship Id="rId1" Type="http://schemas.openxmlformats.org/officeDocument/2006/relationships/hyperlink" Target="https://www.eia.gov/state/seds/data.php?incfile=/state/seds/sep_use/res/use_res_MA.html&amp;sid=MA"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26F09-C115-43F2-8D8C-AB407E3A6B7F}">
  <dimension ref="A1:B3"/>
  <sheetViews>
    <sheetView tabSelected="1" workbookViewId="0">
      <selection activeCell="B3" sqref="B3"/>
    </sheetView>
  </sheetViews>
  <sheetFormatPr defaultRowHeight="15"/>
  <sheetData>
    <row r="1" spans="1:2">
      <c r="A1" t="s">
        <v>483</v>
      </c>
    </row>
    <row r="2" spans="1:2">
      <c r="B2" s="151">
        <v>45170</v>
      </c>
    </row>
    <row r="3" spans="1:2">
      <c r="B3" t="s">
        <v>484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7C99B-A04C-478F-B8FE-0AE065F2E712}">
  <dimension ref="A4:BW33"/>
  <sheetViews>
    <sheetView topLeftCell="BF1" workbookViewId="0">
      <selection activeCell="A4" sqref="A4:BW33"/>
    </sheetView>
  </sheetViews>
  <sheetFormatPr defaultRowHeight="15"/>
  <cols>
    <col min="1" max="1" width="31.140625" customWidth="1"/>
    <col min="2" max="2" width="16.28515625" bestFit="1" customWidth="1"/>
    <col min="3" max="13" width="14.28515625" customWidth="1"/>
    <col min="14" max="75" width="14.28515625" bestFit="1" customWidth="1"/>
    <col min="76" max="76" width="8" bestFit="1" customWidth="1"/>
    <col min="77" max="77" width="7" bestFit="1" customWidth="1"/>
  </cols>
  <sheetData>
    <row r="4" spans="1:75">
      <c r="A4" t="s">
        <v>310</v>
      </c>
      <c r="M4" s="91"/>
      <c r="N4">
        <v>311.39999999999998</v>
      </c>
      <c r="O4">
        <v>319</v>
      </c>
      <c r="P4">
        <v>328.9</v>
      </c>
      <c r="Q4">
        <v>316.5</v>
      </c>
      <c r="R4">
        <v>309.2</v>
      </c>
      <c r="S4">
        <v>332.3</v>
      </c>
      <c r="T4">
        <v>307</v>
      </c>
      <c r="U4">
        <v>330.6</v>
      </c>
      <c r="V4">
        <v>339.2</v>
      </c>
      <c r="W4">
        <v>351.8</v>
      </c>
      <c r="X4">
        <v>362.7</v>
      </c>
      <c r="Y4">
        <v>375</v>
      </c>
      <c r="Z4">
        <v>388.5</v>
      </c>
      <c r="AA4">
        <v>386.3</v>
      </c>
      <c r="AB4">
        <v>369.7</v>
      </c>
      <c r="AC4">
        <v>364.6</v>
      </c>
      <c r="AD4">
        <v>391.4</v>
      </c>
      <c r="AE4">
        <v>384.3</v>
      </c>
      <c r="AF4">
        <v>368.9</v>
      </c>
      <c r="AG4">
        <v>294.60000000000002</v>
      </c>
      <c r="AH4">
        <v>306.10000000000002</v>
      </c>
      <c r="AI4">
        <v>277.7</v>
      </c>
      <c r="AJ4">
        <v>277.60000000000002</v>
      </c>
      <c r="AK4">
        <v>280</v>
      </c>
      <c r="AL4">
        <v>296</v>
      </c>
      <c r="AM4">
        <v>296</v>
      </c>
      <c r="AN4">
        <v>303.8</v>
      </c>
      <c r="AO4">
        <v>307.10000000000002</v>
      </c>
      <c r="AP4">
        <v>314.7</v>
      </c>
      <c r="AQ4">
        <v>329.9</v>
      </c>
      <c r="AR4">
        <v>307.10000000000002</v>
      </c>
      <c r="AS4">
        <v>295.7</v>
      </c>
      <c r="AT4">
        <v>330.6</v>
      </c>
      <c r="AU4">
        <v>334.2</v>
      </c>
      <c r="AV4">
        <v>330.7</v>
      </c>
      <c r="AW4">
        <v>305</v>
      </c>
      <c r="AX4">
        <v>306.5</v>
      </c>
      <c r="AY4">
        <v>297.8</v>
      </c>
      <c r="AZ4">
        <v>277.39999999999998</v>
      </c>
      <c r="BA4">
        <v>294.60000000000002</v>
      </c>
      <c r="BB4">
        <v>319.7</v>
      </c>
      <c r="BC4">
        <v>320.89999999999998</v>
      </c>
      <c r="BD4">
        <v>322.5</v>
      </c>
      <c r="BE4">
        <v>337.6</v>
      </c>
      <c r="BF4">
        <v>315.7</v>
      </c>
      <c r="BG4">
        <v>309.7</v>
      </c>
      <c r="BH4">
        <v>274.10000000000002</v>
      </c>
      <c r="BI4">
        <v>289.2</v>
      </c>
      <c r="BJ4">
        <v>304.8</v>
      </c>
      <c r="BK4">
        <v>303.89999999999998</v>
      </c>
      <c r="BL4">
        <v>305.5</v>
      </c>
      <c r="BM4">
        <v>303.8</v>
      </c>
      <c r="BN4">
        <v>272.89999999999998</v>
      </c>
      <c r="BO4">
        <v>285.3</v>
      </c>
      <c r="BP4">
        <v>304.10000000000002</v>
      </c>
      <c r="BQ4">
        <v>303.2</v>
      </c>
      <c r="BR4">
        <v>267.7</v>
      </c>
      <c r="BS4">
        <v>283.5</v>
      </c>
      <c r="BT4">
        <v>304.2</v>
      </c>
      <c r="BU4">
        <v>308.89999999999998</v>
      </c>
      <c r="BV4">
        <v>285.8</v>
      </c>
      <c r="BW4">
        <v>292.3</v>
      </c>
    </row>
    <row r="5" spans="1:75">
      <c r="A5" t="s">
        <v>307</v>
      </c>
    </row>
    <row r="6" spans="1:75">
      <c r="A6" s="103" t="s">
        <v>240</v>
      </c>
      <c r="B6" s="103" t="s">
        <v>253</v>
      </c>
      <c r="C6" s="103" t="s">
        <v>254</v>
      </c>
      <c r="D6" s="103" t="s">
        <v>255</v>
      </c>
      <c r="E6" s="103" t="s">
        <v>256</v>
      </c>
      <c r="F6" s="103" t="s">
        <v>257</v>
      </c>
      <c r="G6" s="103" t="s">
        <v>258</v>
      </c>
      <c r="H6" s="103" t="s">
        <v>259</v>
      </c>
      <c r="I6" s="103" t="s">
        <v>260</v>
      </c>
      <c r="J6" s="103" t="s">
        <v>261</v>
      </c>
      <c r="K6" s="103" t="s">
        <v>262</v>
      </c>
      <c r="L6" s="103" t="s">
        <v>263</v>
      </c>
      <c r="M6" s="103" t="s">
        <v>264</v>
      </c>
      <c r="N6" s="103" t="s">
        <v>265</v>
      </c>
      <c r="O6" s="103" t="s">
        <v>266</v>
      </c>
      <c r="P6" s="103" t="s">
        <v>267</v>
      </c>
      <c r="Q6" s="103" t="s">
        <v>268</v>
      </c>
      <c r="R6" s="103" t="s">
        <v>269</v>
      </c>
      <c r="S6" s="103" t="s">
        <v>270</v>
      </c>
      <c r="T6" s="103" t="s">
        <v>271</v>
      </c>
      <c r="U6" s="103" t="s">
        <v>272</v>
      </c>
      <c r="V6" s="103" t="s">
        <v>273</v>
      </c>
      <c r="W6" s="103" t="s">
        <v>274</v>
      </c>
      <c r="X6" s="103" t="s">
        <v>275</v>
      </c>
      <c r="Y6" s="103" t="s">
        <v>276</v>
      </c>
      <c r="Z6" s="103" t="s">
        <v>277</v>
      </c>
      <c r="AA6" s="103" t="s">
        <v>278</v>
      </c>
      <c r="AB6" s="103" t="s">
        <v>279</v>
      </c>
      <c r="AC6" s="103" t="s">
        <v>280</v>
      </c>
      <c r="AD6" s="103" t="s">
        <v>281</v>
      </c>
      <c r="AE6" s="103" t="s">
        <v>282</v>
      </c>
      <c r="AF6" s="103" t="s">
        <v>283</v>
      </c>
      <c r="AG6" s="103" t="s">
        <v>284</v>
      </c>
      <c r="AH6" s="103" t="s">
        <v>285</v>
      </c>
      <c r="AI6" s="103" t="s">
        <v>286</v>
      </c>
      <c r="AJ6" s="103" t="s">
        <v>287</v>
      </c>
      <c r="AK6" s="103" t="s">
        <v>288</v>
      </c>
      <c r="AL6" s="103" t="s">
        <v>289</v>
      </c>
      <c r="AM6" s="103" t="s">
        <v>290</v>
      </c>
      <c r="AN6" s="103" t="s">
        <v>291</v>
      </c>
      <c r="AO6" s="103" t="s">
        <v>292</v>
      </c>
      <c r="AP6" s="103" t="s">
        <v>293</v>
      </c>
      <c r="AQ6" s="103" t="s">
        <v>294</v>
      </c>
      <c r="AR6" s="103" t="s">
        <v>295</v>
      </c>
      <c r="AS6" s="103" t="s">
        <v>296</v>
      </c>
      <c r="AT6" s="103" t="s">
        <v>297</v>
      </c>
      <c r="AU6" s="103" t="s">
        <v>298</v>
      </c>
      <c r="AV6" s="103" t="s">
        <v>299</v>
      </c>
      <c r="AW6" s="103" t="s">
        <v>300</v>
      </c>
      <c r="AX6" s="103" t="s">
        <v>301</v>
      </c>
      <c r="AY6" s="103" t="s">
        <v>302</v>
      </c>
      <c r="AZ6" s="103" t="s">
        <v>303</v>
      </c>
      <c r="BA6" s="103" t="s">
        <v>304</v>
      </c>
      <c r="BB6" s="103" t="s">
        <v>213</v>
      </c>
      <c r="BC6" s="103" t="s">
        <v>214</v>
      </c>
      <c r="BD6" s="103" t="s">
        <v>215</v>
      </c>
      <c r="BE6" s="103" t="s">
        <v>216</v>
      </c>
      <c r="BF6" s="103" t="s">
        <v>217</v>
      </c>
      <c r="BG6" s="103" t="s">
        <v>218</v>
      </c>
      <c r="BH6" s="103" t="s">
        <v>219</v>
      </c>
      <c r="BI6" s="103" t="s">
        <v>220</v>
      </c>
      <c r="BJ6" s="103" t="s">
        <v>221</v>
      </c>
      <c r="BK6" s="103" t="s">
        <v>222</v>
      </c>
      <c r="BL6" s="103" t="s">
        <v>223</v>
      </c>
      <c r="BM6" s="103" t="s">
        <v>224</v>
      </c>
      <c r="BN6" s="103" t="s">
        <v>225</v>
      </c>
      <c r="BO6" s="103" t="s">
        <v>226</v>
      </c>
      <c r="BP6" s="103" t="s">
        <v>227</v>
      </c>
      <c r="BQ6" s="103" t="s">
        <v>228</v>
      </c>
      <c r="BR6" s="103" t="s">
        <v>229</v>
      </c>
      <c r="BS6" s="103" t="s">
        <v>230</v>
      </c>
      <c r="BT6" s="103" t="s">
        <v>231</v>
      </c>
      <c r="BU6" s="103" t="s">
        <v>232</v>
      </c>
      <c r="BV6" s="103" t="s">
        <v>233</v>
      </c>
      <c r="BW6" s="103" t="s">
        <v>234</v>
      </c>
    </row>
    <row r="7" spans="1:75">
      <c r="A7" s="104" t="s">
        <v>245</v>
      </c>
      <c r="B7" s="104" t="s">
        <v>241</v>
      </c>
      <c r="C7" s="105">
        <v>838812900</v>
      </c>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row>
    <row r="8" spans="1:75">
      <c r="A8" s="104" t="s">
        <v>245</v>
      </c>
      <c r="B8" s="104" t="s">
        <v>242</v>
      </c>
      <c r="C8" s="106"/>
      <c r="D8" s="105">
        <v>74160490</v>
      </c>
      <c r="E8" s="105">
        <v>20766284</v>
      </c>
      <c r="F8" s="105">
        <v>30030839</v>
      </c>
      <c r="G8" s="105">
        <v>26656132</v>
      </c>
      <c r="H8" s="105">
        <v>29091942</v>
      </c>
      <c r="I8" s="105">
        <v>54030812</v>
      </c>
      <c r="J8" s="105">
        <v>30512301</v>
      </c>
      <c r="K8" s="105">
        <v>26372214</v>
      </c>
      <c r="L8" s="105">
        <v>27929500</v>
      </c>
      <c r="M8" s="105">
        <v>22892091</v>
      </c>
      <c r="N8" s="105">
        <v>62274899</v>
      </c>
      <c r="O8" s="105">
        <v>22429584</v>
      </c>
      <c r="P8" s="105">
        <v>28716712</v>
      </c>
      <c r="Q8" s="105">
        <v>26383840</v>
      </c>
      <c r="R8" s="105">
        <v>27085326</v>
      </c>
      <c r="S8" s="105">
        <v>40062307</v>
      </c>
      <c r="T8" s="105">
        <v>26279433</v>
      </c>
      <c r="U8" s="105">
        <v>25094456</v>
      </c>
      <c r="V8" s="105">
        <v>30008743</v>
      </c>
      <c r="W8" s="105">
        <v>24116593</v>
      </c>
      <c r="X8" s="105">
        <v>36134118</v>
      </c>
      <c r="Y8" s="105">
        <v>24308521</v>
      </c>
      <c r="Z8" s="105">
        <v>33517668</v>
      </c>
      <c r="AA8" s="105">
        <v>29220853</v>
      </c>
      <c r="AB8" s="105">
        <v>24303183</v>
      </c>
      <c r="AC8" s="105">
        <v>23103960</v>
      </c>
      <c r="AD8" s="105">
        <v>24388774</v>
      </c>
      <c r="AE8" s="105">
        <v>24519710</v>
      </c>
      <c r="AF8" s="105">
        <v>27690934</v>
      </c>
      <c r="AG8" s="105">
        <v>23594414</v>
      </c>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row>
    <row r="9" spans="1:75">
      <c r="A9" s="104" t="s">
        <v>245</v>
      </c>
      <c r="B9" s="104" t="s">
        <v>243</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5">
        <v>22199040</v>
      </c>
      <c r="AI9" s="105">
        <v>18320476</v>
      </c>
      <c r="AJ9" s="105">
        <v>15940864</v>
      </c>
      <c r="AK9" s="105">
        <v>26295649</v>
      </c>
      <c r="AL9" s="105">
        <v>33178302</v>
      </c>
      <c r="AM9" s="105">
        <v>40631165</v>
      </c>
      <c r="AN9" s="105">
        <v>43170925</v>
      </c>
      <c r="AO9" s="105">
        <v>42342450</v>
      </c>
      <c r="AP9" s="105">
        <v>38369644</v>
      </c>
      <c r="AQ9" s="105">
        <v>30660626</v>
      </c>
      <c r="AR9" s="105">
        <v>23271894</v>
      </c>
      <c r="AS9" s="105">
        <v>21908193</v>
      </c>
      <c r="AT9" s="105">
        <v>29786598</v>
      </c>
      <c r="AU9" s="105">
        <v>33356849</v>
      </c>
      <c r="AV9" s="105">
        <v>36110194</v>
      </c>
      <c r="AW9" s="105">
        <v>32286027</v>
      </c>
      <c r="AX9" s="105">
        <v>33078558</v>
      </c>
      <c r="AY9" s="105">
        <v>34879728</v>
      </c>
      <c r="AZ9" s="105">
        <v>36719209</v>
      </c>
      <c r="BA9" s="105">
        <v>36159348</v>
      </c>
      <c r="BB9" s="106"/>
      <c r="BC9" s="106"/>
      <c r="BD9" s="106"/>
      <c r="BE9" s="106"/>
      <c r="BF9" s="106"/>
      <c r="BG9" s="106"/>
      <c r="BH9" s="106"/>
      <c r="BI9" s="106"/>
      <c r="BJ9" s="106"/>
      <c r="BK9" s="106"/>
      <c r="BL9" s="106"/>
      <c r="BM9" s="106"/>
      <c r="BN9" s="106"/>
      <c r="BO9" s="106"/>
      <c r="BP9" s="106"/>
      <c r="BQ9" s="106"/>
      <c r="BR9" s="106"/>
      <c r="BS9" s="106"/>
      <c r="BT9" s="106"/>
      <c r="BU9" s="106"/>
      <c r="BV9" s="106"/>
      <c r="BW9" s="106"/>
    </row>
    <row r="10" spans="1:75">
      <c r="A10" s="104" t="s">
        <v>245</v>
      </c>
      <c r="B10" s="104" t="s">
        <v>244</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5">
        <v>34426696</v>
      </c>
      <c r="BC10" s="105">
        <v>32346969</v>
      </c>
      <c r="BD10" s="105">
        <v>30304831</v>
      </c>
      <c r="BE10" s="105">
        <v>28886968</v>
      </c>
      <c r="BF10" s="105">
        <v>31635420</v>
      </c>
      <c r="BG10" s="105">
        <v>29807695</v>
      </c>
      <c r="BH10" s="105">
        <v>23262091</v>
      </c>
      <c r="BI10" s="105">
        <v>18308719</v>
      </c>
      <c r="BJ10" s="105">
        <v>13832280</v>
      </c>
      <c r="BK10" s="105">
        <v>11122088</v>
      </c>
      <c r="BL10" s="105">
        <v>12220793</v>
      </c>
      <c r="BM10" s="105">
        <v>11092423</v>
      </c>
      <c r="BN10" s="105">
        <v>13437610</v>
      </c>
      <c r="BO10" s="105">
        <v>15345162</v>
      </c>
      <c r="BP10" s="105">
        <v>15899536</v>
      </c>
      <c r="BQ10" s="105">
        <v>15378419</v>
      </c>
      <c r="BR10" s="105">
        <v>17795013</v>
      </c>
      <c r="BS10" s="105">
        <v>17672017</v>
      </c>
      <c r="BT10" s="105">
        <v>16338922</v>
      </c>
      <c r="BU10" s="105">
        <v>15138955</v>
      </c>
      <c r="BV10" s="105">
        <v>13536133</v>
      </c>
      <c r="BW10" s="105">
        <v>11848959</v>
      </c>
    </row>
    <row r="11" spans="1:75">
      <c r="A11" s="104" t="s">
        <v>246</v>
      </c>
      <c r="B11" s="104" t="s">
        <v>241</v>
      </c>
      <c r="C11" s="105">
        <v>630342391</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row>
    <row r="12" spans="1:75">
      <c r="A12" s="104" t="s">
        <v>246</v>
      </c>
      <c r="B12" s="104" t="s">
        <v>242</v>
      </c>
      <c r="C12" s="106"/>
      <c r="D12" s="105">
        <v>6085256</v>
      </c>
      <c r="E12" s="105">
        <v>702861</v>
      </c>
      <c r="F12" s="105">
        <v>1246623</v>
      </c>
      <c r="G12" s="105">
        <v>939032</v>
      </c>
      <c r="H12" s="105">
        <v>1061194</v>
      </c>
      <c r="I12" s="105">
        <v>2322927</v>
      </c>
      <c r="J12" s="105">
        <v>1197937</v>
      </c>
      <c r="K12" s="105">
        <v>950475</v>
      </c>
      <c r="L12" s="105">
        <v>1095032</v>
      </c>
      <c r="M12" s="105">
        <v>1094397</v>
      </c>
      <c r="N12" s="105">
        <v>5105667</v>
      </c>
      <c r="O12" s="105">
        <v>872083</v>
      </c>
      <c r="P12" s="105">
        <v>1282478</v>
      </c>
      <c r="Q12" s="105">
        <v>1443978</v>
      </c>
      <c r="R12" s="105">
        <v>1400685</v>
      </c>
      <c r="S12" s="105">
        <v>2829914</v>
      </c>
      <c r="T12" s="105">
        <v>1334996</v>
      </c>
      <c r="U12" s="105">
        <v>1337457</v>
      </c>
      <c r="V12" s="105">
        <v>1490096</v>
      </c>
      <c r="W12" s="105">
        <v>1645816</v>
      </c>
      <c r="X12" s="105">
        <v>3403417</v>
      </c>
      <c r="Y12" s="105">
        <v>1576637</v>
      </c>
      <c r="Z12" s="105">
        <v>2122018</v>
      </c>
      <c r="AA12" s="105">
        <v>1794790</v>
      </c>
      <c r="AB12" s="105">
        <v>1503283</v>
      </c>
      <c r="AC12" s="105">
        <v>1753736</v>
      </c>
      <c r="AD12" s="105">
        <v>1282775</v>
      </c>
      <c r="AE12" s="105">
        <v>1120156</v>
      </c>
      <c r="AF12" s="105">
        <v>1274811</v>
      </c>
      <c r="AG12" s="105">
        <v>1045197</v>
      </c>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row>
    <row r="13" spans="1:75">
      <c r="A13" s="104" t="s">
        <v>246</v>
      </c>
      <c r="B13" s="104" t="s">
        <v>243</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5">
        <v>1483708</v>
      </c>
      <c r="AI13" s="105">
        <v>1124223</v>
      </c>
      <c r="AJ13" s="105">
        <v>1047850</v>
      </c>
      <c r="AK13" s="105">
        <v>1503644</v>
      </c>
      <c r="AL13" s="105">
        <v>2291632</v>
      </c>
      <c r="AM13" s="105">
        <v>3586756</v>
      </c>
      <c r="AN13" s="105">
        <v>4070406</v>
      </c>
      <c r="AO13" s="105">
        <v>4500098</v>
      </c>
      <c r="AP13" s="105">
        <v>4374523</v>
      </c>
      <c r="AQ13" s="105">
        <v>3428872</v>
      </c>
      <c r="AR13" s="105">
        <v>2210939</v>
      </c>
      <c r="AS13" s="105">
        <v>1260086</v>
      </c>
      <c r="AT13" s="105">
        <v>972259</v>
      </c>
      <c r="AU13" s="105">
        <v>1031244</v>
      </c>
      <c r="AV13" s="105">
        <v>1335510</v>
      </c>
      <c r="AW13" s="105">
        <v>1162021</v>
      </c>
      <c r="AX13" s="105">
        <v>1215228</v>
      </c>
      <c r="AY13" s="105">
        <v>1454780</v>
      </c>
      <c r="AZ13" s="105">
        <v>1637597</v>
      </c>
      <c r="BA13" s="105">
        <v>1749572</v>
      </c>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row>
    <row r="14" spans="1:75">
      <c r="A14" s="104" t="s">
        <v>246</v>
      </c>
      <c r="B14" s="104" t="s">
        <v>244</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5">
        <v>1863796</v>
      </c>
      <c r="BC14" s="105">
        <v>2043174</v>
      </c>
      <c r="BD14" s="105">
        <v>2255207</v>
      </c>
      <c r="BE14" s="105">
        <v>2549993</v>
      </c>
      <c r="BF14" s="105">
        <v>2796276</v>
      </c>
      <c r="BG14" s="105">
        <v>3190484</v>
      </c>
      <c r="BH14" s="105">
        <v>3016223</v>
      </c>
      <c r="BI14" s="105">
        <v>2269770</v>
      </c>
      <c r="BJ14" s="105">
        <v>1598596</v>
      </c>
      <c r="BK14" s="105">
        <v>1258484</v>
      </c>
      <c r="BL14" s="105">
        <v>1215651</v>
      </c>
      <c r="BM14" s="105">
        <v>989465</v>
      </c>
      <c r="BN14" s="105">
        <v>1296406</v>
      </c>
      <c r="BO14" s="105">
        <v>1583457</v>
      </c>
      <c r="BP14" s="105">
        <v>1531377</v>
      </c>
      <c r="BQ14" s="105">
        <v>1866435</v>
      </c>
      <c r="BR14" s="105">
        <v>2614271</v>
      </c>
      <c r="BS14" s="105">
        <v>2561134</v>
      </c>
      <c r="BT14" s="105">
        <v>2428810</v>
      </c>
      <c r="BU14" s="105">
        <v>1982862</v>
      </c>
      <c r="BV14" s="105">
        <v>1819674</v>
      </c>
      <c r="BW14" s="105">
        <v>1718277</v>
      </c>
    </row>
    <row r="15" spans="1:75">
      <c r="A15" s="104" t="s">
        <v>247</v>
      </c>
      <c r="B15" s="104" t="s">
        <v>241</v>
      </c>
      <c r="C15" s="105">
        <v>133905274</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row>
    <row r="16" spans="1:75">
      <c r="A16" s="104" t="s">
        <v>247</v>
      </c>
      <c r="B16" s="104" t="s">
        <v>242</v>
      </c>
      <c r="C16" s="106"/>
      <c r="D16" s="105">
        <v>1775552</v>
      </c>
      <c r="E16" s="105">
        <v>107003</v>
      </c>
      <c r="F16" s="105">
        <v>270748</v>
      </c>
      <c r="G16" s="105">
        <v>179391</v>
      </c>
      <c r="H16" s="105">
        <v>153777</v>
      </c>
      <c r="I16" s="105">
        <v>579654</v>
      </c>
      <c r="J16" s="105">
        <v>207169</v>
      </c>
      <c r="K16" s="105">
        <v>334459</v>
      </c>
      <c r="L16" s="105">
        <v>204845</v>
      </c>
      <c r="M16" s="105">
        <v>108767</v>
      </c>
      <c r="N16" s="105">
        <v>2380142</v>
      </c>
      <c r="O16" s="105">
        <v>577206</v>
      </c>
      <c r="P16" s="105">
        <v>429221</v>
      </c>
      <c r="Q16" s="105">
        <v>635620</v>
      </c>
      <c r="R16" s="105">
        <v>505236</v>
      </c>
      <c r="S16" s="105">
        <v>1575489</v>
      </c>
      <c r="T16" s="105">
        <v>509191</v>
      </c>
      <c r="U16" s="105">
        <v>853084</v>
      </c>
      <c r="V16" s="105">
        <v>1420534</v>
      </c>
      <c r="W16" s="105">
        <v>725813</v>
      </c>
      <c r="X16" s="105">
        <v>2967381</v>
      </c>
      <c r="Y16" s="105">
        <v>614532</v>
      </c>
      <c r="Z16" s="105">
        <v>2057394</v>
      </c>
      <c r="AA16" s="105">
        <v>764909</v>
      </c>
      <c r="AB16" s="105">
        <v>990588</v>
      </c>
      <c r="AC16" s="105">
        <v>921090</v>
      </c>
      <c r="AD16" s="105">
        <v>539159</v>
      </c>
      <c r="AE16" s="105">
        <v>271546</v>
      </c>
      <c r="AF16" s="105">
        <v>425969</v>
      </c>
      <c r="AG16" s="105">
        <v>678725</v>
      </c>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row>
    <row r="17" spans="1:75">
      <c r="A17" s="104" t="s">
        <v>247</v>
      </c>
      <c r="B17" s="104" t="s">
        <v>243</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5">
        <v>1398950</v>
      </c>
      <c r="AI17" s="105">
        <v>636079</v>
      </c>
      <c r="AJ17" s="105">
        <v>1107277</v>
      </c>
      <c r="AK17" s="105">
        <v>1079424</v>
      </c>
      <c r="AL17" s="105">
        <v>1873009</v>
      </c>
      <c r="AM17" s="105">
        <v>2447021</v>
      </c>
      <c r="AN17" s="105">
        <v>3004979</v>
      </c>
      <c r="AO17" s="105">
        <v>2861594</v>
      </c>
      <c r="AP17" s="105">
        <v>2558434</v>
      </c>
      <c r="AQ17" s="105">
        <v>1968057</v>
      </c>
      <c r="AR17" s="105">
        <v>822631</v>
      </c>
      <c r="AS17" s="105">
        <v>328890</v>
      </c>
      <c r="AT17" s="105">
        <v>264371</v>
      </c>
      <c r="AU17" s="105">
        <v>239448</v>
      </c>
      <c r="AV17" s="105">
        <v>342537</v>
      </c>
      <c r="AW17" s="105">
        <v>400762</v>
      </c>
      <c r="AX17" s="105">
        <v>256386</v>
      </c>
      <c r="AY17" s="105">
        <v>489191</v>
      </c>
      <c r="AZ17" s="105">
        <v>625926</v>
      </c>
      <c r="BA17" s="105">
        <v>655166</v>
      </c>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row>
    <row r="18" spans="1:75">
      <c r="A18" s="104" t="s">
        <v>247</v>
      </c>
      <c r="B18" s="104" t="s">
        <v>244</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5">
        <v>1110382</v>
      </c>
      <c r="BC18" s="105">
        <v>1022436</v>
      </c>
      <c r="BD18" s="105">
        <v>1564321</v>
      </c>
      <c r="BE18" s="105">
        <v>1523190</v>
      </c>
      <c r="BF18" s="105">
        <v>1968398</v>
      </c>
      <c r="BG18" s="105">
        <v>2064699</v>
      </c>
      <c r="BH18" s="105">
        <v>2035685</v>
      </c>
      <c r="BI18" s="105">
        <v>1355813</v>
      </c>
      <c r="BJ18" s="105">
        <v>731624</v>
      </c>
      <c r="BK18" s="105">
        <v>661243</v>
      </c>
      <c r="BL18" s="105">
        <v>711291</v>
      </c>
      <c r="BM18" s="105">
        <v>720186</v>
      </c>
      <c r="BN18" s="105">
        <v>723455</v>
      </c>
      <c r="BO18" s="105">
        <v>1173980</v>
      </c>
      <c r="BP18" s="105">
        <v>957706</v>
      </c>
      <c r="BQ18" s="105">
        <v>1330995</v>
      </c>
      <c r="BR18" s="105">
        <v>1498679</v>
      </c>
      <c r="BS18" s="105">
        <v>1252818</v>
      </c>
      <c r="BT18" s="105">
        <v>1937553</v>
      </c>
      <c r="BU18" s="105">
        <v>1490950</v>
      </c>
      <c r="BV18" s="105">
        <v>1817791</v>
      </c>
      <c r="BW18" s="105">
        <v>1213544</v>
      </c>
    </row>
    <row r="19" spans="1:75">
      <c r="A19" s="104" t="s">
        <v>248</v>
      </c>
      <c r="B19" s="104" t="s">
        <v>241</v>
      </c>
      <c r="C19" s="105">
        <v>91507720</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row>
    <row r="20" spans="1:75">
      <c r="A20" s="104" t="s">
        <v>248</v>
      </c>
      <c r="B20" s="104" t="s">
        <v>242</v>
      </c>
      <c r="C20" s="106"/>
      <c r="D20" s="105">
        <v>1245299</v>
      </c>
      <c r="E20" s="105">
        <v>95498</v>
      </c>
      <c r="F20" s="105">
        <v>673517</v>
      </c>
      <c r="G20" s="105">
        <v>345285</v>
      </c>
      <c r="H20" s="105">
        <v>219052</v>
      </c>
      <c r="I20" s="105">
        <v>772233</v>
      </c>
      <c r="J20" s="105">
        <v>105645</v>
      </c>
      <c r="K20" s="105">
        <v>159017</v>
      </c>
      <c r="L20" s="105">
        <v>807052</v>
      </c>
      <c r="M20" s="105">
        <v>149992</v>
      </c>
      <c r="N20" s="105">
        <v>4590451</v>
      </c>
      <c r="O20" s="105">
        <v>687787</v>
      </c>
      <c r="P20" s="105">
        <v>1412151</v>
      </c>
      <c r="Q20" s="105">
        <v>1830156</v>
      </c>
      <c r="R20" s="105">
        <v>4136097</v>
      </c>
      <c r="S20" s="105">
        <v>6011413</v>
      </c>
      <c r="T20" s="105">
        <v>4730387</v>
      </c>
      <c r="U20" s="105">
        <v>3381018</v>
      </c>
      <c r="V20" s="105">
        <v>5984708</v>
      </c>
      <c r="W20" s="105">
        <v>4883862</v>
      </c>
      <c r="X20" s="105">
        <v>15328696</v>
      </c>
      <c r="Y20" s="105">
        <v>6564244</v>
      </c>
      <c r="Z20" s="105">
        <v>10807461</v>
      </c>
      <c r="AA20" s="105">
        <v>10255550</v>
      </c>
      <c r="AB20" s="105">
        <v>6794784</v>
      </c>
      <c r="AC20" s="105">
        <v>7848819</v>
      </c>
      <c r="AD20" s="105">
        <v>5948172</v>
      </c>
      <c r="AE20" s="105">
        <v>2513713</v>
      </c>
      <c r="AF20" s="105">
        <v>4854802</v>
      </c>
      <c r="AG20" s="105">
        <v>4339341</v>
      </c>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row>
    <row r="21" spans="1:75">
      <c r="A21" s="104" t="s">
        <v>248</v>
      </c>
      <c r="B21" s="104" t="s">
        <v>243</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5">
        <v>7214658</v>
      </c>
      <c r="AI21" s="105">
        <v>4488954</v>
      </c>
      <c r="AJ21" s="105">
        <v>5420935</v>
      </c>
      <c r="AK21" s="105">
        <v>5797688</v>
      </c>
      <c r="AL21" s="105">
        <v>8668183</v>
      </c>
      <c r="AM21" s="105">
        <v>11427033</v>
      </c>
      <c r="AN21" s="105">
        <v>13641585</v>
      </c>
      <c r="AO21" s="105">
        <v>15682853</v>
      </c>
      <c r="AP21" s="105">
        <v>14144798</v>
      </c>
      <c r="AQ21" s="105">
        <v>8810479</v>
      </c>
      <c r="AR21" s="105">
        <v>2618989</v>
      </c>
      <c r="AS21" s="105">
        <v>1110479</v>
      </c>
      <c r="AT21" s="105">
        <v>1530732</v>
      </c>
      <c r="AU21" s="105">
        <v>1418309</v>
      </c>
      <c r="AV21" s="105">
        <v>2535606</v>
      </c>
      <c r="AW21" s="105">
        <v>2710746</v>
      </c>
      <c r="AX21" s="105">
        <v>2558340</v>
      </c>
      <c r="AY21" s="105">
        <v>1480869</v>
      </c>
      <c r="AZ21" s="105">
        <v>3512330</v>
      </c>
      <c r="BA21" s="105">
        <v>3746078</v>
      </c>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row>
    <row r="22" spans="1:75">
      <c r="A22" s="104" t="s">
        <v>248</v>
      </c>
      <c r="B22" s="104" t="s">
        <v>244</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5">
        <v>4757611</v>
      </c>
      <c r="BC22" s="105">
        <v>3461366</v>
      </c>
      <c r="BD22" s="105">
        <v>5809397</v>
      </c>
      <c r="BE22" s="105">
        <v>7858689</v>
      </c>
      <c r="BF22" s="105">
        <v>11923807</v>
      </c>
      <c r="BG22" s="105">
        <v>11980905</v>
      </c>
      <c r="BH22" s="105">
        <v>14009937</v>
      </c>
      <c r="BI22" s="105">
        <v>8713488</v>
      </c>
      <c r="BJ22" s="105">
        <v>5699598</v>
      </c>
      <c r="BK22" s="105">
        <v>2875457</v>
      </c>
      <c r="BL22" s="105">
        <v>5195163</v>
      </c>
      <c r="BM22" s="105">
        <v>5149310</v>
      </c>
      <c r="BN22" s="105">
        <v>7721662</v>
      </c>
      <c r="BO22" s="105">
        <v>12760680</v>
      </c>
      <c r="BP22" s="105">
        <v>9197865</v>
      </c>
      <c r="BQ22" s="105">
        <v>10259429</v>
      </c>
      <c r="BR22" s="105">
        <v>10680559</v>
      </c>
      <c r="BS22" s="105">
        <v>11157850</v>
      </c>
      <c r="BT22" s="105">
        <v>14441199</v>
      </c>
      <c r="BU22" s="105">
        <v>13529621</v>
      </c>
      <c r="BV22" s="105">
        <v>15486956</v>
      </c>
      <c r="BW22" s="105">
        <v>7680062</v>
      </c>
    </row>
    <row r="23" spans="1:75">
      <c r="A23" s="107" t="s">
        <v>308</v>
      </c>
      <c r="B23" s="104" t="s">
        <v>241</v>
      </c>
      <c r="C23" s="64">
        <f>SUM($C7:C7)+SUM($C11:C11)</f>
        <v>1469155291</v>
      </c>
      <c r="D23" s="64">
        <f>SUM($C7:D7)+SUM($C11:D11)</f>
        <v>1469155291</v>
      </c>
      <c r="E23" s="64">
        <f>SUM($C7:E7)+SUM($C11:E11)</f>
        <v>1469155291</v>
      </c>
      <c r="F23" s="64">
        <f>SUM($C7:F7)+SUM($C11:F11)</f>
        <v>1469155291</v>
      </c>
      <c r="G23" s="64">
        <f>SUM($C7:G7)+SUM($C11:G11)</f>
        <v>1469155291</v>
      </c>
      <c r="H23" s="64">
        <f>SUM($C7:H7)+SUM($C11:H11)</f>
        <v>1469155291</v>
      </c>
      <c r="I23" s="64">
        <f>SUM($C7:I7)+SUM($C11:I11)</f>
        <v>1469155291</v>
      </c>
      <c r="J23" s="64">
        <f>SUM($C7:J7)+SUM($C11:J11)</f>
        <v>1469155291</v>
      </c>
      <c r="K23" s="64">
        <f>SUM($C7:K7)+SUM($C11:K11)</f>
        <v>1469155291</v>
      </c>
      <c r="L23" s="64">
        <f>SUM($C7:L7)+SUM($C11:L11)</f>
        <v>1469155291</v>
      </c>
      <c r="M23" s="64">
        <f>SUM($C7:M7)+SUM($C11:M11)</f>
        <v>1469155291</v>
      </c>
      <c r="N23" s="64">
        <f>SUM($C7:N7)+SUM($C11:N11)</f>
        <v>1469155291</v>
      </c>
      <c r="O23" s="64">
        <f>SUM($C7:O7)+SUM($C11:O11)</f>
        <v>1469155291</v>
      </c>
      <c r="P23" s="64">
        <f>SUM($C7:P7)+SUM($C11:P11)</f>
        <v>1469155291</v>
      </c>
      <c r="Q23" s="64">
        <f>SUM($C7:Q7)+SUM($C11:Q11)</f>
        <v>1469155291</v>
      </c>
      <c r="R23" s="64">
        <f>SUM($C7:R7)+SUM($C11:R11)</f>
        <v>1469155291</v>
      </c>
      <c r="S23" s="64">
        <f>SUM($C7:S7)+SUM($C11:S11)</f>
        <v>1469155291</v>
      </c>
      <c r="T23" s="64">
        <f>SUM($C7:T7)+SUM($C11:T11)</f>
        <v>1469155291</v>
      </c>
      <c r="U23" s="64">
        <f>SUM($C7:U7)+SUM($C11:U11)</f>
        <v>1469155291</v>
      </c>
      <c r="V23" s="64">
        <f>SUM($C7:V7)+SUM($C11:V11)</f>
        <v>1469155291</v>
      </c>
      <c r="W23" s="64">
        <f>SUM($C7:W7)+SUM($C11:W11)</f>
        <v>1469155291</v>
      </c>
      <c r="X23" s="64">
        <f>SUM($C7:X7)+SUM($C11:X11)</f>
        <v>1469155291</v>
      </c>
      <c r="Y23" s="64">
        <f>SUM($C7:Y7)+SUM($C11:Y11)</f>
        <v>1469155291</v>
      </c>
      <c r="Z23" s="64">
        <f>SUM($C7:Z7)+SUM($C11:Z11)</f>
        <v>1469155291</v>
      </c>
      <c r="AA23" s="64">
        <f>SUM($C7:AA7)+SUM($C11:AA11)</f>
        <v>1469155291</v>
      </c>
      <c r="AB23" s="64">
        <f>SUM($C7:AB7)+SUM($C11:AB11)</f>
        <v>1469155291</v>
      </c>
      <c r="AC23" s="64">
        <f>SUM($C7:AC7)+SUM($C11:AC11)</f>
        <v>1469155291</v>
      </c>
      <c r="AD23" s="64">
        <f>SUM($C7:AD7)+SUM($C11:AD11)</f>
        <v>1469155291</v>
      </c>
      <c r="AE23" s="64">
        <f>SUM($C7:AE7)+SUM($C11:AE11)</f>
        <v>1469155291</v>
      </c>
      <c r="AF23" s="64">
        <f>SUM($C7:AF7)+SUM($C11:AF11)</f>
        <v>1469155291</v>
      </c>
      <c r="AG23" s="64">
        <f>SUM($C7:AG7)+SUM($C11:AG11)</f>
        <v>1469155291</v>
      </c>
      <c r="AH23" s="64">
        <f>SUM($C7:AH7)+SUM($C11:AH11)</f>
        <v>1469155291</v>
      </c>
      <c r="AI23" s="64">
        <f>SUM($C7:AI7)+SUM($C11:AI11)</f>
        <v>1469155291</v>
      </c>
      <c r="AJ23" s="64">
        <f>SUM($C7:AJ7)+SUM($C11:AJ11)</f>
        <v>1469155291</v>
      </c>
      <c r="AK23" s="64">
        <f>SUM($C7:AK7)+SUM($C11:AK11)</f>
        <v>1469155291</v>
      </c>
      <c r="AL23" s="64">
        <f>SUM($C7:AL7)+SUM($C11:AL11)</f>
        <v>1469155291</v>
      </c>
      <c r="AM23" s="64">
        <f>SUM($C7:AM7)+SUM($C11:AM11)</f>
        <v>1469155291</v>
      </c>
      <c r="AN23" s="64">
        <f>SUM($C7:AN7)+SUM($C11:AN11)</f>
        <v>1469155291</v>
      </c>
      <c r="AO23" s="64">
        <f>SUM($C7:AO7)+SUM($C11:AO11)</f>
        <v>1469155291</v>
      </c>
      <c r="AP23" s="64">
        <f>SUM($C7:AP7)+SUM($C11:AP11)</f>
        <v>1469155291</v>
      </c>
      <c r="AQ23" s="64">
        <f>SUM($C7:AQ7)+SUM($C11:AQ11)</f>
        <v>1469155291</v>
      </c>
      <c r="AR23" s="64">
        <f>SUM($C7:AR7)+SUM($C11:AR11)</f>
        <v>1469155291</v>
      </c>
      <c r="AS23" s="64">
        <f>SUM($C7:AS7)+SUM($C11:AS11)</f>
        <v>1469155291</v>
      </c>
      <c r="AT23" s="64">
        <f>SUM($C7:AT7)+SUM($C11:AT11)</f>
        <v>1469155291</v>
      </c>
      <c r="AU23" s="64">
        <f>SUM($C7:AU7)+SUM($C11:AU11)</f>
        <v>1469155291</v>
      </c>
      <c r="AV23" s="64">
        <f>SUM($C7:AV7)+SUM($C11:AV11)</f>
        <v>1469155291</v>
      </c>
      <c r="AW23" s="64">
        <f>SUM($C7:AW7)+SUM($C11:AW11)</f>
        <v>1469155291</v>
      </c>
      <c r="AX23" s="64">
        <f>SUM($C7:AX7)+SUM($C11:AX11)</f>
        <v>1469155291</v>
      </c>
      <c r="AY23" s="64">
        <f>SUM($C7:AY7)+SUM($C11:AY11)</f>
        <v>1469155291</v>
      </c>
      <c r="AZ23" s="64">
        <f>SUM($C7:AZ7)+SUM($C11:AZ11)</f>
        <v>1469155291</v>
      </c>
      <c r="BA23" s="64">
        <f>SUM($C7:BA7)+SUM($C11:BA11)</f>
        <v>1469155291</v>
      </c>
      <c r="BB23" s="64">
        <f>SUM($C7:BB7)+SUM($C11:BB11)</f>
        <v>1469155291</v>
      </c>
      <c r="BC23" s="64">
        <f>SUM($C7:BC7)+SUM($C11:BC11)</f>
        <v>1469155291</v>
      </c>
      <c r="BD23" s="64">
        <f>SUM($C7:BD7)+SUM($C11:BD11)</f>
        <v>1469155291</v>
      </c>
      <c r="BE23" s="64">
        <f>SUM($C7:BE7)+SUM($C11:BE11)</f>
        <v>1469155291</v>
      </c>
      <c r="BF23" s="64">
        <f>SUM($C7:BF7)+SUM($C11:BF11)</f>
        <v>1469155291</v>
      </c>
      <c r="BG23" s="64">
        <f>SUM($C7:BG7)+SUM($C11:BG11)</f>
        <v>1469155291</v>
      </c>
      <c r="BH23" s="64">
        <f>SUM($C7:BH7)+SUM($C11:BH11)</f>
        <v>1469155291</v>
      </c>
      <c r="BI23" s="64">
        <f>SUM($C7:BI7)+SUM($C11:BI11)</f>
        <v>1469155291</v>
      </c>
      <c r="BJ23" s="64">
        <f>SUM($C7:BJ7)+SUM($C11:BJ11)</f>
        <v>1469155291</v>
      </c>
      <c r="BK23" s="64">
        <f>SUM($C7:BK7)+SUM($C11:BK11)</f>
        <v>1469155291</v>
      </c>
      <c r="BL23" s="64">
        <f>SUM($C7:BL7)+SUM($C11:BL11)</f>
        <v>1469155291</v>
      </c>
      <c r="BM23" s="64">
        <f>SUM($C7:BM7)+SUM($C11:BM11)</f>
        <v>1469155291</v>
      </c>
      <c r="BN23" s="64">
        <f>SUM($C7:BN7)+SUM($C11:BN11)</f>
        <v>1469155291</v>
      </c>
      <c r="BO23" s="64">
        <f>SUM($C7:BO7)+SUM($C11:BO11)</f>
        <v>1469155291</v>
      </c>
      <c r="BP23" s="64">
        <f>SUM($C7:BP7)+SUM($C11:BP11)</f>
        <v>1469155291</v>
      </c>
      <c r="BQ23" s="64">
        <f>SUM($C7:BQ7)+SUM($C11:BQ11)</f>
        <v>1469155291</v>
      </c>
      <c r="BR23" s="64">
        <f>SUM($C7:BR7)+SUM($C11:BR11)</f>
        <v>1469155291</v>
      </c>
      <c r="BS23" s="64">
        <f>SUM($C7:BS7)+SUM($C11:BS11)</f>
        <v>1469155291</v>
      </c>
      <c r="BT23" s="64">
        <f>SUM($C7:BT7)+SUM($C11:BT11)</f>
        <v>1469155291</v>
      </c>
      <c r="BU23" s="64">
        <f>SUM($C7:BU7)+SUM($C11:BU11)</f>
        <v>1469155291</v>
      </c>
      <c r="BV23" s="64">
        <f>SUM($C7:BV7)+SUM($C11:BV11)</f>
        <v>1469155291</v>
      </c>
      <c r="BW23" s="64">
        <f>SUM($C7:BW7)+SUM($C11:BW11)</f>
        <v>1469155291</v>
      </c>
    </row>
    <row r="24" spans="1:75">
      <c r="B24" s="104" t="s">
        <v>242</v>
      </c>
      <c r="C24" s="64">
        <f>SUM($C8:C8)+SUM($C12:C12)</f>
        <v>0</v>
      </c>
      <c r="D24" s="64">
        <f>SUM($C8:D8)+SUM($C12:D12)</f>
        <v>80245746</v>
      </c>
      <c r="E24" s="64">
        <f>SUM($C8:E8)+SUM($C12:E12)</f>
        <v>101714891</v>
      </c>
      <c r="F24" s="64">
        <f>SUM($C8:F8)+SUM($C12:F12)</f>
        <v>132992353</v>
      </c>
      <c r="G24" s="64">
        <f>SUM($C8:G8)+SUM($C12:G12)</f>
        <v>160587517</v>
      </c>
      <c r="H24" s="64">
        <f>SUM($C8:H8)+SUM($C12:H12)</f>
        <v>190740653</v>
      </c>
      <c r="I24" s="64">
        <f>SUM($C8:I8)+SUM($C12:I12)</f>
        <v>247094392</v>
      </c>
      <c r="J24" s="64">
        <f>SUM($C8:J8)+SUM($C12:J12)</f>
        <v>278804630</v>
      </c>
      <c r="K24" s="64">
        <f>SUM($C8:K8)+SUM($C12:K12)</f>
        <v>306127319</v>
      </c>
      <c r="L24" s="64">
        <f>SUM($C8:L8)+SUM($C12:L12)</f>
        <v>335151851</v>
      </c>
      <c r="M24" s="64">
        <f>SUM($C8:M8)+SUM($C12:M12)</f>
        <v>359138339</v>
      </c>
      <c r="N24" s="64">
        <f>SUM($C8:N8)+SUM($C12:N12)</f>
        <v>426518905</v>
      </c>
      <c r="O24" s="64">
        <f>SUM($C8:O8)+SUM($C12:O12)</f>
        <v>449820572</v>
      </c>
      <c r="P24" s="64">
        <f>SUM($C8:P8)+SUM($C12:P12)</f>
        <v>479819762</v>
      </c>
      <c r="Q24" s="64">
        <f>SUM($C8:Q8)+SUM($C12:Q12)</f>
        <v>507647580</v>
      </c>
      <c r="R24" s="64">
        <f>SUM($C8:R8)+SUM($C12:R12)</f>
        <v>536133591</v>
      </c>
      <c r="S24" s="64">
        <f>SUM($C8:S8)+SUM($C12:S12)</f>
        <v>579025812</v>
      </c>
      <c r="T24" s="64">
        <f>SUM($C8:T8)+SUM($C12:T12)</f>
        <v>606640241</v>
      </c>
      <c r="U24" s="64">
        <f>SUM($C8:U8)+SUM($C12:U12)</f>
        <v>633072154</v>
      </c>
      <c r="V24" s="64">
        <f>SUM($C8:V8)+SUM($C12:V12)</f>
        <v>664570993</v>
      </c>
      <c r="W24" s="64">
        <f>SUM($C8:W8)+SUM($C12:W12)</f>
        <v>690333402</v>
      </c>
      <c r="X24" s="64">
        <f>SUM($C8:X8)+SUM($C12:X12)</f>
        <v>729870937</v>
      </c>
      <c r="Y24" s="64">
        <f>SUM($C8:Y8)+SUM($C12:Y12)</f>
        <v>755756095</v>
      </c>
      <c r="Z24" s="64">
        <f>SUM($C8:Z8)+SUM($C12:Z12)</f>
        <v>791395781</v>
      </c>
      <c r="AA24" s="64">
        <f>SUM($C8:AA8)+SUM($C12:AA12)</f>
        <v>822411424</v>
      </c>
      <c r="AB24" s="64">
        <f>SUM($C8:AB8)+SUM($C12:AB12)</f>
        <v>848217890</v>
      </c>
      <c r="AC24" s="64">
        <f>SUM($C8:AC8)+SUM($C12:AC12)</f>
        <v>873075586</v>
      </c>
      <c r="AD24" s="64">
        <f>SUM($C8:AD8)+SUM($C12:AD12)</f>
        <v>898747135</v>
      </c>
      <c r="AE24" s="64">
        <f>SUM($C8:AE8)+SUM($C12:AE12)</f>
        <v>924387001</v>
      </c>
      <c r="AF24" s="64">
        <f>SUM($C8:AF8)+SUM($C12:AF12)</f>
        <v>953352746</v>
      </c>
      <c r="AG24" s="64">
        <f>SUM($C8:AG8)+SUM($C12:AG12)</f>
        <v>977992357</v>
      </c>
      <c r="AH24" s="64">
        <f>SUM($C8:AH8)+SUM($C12:AH12)</f>
        <v>977992357</v>
      </c>
      <c r="AI24" s="64">
        <f>SUM($C8:AI8)+SUM($C12:AI12)</f>
        <v>977992357</v>
      </c>
      <c r="AJ24" s="64">
        <f>SUM($C8:AJ8)+SUM($C12:AJ12)</f>
        <v>977992357</v>
      </c>
      <c r="AK24" s="64">
        <f>SUM($C8:AK8)+SUM($C12:AK12)</f>
        <v>977992357</v>
      </c>
      <c r="AL24" s="64">
        <f>SUM($C8:AL8)+SUM($C12:AL12)</f>
        <v>977992357</v>
      </c>
      <c r="AM24" s="64">
        <f>SUM($C8:AM8)+SUM($C12:AM12)</f>
        <v>977992357</v>
      </c>
      <c r="AN24" s="64">
        <f>SUM($C8:AN8)+SUM($C12:AN12)</f>
        <v>977992357</v>
      </c>
      <c r="AO24" s="64">
        <f>SUM($C8:AO8)+SUM($C12:AO12)</f>
        <v>977992357</v>
      </c>
      <c r="AP24" s="64">
        <f>SUM($C8:AP8)+SUM($C12:AP12)</f>
        <v>977992357</v>
      </c>
      <c r="AQ24" s="64">
        <f>SUM($C8:AQ8)+SUM($C12:AQ12)</f>
        <v>977992357</v>
      </c>
      <c r="AR24" s="64">
        <f>SUM($C8:AR8)+SUM($C12:AR12)</f>
        <v>977992357</v>
      </c>
      <c r="AS24" s="64">
        <f>SUM($C8:AS8)+SUM($C12:AS12)</f>
        <v>977992357</v>
      </c>
      <c r="AT24" s="64">
        <f>SUM($C8:AT8)+SUM($C12:AT12)</f>
        <v>977992357</v>
      </c>
      <c r="AU24" s="64">
        <f>SUM($C8:AU8)+SUM($C12:AU12)</f>
        <v>977992357</v>
      </c>
      <c r="AV24" s="64">
        <f>SUM($C8:AV8)+SUM($C12:AV12)</f>
        <v>977992357</v>
      </c>
      <c r="AW24" s="64">
        <f>SUM($C8:AW8)+SUM($C12:AW12)</f>
        <v>977992357</v>
      </c>
      <c r="AX24" s="64">
        <f>SUM($C8:AX8)+SUM($C12:AX12)</f>
        <v>977992357</v>
      </c>
      <c r="AY24" s="64">
        <f>SUM($C8:AY8)+SUM($C12:AY12)</f>
        <v>977992357</v>
      </c>
      <c r="AZ24" s="64">
        <f>SUM($C8:AZ8)+SUM($C12:AZ12)</f>
        <v>977992357</v>
      </c>
      <c r="BA24" s="64">
        <f>SUM($C8:BA8)+SUM($C12:BA12)</f>
        <v>977992357</v>
      </c>
      <c r="BB24" s="64">
        <f>SUM($C8:BB8)+SUM($C12:BB12)</f>
        <v>977992357</v>
      </c>
      <c r="BC24" s="64">
        <f>SUM($C8:BC8)+SUM($C12:BC12)</f>
        <v>977992357</v>
      </c>
      <c r="BD24" s="64">
        <f>SUM($C8:BD8)+SUM($C12:BD12)</f>
        <v>977992357</v>
      </c>
      <c r="BE24" s="64">
        <f>SUM($C8:BE8)+SUM($C12:BE12)</f>
        <v>977992357</v>
      </c>
      <c r="BF24" s="64">
        <f>SUM($C8:BF8)+SUM($C12:BF12)</f>
        <v>977992357</v>
      </c>
      <c r="BG24" s="64">
        <f>SUM($C8:BG8)+SUM($C12:BG12)</f>
        <v>977992357</v>
      </c>
      <c r="BH24" s="64">
        <f>SUM($C8:BH8)+SUM($C12:BH12)</f>
        <v>977992357</v>
      </c>
      <c r="BI24" s="64">
        <f>SUM($C8:BI8)+SUM($C12:BI12)</f>
        <v>977992357</v>
      </c>
      <c r="BJ24" s="64">
        <f>SUM($C8:BJ8)+SUM($C12:BJ12)</f>
        <v>977992357</v>
      </c>
      <c r="BK24" s="64">
        <f>SUM($C8:BK8)+SUM($C12:BK12)</f>
        <v>977992357</v>
      </c>
      <c r="BL24" s="64">
        <f>SUM($C8:BL8)+SUM($C12:BL12)</f>
        <v>977992357</v>
      </c>
      <c r="BM24" s="64">
        <f>SUM($C8:BM8)+SUM($C12:BM12)</f>
        <v>977992357</v>
      </c>
      <c r="BN24" s="64">
        <f>SUM($C8:BN8)+SUM($C12:BN12)</f>
        <v>977992357</v>
      </c>
      <c r="BO24" s="64">
        <f>SUM($C8:BO8)+SUM($C12:BO12)</f>
        <v>977992357</v>
      </c>
      <c r="BP24" s="64">
        <f>SUM($C8:BP8)+SUM($C12:BP12)</f>
        <v>977992357</v>
      </c>
      <c r="BQ24" s="64">
        <f>SUM($C8:BQ8)+SUM($C12:BQ12)</f>
        <v>977992357</v>
      </c>
      <c r="BR24" s="64">
        <f>SUM($C8:BR8)+SUM($C12:BR12)</f>
        <v>977992357</v>
      </c>
      <c r="BS24" s="64">
        <f>SUM($C8:BS8)+SUM($C12:BS12)</f>
        <v>977992357</v>
      </c>
      <c r="BT24" s="64">
        <f>SUM($C8:BT8)+SUM($C12:BT12)</f>
        <v>977992357</v>
      </c>
      <c r="BU24" s="64">
        <f>SUM($C8:BU8)+SUM($C12:BU12)</f>
        <v>977992357</v>
      </c>
      <c r="BV24" s="64">
        <f>SUM($C8:BV8)+SUM($C12:BV12)</f>
        <v>977992357</v>
      </c>
      <c r="BW24" s="64">
        <f>SUM($C8:BW8)+SUM($C12:BW12)</f>
        <v>977992357</v>
      </c>
    </row>
    <row r="25" spans="1:75">
      <c r="B25" s="104" t="s">
        <v>243</v>
      </c>
      <c r="C25" s="64">
        <f>SUM($C9:C9)+SUM($C13:C13)</f>
        <v>0</v>
      </c>
      <c r="D25" s="64">
        <f>SUM($C9:D9)+SUM($C13:D13)</f>
        <v>0</v>
      </c>
      <c r="E25" s="64">
        <f>SUM($C9:E9)+SUM($C13:E13)</f>
        <v>0</v>
      </c>
      <c r="F25" s="64">
        <f>SUM($C9:F9)+SUM($C13:F13)</f>
        <v>0</v>
      </c>
      <c r="G25" s="64">
        <f>SUM($C9:G9)+SUM($C13:G13)</f>
        <v>0</v>
      </c>
      <c r="H25" s="64">
        <f>SUM($C9:H9)+SUM($C13:H13)</f>
        <v>0</v>
      </c>
      <c r="I25" s="64">
        <f>SUM($C9:I9)+SUM($C13:I13)</f>
        <v>0</v>
      </c>
      <c r="J25" s="64">
        <f>SUM($C9:J9)+SUM($C13:J13)</f>
        <v>0</v>
      </c>
      <c r="K25" s="64">
        <f>SUM($C9:K9)+SUM($C13:K13)</f>
        <v>0</v>
      </c>
      <c r="L25" s="64">
        <f>SUM($C9:L9)+SUM($C13:L13)</f>
        <v>0</v>
      </c>
      <c r="M25" s="64">
        <f>SUM($C9:M9)+SUM($C13:M13)</f>
        <v>0</v>
      </c>
      <c r="N25" s="64">
        <f>SUM($C9:N9)+SUM($C13:N13)</f>
        <v>0</v>
      </c>
      <c r="O25" s="64">
        <f>SUM($C9:O9)+SUM($C13:O13)</f>
        <v>0</v>
      </c>
      <c r="P25" s="64">
        <f>SUM($C9:P9)+SUM($C13:P13)</f>
        <v>0</v>
      </c>
      <c r="Q25" s="64">
        <f>SUM($C9:Q9)+SUM($C13:Q13)</f>
        <v>0</v>
      </c>
      <c r="R25" s="64">
        <f>SUM($C9:R9)+SUM($C13:R13)</f>
        <v>0</v>
      </c>
      <c r="S25" s="64">
        <f>SUM($C9:S9)+SUM($C13:S13)</f>
        <v>0</v>
      </c>
      <c r="T25" s="64">
        <f>SUM($C9:T9)+SUM($C13:T13)</f>
        <v>0</v>
      </c>
      <c r="U25" s="64">
        <f>SUM($C9:U9)+SUM($C13:U13)</f>
        <v>0</v>
      </c>
      <c r="V25" s="64">
        <f>SUM($C9:V9)+SUM($C13:V13)</f>
        <v>0</v>
      </c>
      <c r="W25" s="64">
        <f>SUM($C9:W9)+SUM($C13:W13)</f>
        <v>0</v>
      </c>
      <c r="X25" s="64">
        <f>SUM($C9:X9)+SUM($C13:X13)</f>
        <v>0</v>
      </c>
      <c r="Y25" s="64">
        <f>SUM($C9:Y9)+SUM($C13:Y13)</f>
        <v>0</v>
      </c>
      <c r="Z25" s="64">
        <f>SUM($C9:Z9)+SUM($C13:Z13)</f>
        <v>0</v>
      </c>
      <c r="AA25" s="64">
        <f>SUM($C9:AA9)+SUM($C13:AA13)</f>
        <v>0</v>
      </c>
      <c r="AB25" s="64">
        <f>SUM($C9:AB9)+SUM($C13:AB13)</f>
        <v>0</v>
      </c>
      <c r="AC25" s="64">
        <f>SUM($C9:AC9)+SUM($C13:AC13)</f>
        <v>0</v>
      </c>
      <c r="AD25" s="64">
        <f>SUM($C9:AD9)+SUM($C13:AD13)</f>
        <v>0</v>
      </c>
      <c r="AE25" s="64">
        <f>SUM($C9:AE9)+SUM($C13:AE13)</f>
        <v>0</v>
      </c>
      <c r="AF25" s="64">
        <f>SUM($C9:AF9)+SUM($C13:AF13)</f>
        <v>0</v>
      </c>
      <c r="AG25" s="64">
        <f>SUM($C9:AG9)+SUM($C13:AG13)</f>
        <v>0</v>
      </c>
      <c r="AH25" s="64">
        <f>SUM($C9:AH9)+SUM($C13:AH13)</f>
        <v>23682748</v>
      </c>
      <c r="AI25" s="64">
        <f>SUM($C9:AI9)+SUM($C13:AI13)</f>
        <v>43127447</v>
      </c>
      <c r="AJ25" s="64">
        <f>SUM($C9:AJ9)+SUM($C13:AJ13)</f>
        <v>60116161</v>
      </c>
      <c r="AK25" s="64">
        <f>SUM($C9:AK9)+SUM($C13:AK13)</f>
        <v>87915454</v>
      </c>
      <c r="AL25" s="64">
        <f>SUM($C9:AL9)+SUM($C13:AL13)</f>
        <v>123385388</v>
      </c>
      <c r="AM25" s="64">
        <f>SUM($C9:AM9)+SUM($C13:AM13)</f>
        <v>167603309</v>
      </c>
      <c r="AN25" s="64">
        <f>SUM($C9:AN9)+SUM($C13:AN13)</f>
        <v>214844640</v>
      </c>
      <c r="AO25" s="64">
        <f>SUM($C9:AO9)+SUM($C13:AO13)</f>
        <v>261687188</v>
      </c>
      <c r="AP25" s="64">
        <f>SUM($C9:AP9)+SUM($C13:AP13)</f>
        <v>304431355</v>
      </c>
      <c r="AQ25" s="64">
        <f>SUM($C9:AQ9)+SUM($C13:AQ13)</f>
        <v>338520853</v>
      </c>
      <c r="AR25" s="64">
        <f>SUM($C9:AR9)+SUM($C13:AR13)</f>
        <v>364003686</v>
      </c>
      <c r="AS25" s="64">
        <f>SUM($C9:AS9)+SUM($C13:AS13)</f>
        <v>387171965</v>
      </c>
      <c r="AT25" s="64">
        <f>SUM($C9:AT9)+SUM($C13:AT13)</f>
        <v>417930822</v>
      </c>
      <c r="AU25" s="64">
        <f>SUM($C9:AU9)+SUM($C13:AU13)</f>
        <v>452318915</v>
      </c>
      <c r="AV25" s="64">
        <f>SUM($C9:AV9)+SUM($C13:AV13)</f>
        <v>489764619</v>
      </c>
      <c r="AW25" s="64">
        <f>SUM($C9:AW9)+SUM($C13:AW13)</f>
        <v>523212667</v>
      </c>
      <c r="AX25" s="64">
        <f>SUM($C9:AX9)+SUM($C13:AX13)</f>
        <v>557506453</v>
      </c>
      <c r="AY25" s="64">
        <f>SUM($C9:AY9)+SUM($C13:AY13)</f>
        <v>593840961</v>
      </c>
      <c r="AZ25" s="64">
        <f>SUM($C9:AZ9)+SUM($C13:AZ13)</f>
        <v>632197767</v>
      </c>
      <c r="BA25" s="64">
        <f>SUM($C9:BA9)+SUM($C13:BA13)</f>
        <v>670106687</v>
      </c>
      <c r="BB25" s="64">
        <f>SUM($C9:BB9)+SUM($C13:BB13)</f>
        <v>670106687</v>
      </c>
      <c r="BC25" s="64">
        <f>SUM($C9:BC9)+SUM($C13:BC13)</f>
        <v>670106687</v>
      </c>
      <c r="BD25" s="64">
        <f>SUM($C9:BD9)+SUM($C13:BD13)</f>
        <v>670106687</v>
      </c>
      <c r="BE25" s="64">
        <f>SUM($C9:BE9)+SUM($C13:BE13)</f>
        <v>670106687</v>
      </c>
      <c r="BF25" s="64">
        <f>SUM($C9:BF9)+SUM($C13:BF13)</f>
        <v>670106687</v>
      </c>
      <c r="BG25" s="64">
        <f>SUM($C9:BG9)+SUM($C13:BG13)</f>
        <v>670106687</v>
      </c>
      <c r="BH25" s="64">
        <f>SUM($C9:BH9)+SUM($C13:BH13)</f>
        <v>670106687</v>
      </c>
      <c r="BI25" s="64">
        <f>SUM($C9:BI9)+SUM($C13:BI13)</f>
        <v>670106687</v>
      </c>
      <c r="BJ25" s="64">
        <f>SUM($C9:BJ9)+SUM($C13:BJ13)</f>
        <v>670106687</v>
      </c>
      <c r="BK25" s="64">
        <f>SUM($C9:BK9)+SUM($C13:BK13)</f>
        <v>670106687</v>
      </c>
      <c r="BL25" s="64">
        <f>SUM($C9:BL9)+SUM($C13:BL13)</f>
        <v>670106687</v>
      </c>
      <c r="BM25" s="64">
        <f>SUM($C9:BM9)+SUM($C13:BM13)</f>
        <v>670106687</v>
      </c>
      <c r="BN25" s="64">
        <f>SUM($C9:BN9)+SUM($C13:BN13)</f>
        <v>670106687</v>
      </c>
      <c r="BO25" s="64">
        <f>SUM($C9:BO9)+SUM($C13:BO13)</f>
        <v>670106687</v>
      </c>
      <c r="BP25" s="64">
        <f>SUM($C9:BP9)+SUM($C13:BP13)</f>
        <v>670106687</v>
      </c>
      <c r="BQ25" s="64">
        <f>SUM($C9:BQ9)+SUM($C13:BQ13)</f>
        <v>670106687</v>
      </c>
      <c r="BR25" s="64">
        <f>SUM($C9:BR9)+SUM($C13:BR13)</f>
        <v>670106687</v>
      </c>
      <c r="BS25" s="64">
        <f>SUM($C9:BS9)+SUM($C13:BS13)</f>
        <v>670106687</v>
      </c>
      <c r="BT25" s="64">
        <f>SUM($C9:BT9)+SUM($C13:BT13)</f>
        <v>670106687</v>
      </c>
      <c r="BU25" s="64">
        <f>SUM($C9:BU9)+SUM($C13:BU13)</f>
        <v>670106687</v>
      </c>
      <c r="BV25" s="64">
        <f>SUM($C9:BV9)+SUM($C13:BV13)</f>
        <v>670106687</v>
      </c>
      <c r="BW25" s="64">
        <f>SUM($C9:BW9)+SUM($C13:BW13)</f>
        <v>670106687</v>
      </c>
    </row>
    <row r="26" spans="1:75">
      <c r="B26" s="104" t="s">
        <v>244</v>
      </c>
      <c r="C26" s="64">
        <f>SUM($C10:C10)+SUM($C14:C14)</f>
        <v>0</v>
      </c>
      <c r="D26" s="64">
        <f>SUM($C10:D10)+SUM($C14:D14)</f>
        <v>0</v>
      </c>
      <c r="E26" s="64">
        <f>SUM($C10:E10)+SUM($C14:E14)</f>
        <v>0</v>
      </c>
      <c r="F26" s="64">
        <f>SUM($C10:F10)+SUM($C14:F14)</f>
        <v>0</v>
      </c>
      <c r="G26" s="64">
        <f>SUM($C10:G10)+SUM($C14:G14)</f>
        <v>0</v>
      </c>
      <c r="H26" s="64">
        <f>SUM($C10:H10)+SUM($C14:H14)</f>
        <v>0</v>
      </c>
      <c r="I26" s="64">
        <f>SUM($C10:I10)+SUM($C14:I14)</f>
        <v>0</v>
      </c>
      <c r="J26" s="64">
        <f>SUM($C10:J10)+SUM($C14:J14)</f>
        <v>0</v>
      </c>
      <c r="K26" s="64">
        <f>SUM($C10:K10)+SUM($C14:K14)</f>
        <v>0</v>
      </c>
      <c r="L26" s="64">
        <f>SUM($C10:L10)+SUM($C14:L14)</f>
        <v>0</v>
      </c>
      <c r="M26" s="64">
        <f>SUM($C10:M10)+SUM($C14:M14)</f>
        <v>0</v>
      </c>
      <c r="N26" s="64">
        <f>SUM($C10:N10)+SUM($C14:N14)</f>
        <v>0</v>
      </c>
      <c r="O26" s="64">
        <f>SUM($C10:O10)+SUM($C14:O14)</f>
        <v>0</v>
      </c>
      <c r="P26" s="64">
        <f>SUM($C10:P10)+SUM($C14:P14)</f>
        <v>0</v>
      </c>
      <c r="Q26" s="64">
        <f>SUM($C10:Q10)+SUM($C14:Q14)</f>
        <v>0</v>
      </c>
      <c r="R26" s="64">
        <f>SUM($C10:R10)+SUM($C14:R14)</f>
        <v>0</v>
      </c>
      <c r="S26" s="64">
        <f>SUM($C10:S10)+SUM($C14:S14)</f>
        <v>0</v>
      </c>
      <c r="T26" s="64">
        <f>SUM($C10:T10)+SUM($C14:T14)</f>
        <v>0</v>
      </c>
      <c r="U26" s="64">
        <f>SUM($C10:U10)+SUM($C14:U14)</f>
        <v>0</v>
      </c>
      <c r="V26" s="64">
        <f>SUM($C10:V10)+SUM($C14:V14)</f>
        <v>0</v>
      </c>
      <c r="W26" s="64">
        <f>SUM($C10:W10)+SUM($C14:W14)</f>
        <v>0</v>
      </c>
      <c r="X26" s="64">
        <f>SUM($C10:X10)+SUM($C14:X14)</f>
        <v>0</v>
      </c>
      <c r="Y26" s="64">
        <f>SUM($C10:Y10)+SUM($C14:Y14)</f>
        <v>0</v>
      </c>
      <c r="Z26" s="64">
        <f>SUM($C10:Z10)+SUM($C14:Z14)</f>
        <v>0</v>
      </c>
      <c r="AA26" s="64">
        <f>SUM($C10:AA10)+SUM($C14:AA14)</f>
        <v>0</v>
      </c>
      <c r="AB26" s="64">
        <f>SUM($C10:AB10)+SUM($C14:AB14)</f>
        <v>0</v>
      </c>
      <c r="AC26" s="64">
        <f>SUM($C10:AC10)+SUM($C14:AC14)</f>
        <v>0</v>
      </c>
      <c r="AD26" s="64">
        <f>SUM($C10:AD10)+SUM($C14:AD14)</f>
        <v>0</v>
      </c>
      <c r="AE26" s="64">
        <f>SUM($C10:AE10)+SUM($C14:AE14)</f>
        <v>0</v>
      </c>
      <c r="AF26" s="64">
        <f>SUM($C10:AF10)+SUM($C14:AF14)</f>
        <v>0</v>
      </c>
      <c r="AG26" s="64">
        <f>SUM($C10:AG10)+SUM($C14:AG14)</f>
        <v>0</v>
      </c>
      <c r="AH26" s="64">
        <f>SUM($C10:AH10)+SUM($C14:AH14)</f>
        <v>0</v>
      </c>
      <c r="AI26" s="64">
        <f>SUM($C10:AI10)+SUM($C14:AI14)</f>
        <v>0</v>
      </c>
      <c r="AJ26" s="64">
        <f>SUM($C10:AJ10)+SUM($C14:AJ14)</f>
        <v>0</v>
      </c>
      <c r="AK26" s="64">
        <f>SUM($C10:AK10)+SUM($C14:AK14)</f>
        <v>0</v>
      </c>
      <c r="AL26" s="64">
        <f>SUM($C10:AL10)+SUM($C14:AL14)</f>
        <v>0</v>
      </c>
      <c r="AM26" s="64">
        <f>SUM($C10:AM10)+SUM($C14:AM14)</f>
        <v>0</v>
      </c>
      <c r="AN26" s="64">
        <f>SUM($C10:AN10)+SUM($C14:AN14)</f>
        <v>0</v>
      </c>
      <c r="AO26" s="64">
        <f>SUM($C10:AO10)+SUM($C14:AO14)</f>
        <v>0</v>
      </c>
      <c r="AP26" s="64">
        <f>SUM($C10:AP10)+SUM($C14:AP14)</f>
        <v>0</v>
      </c>
      <c r="AQ26" s="64">
        <f>SUM($C10:AQ10)+SUM($C14:AQ14)</f>
        <v>0</v>
      </c>
      <c r="AR26" s="64">
        <f>SUM($C10:AR10)+SUM($C14:AR14)</f>
        <v>0</v>
      </c>
      <c r="AS26" s="64">
        <f>SUM($C10:AS10)+SUM($C14:AS14)</f>
        <v>0</v>
      </c>
      <c r="AT26" s="64">
        <f>SUM($C10:AT10)+SUM($C14:AT14)</f>
        <v>0</v>
      </c>
      <c r="AU26" s="64">
        <f>SUM($C10:AU10)+SUM($C14:AU14)</f>
        <v>0</v>
      </c>
      <c r="AV26" s="64">
        <f>SUM($C10:AV10)+SUM($C14:AV14)</f>
        <v>0</v>
      </c>
      <c r="AW26" s="64">
        <f>SUM($C10:AW10)+SUM($C14:AW14)</f>
        <v>0</v>
      </c>
      <c r="AX26" s="64">
        <f>SUM($C10:AX10)+SUM($C14:AX14)</f>
        <v>0</v>
      </c>
      <c r="AY26" s="64">
        <f>SUM($C10:AY10)+SUM($C14:AY14)</f>
        <v>0</v>
      </c>
      <c r="AZ26" s="64">
        <f>SUM($C10:AZ10)+SUM($C14:AZ14)</f>
        <v>0</v>
      </c>
      <c r="BA26" s="64">
        <f>SUM($C10:BA10)+SUM($C14:BA14)</f>
        <v>0</v>
      </c>
      <c r="BB26" s="64">
        <f>SUM($C10:BB10)+SUM($C14:BB14)</f>
        <v>36290492</v>
      </c>
      <c r="BC26" s="64">
        <f>SUM($C10:BC10)+SUM($C14:BC14)</f>
        <v>70680635</v>
      </c>
      <c r="BD26" s="64">
        <f>SUM($C10:BD10)+SUM($C14:BD14)</f>
        <v>103240673</v>
      </c>
      <c r="BE26" s="64">
        <f>SUM($C10:BE10)+SUM($C14:BE14)</f>
        <v>134677634</v>
      </c>
      <c r="BF26" s="64">
        <f>SUM($C10:BF10)+SUM($C14:BF14)</f>
        <v>169109330</v>
      </c>
      <c r="BG26" s="64">
        <f>SUM($C10:BG10)+SUM($C14:BG14)</f>
        <v>202107509</v>
      </c>
      <c r="BH26" s="64">
        <f>SUM($C10:BH10)+SUM($C14:BH14)</f>
        <v>228385823</v>
      </c>
      <c r="BI26" s="64">
        <f>SUM($C10:BI10)+SUM($C14:BI14)</f>
        <v>248964312</v>
      </c>
      <c r="BJ26" s="64">
        <f>SUM($C10:BJ10)+SUM($C14:BJ14)</f>
        <v>264395188</v>
      </c>
      <c r="BK26" s="64">
        <f>SUM($C10:BK10)+SUM($C14:BK14)</f>
        <v>276775760</v>
      </c>
      <c r="BL26" s="64">
        <f>SUM($C10:BL10)+SUM($C14:BL14)</f>
        <v>290212204</v>
      </c>
      <c r="BM26" s="64">
        <f>SUM($C10:BM10)+SUM($C14:BM14)</f>
        <v>302294092</v>
      </c>
      <c r="BN26" s="64">
        <f>SUM($C10:BN10)+SUM($C14:BN14)</f>
        <v>317028108</v>
      </c>
      <c r="BO26" s="64">
        <f>SUM($C10:BO10)+SUM($C14:BO14)</f>
        <v>333956727</v>
      </c>
      <c r="BP26" s="64">
        <f>SUM($C10:BP10)+SUM($C14:BP14)</f>
        <v>351387640</v>
      </c>
      <c r="BQ26" s="64">
        <f>SUM($C10:BQ10)+SUM($C14:BQ14)</f>
        <v>368632494</v>
      </c>
      <c r="BR26" s="64">
        <f>SUM($C10:BR10)+SUM($C14:BR14)</f>
        <v>389041778</v>
      </c>
      <c r="BS26" s="64">
        <f>SUM($C10:BS10)+SUM($C14:BS14)</f>
        <v>409274929</v>
      </c>
      <c r="BT26" s="64">
        <f>SUM($C10:BT10)+SUM($C14:BT14)</f>
        <v>428042661</v>
      </c>
      <c r="BU26" s="64">
        <f>SUM($C10:BU10)+SUM($C14:BU14)</f>
        <v>445164478</v>
      </c>
      <c r="BV26" s="64">
        <f>SUM($C10:BV10)+SUM($C14:BV14)</f>
        <v>460520285</v>
      </c>
      <c r="BW26" s="64">
        <f>SUM($C10:BW10)+SUM($C14:BW14)</f>
        <v>474087521</v>
      </c>
    </row>
    <row r="27" spans="1:75">
      <c r="A27" t="s">
        <v>309</v>
      </c>
      <c r="B27" s="104" t="s">
        <v>241</v>
      </c>
      <c r="C27" s="64">
        <f>SUM($C15:C15)+SUM($C19:C19)</f>
        <v>225412994</v>
      </c>
      <c r="D27" s="64">
        <f>SUM($C15:D15)+SUM($C19:D19)</f>
        <v>225412994</v>
      </c>
      <c r="E27" s="64">
        <f>SUM($C15:E15)+SUM($C19:E19)</f>
        <v>225412994</v>
      </c>
      <c r="F27" s="64">
        <f>SUM($C15:F15)+SUM($C19:F19)</f>
        <v>225412994</v>
      </c>
      <c r="G27" s="64">
        <f>SUM($C15:G15)+SUM($C19:G19)</f>
        <v>225412994</v>
      </c>
      <c r="H27" s="64">
        <f>SUM($C15:H15)+SUM($C19:H19)</f>
        <v>225412994</v>
      </c>
      <c r="I27" s="64">
        <f>SUM($C15:I15)+SUM($C19:I19)</f>
        <v>225412994</v>
      </c>
      <c r="J27" s="64">
        <f>SUM($C15:J15)+SUM($C19:J19)</f>
        <v>225412994</v>
      </c>
      <c r="K27" s="64">
        <f>SUM($C15:K15)+SUM($C19:K19)</f>
        <v>225412994</v>
      </c>
      <c r="L27" s="64">
        <f>SUM($C15:L15)+SUM($C19:L19)</f>
        <v>225412994</v>
      </c>
      <c r="M27" s="64">
        <f>SUM($C15:M15)+SUM($C19:M19)</f>
        <v>225412994</v>
      </c>
      <c r="N27" s="64">
        <f>SUM($C15:N15)+SUM($C19:N19)</f>
        <v>225412994</v>
      </c>
      <c r="O27" s="64">
        <f>SUM($C15:O15)+SUM($C19:O19)</f>
        <v>225412994</v>
      </c>
      <c r="P27" s="64">
        <f>SUM($C15:P15)+SUM($C19:P19)</f>
        <v>225412994</v>
      </c>
      <c r="Q27" s="64">
        <f>SUM($C15:Q15)+SUM($C19:Q19)</f>
        <v>225412994</v>
      </c>
      <c r="R27" s="64">
        <f>SUM($C15:R15)+SUM($C19:R19)</f>
        <v>225412994</v>
      </c>
      <c r="S27" s="64">
        <f>SUM($C15:S15)+SUM($C19:S19)</f>
        <v>225412994</v>
      </c>
      <c r="T27" s="64">
        <f>SUM($C15:T15)+SUM($C19:T19)</f>
        <v>225412994</v>
      </c>
      <c r="U27" s="64">
        <f>SUM($C15:U15)+SUM($C19:U19)</f>
        <v>225412994</v>
      </c>
      <c r="V27" s="64">
        <f>SUM($C15:V15)+SUM($C19:V19)</f>
        <v>225412994</v>
      </c>
      <c r="W27" s="64">
        <f>SUM($C15:W15)+SUM($C19:W19)</f>
        <v>225412994</v>
      </c>
      <c r="X27" s="64">
        <f>SUM($C15:X15)+SUM($C19:X19)</f>
        <v>225412994</v>
      </c>
      <c r="Y27" s="64">
        <f>SUM($C15:Y15)+SUM($C19:Y19)</f>
        <v>225412994</v>
      </c>
      <c r="Z27" s="64">
        <f>SUM($C15:Z15)+SUM($C19:Z19)</f>
        <v>225412994</v>
      </c>
      <c r="AA27" s="64">
        <f>SUM($C15:AA15)+SUM($C19:AA19)</f>
        <v>225412994</v>
      </c>
      <c r="AB27" s="64">
        <f>SUM($C15:AB15)+SUM($C19:AB19)</f>
        <v>225412994</v>
      </c>
      <c r="AC27" s="64">
        <f>SUM($C15:AC15)+SUM($C19:AC19)</f>
        <v>225412994</v>
      </c>
      <c r="AD27" s="64">
        <f>SUM($C15:AD15)+SUM($C19:AD19)</f>
        <v>225412994</v>
      </c>
      <c r="AE27" s="64">
        <f>SUM($C15:AE15)+SUM($C19:AE19)</f>
        <v>225412994</v>
      </c>
      <c r="AF27" s="64">
        <f>SUM($C15:AF15)+SUM($C19:AF19)</f>
        <v>225412994</v>
      </c>
      <c r="AG27" s="64">
        <f>SUM($C15:AG15)+SUM($C19:AG19)</f>
        <v>225412994</v>
      </c>
      <c r="AH27" s="64">
        <f>SUM($C15:AH15)+SUM($C19:AH19)</f>
        <v>225412994</v>
      </c>
      <c r="AI27" s="64">
        <f>SUM($C15:AI15)+SUM($C19:AI19)</f>
        <v>225412994</v>
      </c>
      <c r="AJ27" s="64">
        <f>SUM($C15:AJ15)+SUM($C19:AJ19)</f>
        <v>225412994</v>
      </c>
      <c r="AK27" s="64">
        <f>SUM($C15:AK15)+SUM($C19:AK19)</f>
        <v>225412994</v>
      </c>
      <c r="AL27" s="64">
        <f>SUM($C15:AL15)+SUM($C19:AL19)</f>
        <v>225412994</v>
      </c>
      <c r="AM27" s="64">
        <f>SUM($C15:AM15)+SUM($C19:AM19)</f>
        <v>225412994</v>
      </c>
      <c r="AN27" s="64">
        <f>SUM($C15:AN15)+SUM($C19:AN19)</f>
        <v>225412994</v>
      </c>
      <c r="AO27" s="64">
        <f>SUM($C15:AO15)+SUM($C19:AO19)</f>
        <v>225412994</v>
      </c>
      <c r="AP27" s="64">
        <f>SUM($C15:AP15)+SUM($C19:AP19)</f>
        <v>225412994</v>
      </c>
      <c r="AQ27" s="64">
        <f>SUM($C15:AQ15)+SUM($C19:AQ19)</f>
        <v>225412994</v>
      </c>
      <c r="AR27" s="64">
        <f>SUM($C15:AR15)+SUM($C19:AR19)</f>
        <v>225412994</v>
      </c>
      <c r="AS27" s="64">
        <f>SUM($C15:AS15)+SUM($C19:AS19)</f>
        <v>225412994</v>
      </c>
      <c r="AT27" s="64">
        <f>SUM($C15:AT15)+SUM($C19:AT19)</f>
        <v>225412994</v>
      </c>
      <c r="AU27" s="64">
        <f>SUM($C15:AU15)+SUM($C19:AU19)</f>
        <v>225412994</v>
      </c>
      <c r="AV27" s="64">
        <f>SUM($C15:AV15)+SUM($C19:AV19)</f>
        <v>225412994</v>
      </c>
      <c r="AW27" s="64">
        <f>SUM($C15:AW15)+SUM($C19:AW19)</f>
        <v>225412994</v>
      </c>
      <c r="AX27" s="64">
        <f>SUM($C15:AX15)+SUM($C19:AX19)</f>
        <v>225412994</v>
      </c>
      <c r="AY27" s="64">
        <f>SUM($C15:AY15)+SUM($C19:AY19)</f>
        <v>225412994</v>
      </c>
      <c r="AZ27" s="64">
        <f>SUM($C15:AZ15)+SUM($C19:AZ19)</f>
        <v>225412994</v>
      </c>
      <c r="BA27" s="64">
        <f>SUM($C15:BA15)+SUM($C19:BA19)</f>
        <v>225412994</v>
      </c>
      <c r="BB27" s="64">
        <f>SUM($C15:BB15)+SUM($C19:BB19)</f>
        <v>225412994</v>
      </c>
      <c r="BC27" s="64">
        <f>SUM($C15:BC15)+SUM($C19:BC19)</f>
        <v>225412994</v>
      </c>
      <c r="BD27" s="64">
        <f>SUM($C15:BD15)+SUM($C19:BD19)</f>
        <v>225412994</v>
      </c>
      <c r="BE27" s="64">
        <f>SUM($C15:BE15)+SUM($C19:BE19)</f>
        <v>225412994</v>
      </c>
      <c r="BF27" s="64">
        <f>SUM($C15:BF15)+SUM($C19:BF19)</f>
        <v>225412994</v>
      </c>
      <c r="BG27" s="64">
        <f>SUM($C15:BG15)+SUM($C19:BG19)</f>
        <v>225412994</v>
      </c>
      <c r="BH27" s="64">
        <f>SUM($C15:BH15)+SUM($C19:BH19)</f>
        <v>225412994</v>
      </c>
      <c r="BI27" s="64">
        <f>SUM($C15:BI15)+SUM($C19:BI19)</f>
        <v>225412994</v>
      </c>
      <c r="BJ27" s="64">
        <f>SUM($C15:BJ15)+SUM($C19:BJ19)</f>
        <v>225412994</v>
      </c>
      <c r="BK27" s="64">
        <f>SUM($C15:BK15)+SUM($C19:BK19)</f>
        <v>225412994</v>
      </c>
      <c r="BL27" s="64">
        <f>SUM($C15:BL15)+SUM($C19:BL19)</f>
        <v>225412994</v>
      </c>
      <c r="BM27" s="64">
        <f>SUM($C15:BM15)+SUM($C19:BM19)</f>
        <v>225412994</v>
      </c>
      <c r="BN27" s="64">
        <f>SUM($C15:BN15)+SUM($C19:BN19)</f>
        <v>225412994</v>
      </c>
      <c r="BO27" s="64">
        <f>SUM($C15:BO15)+SUM($C19:BO19)</f>
        <v>225412994</v>
      </c>
      <c r="BP27" s="64">
        <f>SUM($C15:BP15)+SUM($C19:BP19)</f>
        <v>225412994</v>
      </c>
      <c r="BQ27" s="64">
        <f>SUM($C15:BQ15)+SUM($C19:BQ19)</f>
        <v>225412994</v>
      </c>
      <c r="BR27" s="64">
        <f>SUM($C15:BR15)+SUM($C19:BR19)</f>
        <v>225412994</v>
      </c>
      <c r="BS27" s="64">
        <f>SUM($C15:BS15)+SUM($C19:BS19)</f>
        <v>225412994</v>
      </c>
      <c r="BT27" s="64">
        <f>SUM($C15:BT15)+SUM($C19:BT19)</f>
        <v>225412994</v>
      </c>
      <c r="BU27" s="64">
        <f>SUM($C15:BU15)+SUM($C19:BU19)</f>
        <v>225412994</v>
      </c>
      <c r="BV27" s="64">
        <f>SUM($C15:BV15)+SUM($C19:BV19)</f>
        <v>225412994</v>
      </c>
      <c r="BW27" s="64">
        <f>SUM($C15:BW15)+SUM($C19:BW19)</f>
        <v>225412994</v>
      </c>
    </row>
    <row r="28" spans="1:75">
      <c r="B28" s="104" t="s">
        <v>242</v>
      </c>
      <c r="C28" s="64">
        <f>SUM($C16:C16)+SUM($C20:C20)</f>
        <v>0</v>
      </c>
      <c r="D28" s="64">
        <f>SUM($C16:D16)+SUM($C20:D20)</f>
        <v>3020851</v>
      </c>
      <c r="E28" s="64">
        <f>SUM($C16:E16)+SUM($C20:E20)</f>
        <v>3223352</v>
      </c>
      <c r="F28" s="64">
        <f>SUM($C16:F16)+SUM($C20:F20)</f>
        <v>4167617</v>
      </c>
      <c r="G28" s="64">
        <f>SUM($C16:G16)+SUM($C20:G20)</f>
        <v>4692293</v>
      </c>
      <c r="H28" s="64">
        <f>SUM($C16:H16)+SUM($C20:H20)</f>
        <v>5065122</v>
      </c>
      <c r="I28" s="64">
        <f>SUM($C16:I16)+SUM($C20:I20)</f>
        <v>6417009</v>
      </c>
      <c r="J28" s="64">
        <f>SUM($C16:J16)+SUM($C20:J20)</f>
        <v>6729823</v>
      </c>
      <c r="K28" s="64">
        <f>SUM($C16:K16)+SUM($C20:K20)</f>
        <v>7223299</v>
      </c>
      <c r="L28" s="64">
        <f>SUM($C16:L16)+SUM($C20:L20)</f>
        <v>8235196</v>
      </c>
      <c r="M28" s="64">
        <f>SUM($C16:M16)+SUM($C20:M20)</f>
        <v>8493955</v>
      </c>
      <c r="N28" s="64">
        <f>SUM($C16:N16)+SUM($C20:N20)</f>
        <v>15464548</v>
      </c>
      <c r="O28" s="64">
        <f>SUM($C16:O16)+SUM($C20:O20)</f>
        <v>16729541</v>
      </c>
      <c r="P28" s="64">
        <f>SUM($C16:P16)+SUM($C20:P20)</f>
        <v>18570913</v>
      </c>
      <c r="Q28" s="64">
        <f>SUM($C16:Q16)+SUM($C20:Q20)</f>
        <v>21036689</v>
      </c>
      <c r="R28" s="64">
        <f>SUM($C16:R16)+SUM($C20:R20)</f>
        <v>25678022</v>
      </c>
      <c r="S28" s="64">
        <f>SUM($C16:S16)+SUM($C20:S20)</f>
        <v>33264924</v>
      </c>
      <c r="T28" s="64">
        <f>SUM($C16:T16)+SUM($C20:T20)</f>
        <v>38504502</v>
      </c>
      <c r="U28" s="64">
        <f>SUM($C16:U16)+SUM($C20:U20)</f>
        <v>42738604</v>
      </c>
      <c r="V28" s="64">
        <f>SUM($C16:V16)+SUM($C20:V20)</f>
        <v>50143846</v>
      </c>
      <c r="W28" s="64">
        <f>SUM($C16:W16)+SUM($C20:W20)</f>
        <v>55753521</v>
      </c>
      <c r="X28" s="64">
        <f>SUM($C16:X16)+SUM($C20:X20)</f>
        <v>74049598</v>
      </c>
      <c r="Y28" s="64">
        <f>SUM($C16:Y16)+SUM($C20:Y20)</f>
        <v>81228374</v>
      </c>
      <c r="Z28" s="64">
        <f>SUM($C16:Z16)+SUM($C20:Z20)</f>
        <v>94093229</v>
      </c>
      <c r="AA28" s="64">
        <f>SUM($C16:AA16)+SUM($C20:AA20)</f>
        <v>105113688</v>
      </c>
      <c r="AB28" s="64">
        <f>SUM($C16:AB16)+SUM($C20:AB20)</f>
        <v>112899060</v>
      </c>
      <c r="AC28" s="64">
        <f>SUM($C16:AC16)+SUM($C20:AC20)</f>
        <v>121668969</v>
      </c>
      <c r="AD28" s="64">
        <f>SUM($C16:AD16)+SUM($C20:AD20)</f>
        <v>128156300</v>
      </c>
      <c r="AE28" s="64">
        <f>SUM($C16:AE16)+SUM($C20:AE20)</f>
        <v>130941559</v>
      </c>
      <c r="AF28" s="64">
        <f>SUM($C16:AF16)+SUM($C20:AF20)</f>
        <v>136222330</v>
      </c>
      <c r="AG28" s="64">
        <f>SUM($C16:AG16)+SUM($C20:AG20)</f>
        <v>141240396</v>
      </c>
      <c r="AH28" s="64">
        <f>SUM($C16:AH16)+SUM($C20:AH20)</f>
        <v>141240396</v>
      </c>
      <c r="AI28" s="64">
        <f>SUM($C16:AI16)+SUM($C20:AI20)</f>
        <v>141240396</v>
      </c>
      <c r="AJ28" s="64">
        <f>SUM($C16:AJ16)+SUM($C20:AJ20)</f>
        <v>141240396</v>
      </c>
      <c r="AK28" s="64">
        <f>SUM($C16:AK16)+SUM($C20:AK20)</f>
        <v>141240396</v>
      </c>
      <c r="AL28" s="64">
        <f>SUM($C16:AL16)+SUM($C20:AL20)</f>
        <v>141240396</v>
      </c>
      <c r="AM28" s="64">
        <f>SUM($C16:AM16)+SUM($C20:AM20)</f>
        <v>141240396</v>
      </c>
      <c r="AN28" s="64">
        <f>SUM($C16:AN16)+SUM($C20:AN20)</f>
        <v>141240396</v>
      </c>
      <c r="AO28" s="64">
        <f>SUM($C16:AO16)+SUM($C20:AO20)</f>
        <v>141240396</v>
      </c>
      <c r="AP28" s="64">
        <f>SUM($C16:AP16)+SUM($C20:AP20)</f>
        <v>141240396</v>
      </c>
      <c r="AQ28" s="64">
        <f>SUM($C16:AQ16)+SUM($C20:AQ20)</f>
        <v>141240396</v>
      </c>
      <c r="AR28" s="64">
        <f>SUM($C16:AR16)+SUM($C20:AR20)</f>
        <v>141240396</v>
      </c>
      <c r="AS28" s="64">
        <f>SUM($C16:AS16)+SUM($C20:AS20)</f>
        <v>141240396</v>
      </c>
      <c r="AT28" s="64">
        <f>SUM($C16:AT16)+SUM($C20:AT20)</f>
        <v>141240396</v>
      </c>
      <c r="AU28" s="64">
        <f>SUM($C16:AU16)+SUM($C20:AU20)</f>
        <v>141240396</v>
      </c>
      <c r="AV28" s="64">
        <f>SUM($C16:AV16)+SUM($C20:AV20)</f>
        <v>141240396</v>
      </c>
      <c r="AW28" s="64">
        <f>SUM($C16:AW16)+SUM($C20:AW20)</f>
        <v>141240396</v>
      </c>
      <c r="AX28" s="64">
        <f>SUM($C16:AX16)+SUM($C20:AX20)</f>
        <v>141240396</v>
      </c>
      <c r="AY28" s="64">
        <f>SUM($C16:AY16)+SUM($C20:AY20)</f>
        <v>141240396</v>
      </c>
      <c r="AZ28" s="64">
        <f>SUM($C16:AZ16)+SUM($C20:AZ20)</f>
        <v>141240396</v>
      </c>
      <c r="BA28" s="64">
        <f>SUM($C16:BA16)+SUM($C20:BA20)</f>
        <v>141240396</v>
      </c>
      <c r="BB28" s="64">
        <f>SUM($C16:BB16)+SUM($C20:BB20)</f>
        <v>141240396</v>
      </c>
      <c r="BC28" s="64">
        <f>SUM($C16:BC16)+SUM($C20:BC20)</f>
        <v>141240396</v>
      </c>
      <c r="BD28" s="64">
        <f>SUM($C16:BD16)+SUM($C20:BD20)</f>
        <v>141240396</v>
      </c>
      <c r="BE28" s="64">
        <f>SUM($C16:BE16)+SUM($C20:BE20)</f>
        <v>141240396</v>
      </c>
      <c r="BF28" s="64">
        <f>SUM($C16:BF16)+SUM($C20:BF20)</f>
        <v>141240396</v>
      </c>
      <c r="BG28" s="64">
        <f>SUM($C16:BG16)+SUM($C20:BG20)</f>
        <v>141240396</v>
      </c>
      <c r="BH28" s="64">
        <f>SUM($C16:BH16)+SUM($C20:BH20)</f>
        <v>141240396</v>
      </c>
      <c r="BI28" s="64">
        <f>SUM($C16:BI16)+SUM($C20:BI20)</f>
        <v>141240396</v>
      </c>
      <c r="BJ28" s="64">
        <f>SUM($C16:BJ16)+SUM($C20:BJ20)</f>
        <v>141240396</v>
      </c>
      <c r="BK28" s="64">
        <f>SUM($C16:BK16)+SUM($C20:BK20)</f>
        <v>141240396</v>
      </c>
      <c r="BL28" s="64">
        <f>SUM($C16:BL16)+SUM($C20:BL20)</f>
        <v>141240396</v>
      </c>
      <c r="BM28" s="64">
        <f>SUM($C16:BM16)+SUM($C20:BM20)</f>
        <v>141240396</v>
      </c>
      <c r="BN28" s="64">
        <f>SUM($C16:BN16)+SUM($C20:BN20)</f>
        <v>141240396</v>
      </c>
      <c r="BO28" s="64">
        <f>SUM($C16:BO16)+SUM($C20:BO20)</f>
        <v>141240396</v>
      </c>
      <c r="BP28" s="64">
        <f>SUM($C16:BP16)+SUM($C20:BP20)</f>
        <v>141240396</v>
      </c>
      <c r="BQ28" s="64">
        <f>SUM($C16:BQ16)+SUM($C20:BQ20)</f>
        <v>141240396</v>
      </c>
      <c r="BR28" s="64">
        <f>SUM($C16:BR16)+SUM($C20:BR20)</f>
        <v>141240396</v>
      </c>
      <c r="BS28" s="64">
        <f>SUM($C16:BS16)+SUM($C20:BS20)</f>
        <v>141240396</v>
      </c>
      <c r="BT28" s="64">
        <f>SUM($C16:BT16)+SUM($C20:BT20)</f>
        <v>141240396</v>
      </c>
      <c r="BU28" s="64">
        <f>SUM($C16:BU16)+SUM($C20:BU20)</f>
        <v>141240396</v>
      </c>
      <c r="BV28" s="64">
        <f>SUM($C16:BV16)+SUM($C20:BV20)</f>
        <v>141240396</v>
      </c>
      <c r="BW28" s="64">
        <f>SUM($C16:BW16)+SUM($C20:BW20)</f>
        <v>141240396</v>
      </c>
    </row>
    <row r="29" spans="1:75">
      <c r="B29" s="104" t="s">
        <v>243</v>
      </c>
      <c r="C29" s="64">
        <f>SUM($C17:C17)+SUM($C21:C21)</f>
        <v>0</v>
      </c>
      <c r="D29" s="64">
        <f>SUM($C17:D17)+SUM($C21:D21)</f>
        <v>0</v>
      </c>
      <c r="E29" s="64">
        <f>SUM($C17:E17)+SUM($C21:E21)</f>
        <v>0</v>
      </c>
      <c r="F29" s="64">
        <f>SUM($C17:F17)+SUM($C21:F21)</f>
        <v>0</v>
      </c>
      <c r="G29" s="64">
        <f>SUM($C17:G17)+SUM($C21:G21)</f>
        <v>0</v>
      </c>
      <c r="H29" s="64">
        <f>SUM($C17:H17)+SUM($C21:H21)</f>
        <v>0</v>
      </c>
      <c r="I29" s="64">
        <f>SUM($C17:I17)+SUM($C21:I21)</f>
        <v>0</v>
      </c>
      <c r="J29" s="64">
        <f>SUM($C17:J17)+SUM($C21:J21)</f>
        <v>0</v>
      </c>
      <c r="K29" s="64">
        <f>SUM($C17:K17)+SUM($C21:K21)</f>
        <v>0</v>
      </c>
      <c r="L29" s="64">
        <f>SUM($C17:L17)+SUM($C21:L21)</f>
        <v>0</v>
      </c>
      <c r="M29" s="64">
        <f>SUM($C17:M17)+SUM($C21:M21)</f>
        <v>0</v>
      </c>
      <c r="N29" s="64">
        <f>SUM($C17:N17)+SUM($C21:N21)</f>
        <v>0</v>
      </c>
      <c r="O29" s="64">
        <f>SUM($C17:O17)+SUM($C21:O21)</f>
        <v>0</v>
      </c>
      <c r="P29" s="64">
        <f>SUM($C17:P17)+SUM($C21:P21)</f>
        <v>0</v>
      </c>
      <c r="Q29" s="64">
        <f>SUM($C17:Q17)+SUM($C21:Q21)</f>
        <v>0</v>
      </c>
      <c r="R29" s="64">
        <f>SUM($C17:R17)+SUM($C21:R21)</f>
        <v>0</v>
      </c>
      <c r="S29" s="64">
        <f>SUM($C17:S17)+SUM($C21:S21)</f>
        <v>0</v>
      </c>
      <c r="T29" s="64">
        <f>SUM($C17:T17)+SUM($C21:T21)</f>
        <v>0</v>
      </c>
      <c r="U29" s="64">
        <f>SUM($C17:U17)+SUM($C21:U21)</f>
        <v>0</v>
      </c>
      <c r="V29" s="64">
        <f>SUM($C17:V17)+SUM($C21:V21)</f>
        <v>0</v>
      </c>
      <c r="W29" s="64">
        <f>SUM($C17:W17)+SUM($C21:W21)</f>
        <v>0</v>
      </c>
      <c r="X29" s="64">
        <f>SUM($C17:X17)+SUM($C21:X21)</f>
        <v>0</v>
      </c>
      <c r="Y29" s="64">
        <f>SUM($C17:Y17)+SUM($C21:Y21)</f>
        <v>0</v>
      </c>
      <c r="Z29" s="64">
        <f>SUM($C17:Z17)+SUM($C21:Z21)</f>
        <v>0</v>
      </c>
      <c r="AA29" s="64">
        <f>SUM($C17:AA17)+SUM($C21:AA21)</f>
        <v>0</v>
      </c>
      <c r="AB29" s="64">
        <f>SUM($C17:AB17)+SUM($C21:AB21)</f>
        <v>0</v>
      </c>
      <c r="AC29" s="64">
        <f>SUM($C17:AC17)+SUM($C21:AC21)</f>
        <v>0</v>
      </c>
      <c r="AD29" s="64">
        <f>SUM($C17:AD17)+SUM($C21:AD21)</f>
        <v>0</v>
      </c>
      <c r="AE29" s="64">
        <f>SUM($C17:AE17)+SUM($C21:AE21)</f>
        <v>0</v>
      </c>
      <c r="AF29" s="64">
        <f>SUM($C17:AF17)+SUM($C21:AF21)</f>
        <v>0</v>
      </c>
      <c r="AG29" s="64">
        <f>SUM($C17:AG17)+SUM($C21:AG21)</f>
        <v>0</v>
      </c>
      <c r="AH29" s="64">
        <f>SUM($C17:AH17)+SUM($C21:AH21)</f>
        <v>8613608</v>
      </c>
      <c r="AI29" s="64">
        <f>SUM($C17:AI17)+SUM($C21:AI21)</f>
        <v>13738641</v>
      </c>
      <c r="AJ29" s="64">
        <f>SUM($C17:AJ17)+SUM($C21:AJ21)</f>
        <v>20266853</v>
      </c>
      <c r="AK29" s="64">
        <f>SUM($C17:AK17)+SUM($C21:AK21)</f>
        <v>27143965</v>
      </c>
      <c r="AL29" s="64">
        <f>SUM($C17:AL17)+SUM($C21:AL21)</f>
        <v>37685157</v>
      </c>
      <c r="AM29" s="64">
        <f>SUM($C17:AM17)+SUM($C21:AM21)</f>
        <v>51559211</v>
      </c>
      <c r="AN29" s="64">
        <f>SUM($C17:AN17)+SUM($C21:AN21)</f>
        <v>68205775</v>
      </c>
      <c r="AO29" s="64">
        <f>SUM($C17:AO17)+SUM($C21:AO21)</f>
        <v>86750222</v>
      </c>
      <c r="AP29" s="64">
        <f>SUM($C17:AP17)+SUM($C21:AP21)</f>
        <v>103453454</v>
      </c>
      <c r="AQ29" s="64">
        <f>SUM($C17:AQ17)+SUM($C21:AQ21)</f>
        <v>114231990</v>
      </c>
      <c r="AR29" s="64">
        <f>SUM($C17:AR17)+SUM($C21:AR21)</f>
        <v>117673610</v>
      </c>
      <c r="AS29" s="64">
        <f>SUM($C17:AS17)+SUM($C21:AS21)</f>
        <v>119112979</v>
      </c>
      <c r="AT29" s="64">
        <f>SUM($C17:AT17)+SUM($C21:AT21)</f>
        <v>120908082</v>
      </c>
      <c r="AU29" s="64">
        <f>SUM($C17:AU17)+SUM($C21:AU21)</f>
        <v>122565839</v>
      </c>
      <c r="AV29" s="64">
        <f>SUM($C17:AV17)+SUM($C21:AV21)</f>
        <v>125443982</v>
      </c>
      <c r="AW29" s="64">
        <f>SUM($C17:AW17)+SUM($C21:AW21)</f>
        <v>128555490</v>
      </c>
      <c r="AX29" s="64">
        <f>SUM($C17:AX17)+SUM($C21:AX21)</f>
        <v>131370216</v>
      </c>
      <c r="AY29" s="64">
        <f>SUM($C17:AY17)+SUM($C21:AY21)</f>
        <v>133340276</v>
      </c>
      <c r="AZ29" s="64">
        <f>SUM($C17:AZ17)+SUM($C21:AZ21)</f>
        <v>137478532</v>
      </c>
      <c r="BA29" s="64">
        <f>SUM($C17:BA17)+SUM($C21:BA21)</f>
        <v>141879776</v>
      </c>
      <c r="BB29" s="64">
        <f>SUM($C17:BB17)+SUM($C21:BB21)</f>
        <v>141879776</v>
      </c>
      <c r="BC29" s="64">
        <f>SUM($C17:BC17)+SUM($C21:BC21)</f>
        <v>141879776</v>
      </c>
      <c r="BD29" s="64">
        <f>SUM($C17:BD17)+SUM($C21:BD21)</f>
        <v>141879776</v>
      </c>
      <c r="BE29" s="64">
        <f>SUM($C17:BE17)+SUM($C21:BE21)</f>
        <v>141879776</v>
      </c>
      <c r="BF29" s="64">
        <f>SUM($C17:BF17)+SUM($C21:BF21)</f>
        <v>141879776</v>
      </c>
      <c r="BG29" s="64">
        <f>SUM($C17:BG17)+SUM($C21:BG21)</f>
        <v>141879776</v>
      </c>
      <c r="BH29" s="64">
        <f>SUM($C17:BH17)+SUM($C21:BH21)</f>
        <v>141879776</v>
      </c>
      <c r="BI29" s="64">
        <f>SUM($C17:BI17)+SUM($C21:BI21)</f>
        <v>141879776</v>
      </c>
      <c r="BJ29" s="64">
        <f>SUM($C17:BJ17)+SUM($C21:BJ21)</f>
        <v>141879776</v>
      </c>
      <c r="BK29" s="64">
        <f>SUM($C17:BK17)+SUM($C21:BK21)</f>
        <v>141879776</v>
      </c>
      <c r="BL29" s="64">
        <f>SUM($C17:BL17)+SUM($C21:BL21)</f>
        <v>141879776</v>
      </c>
      <c r="BM29" s="64">
        <f>SUM($C17:BM17)+SUM($C21:BM21)</f>
        <v>141879776</v>
      </c>
      <c r="BN29" s="64">
        <f>SUM($C17:BN17)+SUM($C21:BN21)</f>
        <v>141879776</v>
      </c>
      <c r="BO29" s="64">
        <f>SUM($C17:BO17)+SUM($C21:BO21)</f>
        <v>141879776</v>
      </c>
      <c r="BP29" s="64">
        <f>SUM($C17:BP17)+SUM($C21:BP21)</f>
        <v>141879776</v>
      </c>
      <c r="BQ29" s="64">
        <f>SUM($C17:BQ17)+SUM($C21:BQ21)</f>
        <v>141879776</v>
      </c>
      <c r="BR29" s="64">
        <f>SUM($C17:BR17)+SUM($C21:BR21)</f>
        <v>141879776</v>
      </c>
      <c r="BS29" s="64">
        <f>SUM($C17:BS17)+SUM($C21:BS21)</f>
        <v>141879776</v>
      </c>
      <c r="BT29" s="64">
        <f>SUM($C17:BT17)+SUM($C21:BT21)</f>
        <v>141879776</v>
      </c>
      <c r="BU29" s="64">
        <f>SUM($C17:BU17)+SUM($C21:BU21)</f>
        <v>141879776</v>
      </c>
      <c r="BV29" s="64">
        <f>SUM($C17:BV17)+SUM($C21:BV21)</f>
        <v>141879776</v>
      </c>
      <c r="BW29" s="64">
        <f>SUM($C17:BW17)+SUM($C21:BW21)</f>
        <v>141879776</v>
      </c>
    </row>
    <row r="30" spans="1:75">
      <c r="B30" s="104" t="s">
        <v>244</v>
      </c>
      <c r="C30" s="64">
        <f>SUM($C18:C18)+SUM($C22:C22)</f>
        <v>0</v>
      </c>
      <c r="D30" s="64">
        <f>SUM($C18:D18)+SUM($C22:D22)</f>
        <v>0</v>
      </c>
      <c r="E30" s="64">
        <f>SUM($C18:E18)+SUM($C22:E22)</f>
        <v>0</v>
      </c>
      <c r="F30" s="64">
        <f>SUM($C18:F18)+SUM($C22:F22)</f>
        <v>0</v>
      </c>
      <c r="G30" s="64">
        <f>SUM($C18:G18)+SUM($C22:G22)</f>
        <v>0</v>
      </c>
      <c r="H30" s="64">
        <f>SUM($C18:H18)+SUM($C22:H22)</f>
        <v>0</v>
      </c>
      <c r="I30" s="64">
        <f>SUM($C18:I18)+SUM($C22:I22)</f>
        <v>0</v>
      </c>
      <c r="J30" s="64">
        <f>SUM($C18:J18)+SUM($C22:J22)</f>
        <v>0</v>
      </c>
      <c r="K30" s="64">
        <f>SUM($C18:K18)+SUM($C22:K22)</f>
        <v>0</v>
      </c>
      <c r="L30" s="64">
        <f>SUM($C18:L18)+SUM($C22:L22)</f>
        <v>0</v>
      </c>
      <c r="M30" s="64">
        <f>SUM($C18:M18)+SUM($C22:M22)</f>
        <v>0</v>
      </c>
      <c r="N30" s="64">
        <f>SUM($C18:N18)+SUM($C22:N22)</f>
        <v>0</v>
      </c>
      <c r="O30" s="64">
        <f>SUM($C18:O18)+SUM($C22:O22)</f>
        <v>0</v>
      </c>
      <c r="P30" s="64">
        <f>SUM($C18:P18)+SUM($C22:P22)</f>
        <v>0</v>
      </c>
      <c r="Q30" s="64">
        <f>SUM($C18:Q18)+SUM($C22:Q22)</f>
        <v>0</v>
      </c>
      <c r="R30" s="64">
        <f>SUM($C18:R18)+SUM($C22:R22)</f>
        <v>0</v>
      </c>
      <c r="S30" s="64">
        <f>SUM($C18:S18)+SUM($C22:S22)</f>
        <v>0</v>
      </c>
      <c r="T30" s="64">
        <f>SUM($C18:T18)+SUM($C22:T22)</f>
        <v>0</v>
      </c>
      <c r="U30" s="64">
        <f>SUM($C18:U18)+SUM($C22:U22)</f>
        <v>0</v>
      </c>
      <c r="V30" s="64">
        <f>SUM($C18:V18)+SUM($C22:V22)</f>
        <v>0</v>
      </c>
      <c r="W30" s="64">
        <f>SUM($C18:W18)+SUM($C22:W22)</f>
        <v>0</v>
      </c>
      <c r="X30" s="64">
        <f>SUM($C18:X18)+SUM($C22:X22)</f>
        <v>0</v>
      </c>
      <c r="Y30" s="64">
        <f>SUM($C18:Y18)+SUM($C22:Y22)</f>
        <v>0</v>
      </c>
      <c r="Z30" s="64">
        <f>SUM($C18:Z18)+SUM($C22:Z22)</f>
        <v>0</v>
      </c>
      <c r="AA30" s="64">
        <f>SUM($C18:AA18)+SUM($C22:AA22)</f>
        <v>0</v>
      </c>
      <c r="AB30" s="64">
        <f>SUM($C18:AB18)+SUM($C22:AB22)</f>
        <v>0</v>
      </c>
      <c r="AC30" s="64">
        <f>SUM($C18:AC18)+SUM($C22:AC22)</f>
        <v>0</v>
      </c>
      <c r="AD30" s="64">
        <f>SUM($C18:AD18)+SUM($C22:AD22)</f>
        <v>0</v>
      </c>
      <c r="AE30" s="64">
        <f>SUM($C18:AE18)+SUM($C22:AE22)</f>
        <v>0</v>
      </c>
      <c r="AF30" s="64">
        <f>SUM($C18:AF18)+SUM($C22:AF22)</f>
        <v>0</v>
      </c>
      <c r="AG30" s="64">
        <f>SUM($C18:AG18)+SUM($C22:AG22)</f>
        <v>0</v>
      </c>
      <c r="AH30" s="64">
        <f>SUM($C18:AH18)+SUM($C22:AH22)</f>
        <v>0</v>
      </c>
      <c r="AI30" s="64">
        <f>SUM($C18:AI18)+SUM($C22:AI22)</f>
        <v>0</v>
      </c>
      <c r="AJ30" s="64">
        <f>SUM($C18:AJ18)+SUM($C22:AJ22)</f>
        <v>0</v>
      </c>
      <c r="AK30" s="64">
        <f>SUM($C18:AK18)+SUM($C22:AK22)</f>
        <v>0</v>
      </c>
      <c r="AL30" s="64">
        <f>SUM($C18:AL18)+SUM($C22:AL22)</f>
        <v>0</v>
      </c>
      <c r="AM30" s="64">
        <f>SUM($C18:AM18)+SUM($C22:AM22)</f>
        <v>0</v>
      </c>
      <c r="AN30" s="64">
        <f>SUM($C18:AN18)+SUM($C22:AN22)</f>
        <v>0</v>
      </c>
      <c r="AO30" s="64">
        <f>SUM($C18:AO18)+SUM($C22:AO22)</f>
        <v>0</v>
      </c>
      <c r="AP30" s="64">
        <f>SUM($C18:AP18)+SUM($C22:AP22)</f>
        <v>0</v>
      </c>
      <c r="AQ30" s="64">
        <f>SUM($C18:AQ18)+SUM($C22:AQ22)</f>
        <v>0</v>
      </c>
      <c r="AR30" s="64">
        <f>SUM($C18:AR18)+SUM($C22:AR22)</f>
        <v>0</v>
      </c>
      <c r="AS30" s="64">
        <f>SUM($C18:AS18)+SUM($C22:AS22)</f>
        <v>0</v>
      </c>
      <c r="AT30" s="64">
        <f>SUM($C18:AT18)+SUM($C22:AT22)</f>
        <v>0</v>
      </c>
      <c r="AU30" s="64">
        <f>SUM($C18:AU18)+SUM($C22:AU22)</f>
        <v>0</v>
      </c>
      <c r="AV30" s="64">
        <f>SUM($C18:AV18)+SUM($C22:AV22)</f>
        <v>0</v>
      </c>
      <c r="AW30" s="64">
        <f>SUM($C18:AW18)+SUM($C22:AW22)</f>
        <v>0</v>
      </c>
      <c r="AX30" s="64">
        <f>SUM($C18:AX18)+SUM($C22:AX22)</f>
        <v>0</v>
      </c>
      <c r="AY30" s="64">
        <f>SUM($C18:AY18)+SUM($C22:AY22)</f>
        <v>0</v>
      </c>
      <c r="AZ30" s="64">
        <f>SUM($C18:AZ18)+SUM($C22:AZ22)</f>
        <v>0</v>
      </c>
      <c r="BA30" s="64">
        <f>SUM($C18:BA18)+SUM($C22:BA22)</f>
        <v>0</v>
      </c>
      <c r="BB30" s="64">
        <f>SUM($C18:BB18)+SUM($C22:BB22)</f>
        <v>5867993</v>
      </c>
      <c r="BC30" s="64">
        <f>SUM($C18:BC18)+SUM($C22:BC22)</f>
        <v>10351795</v>
      </c>
      <c r="BD30" s="64">
        <f>SUM($C18:BD18)+SUM($C22:BD22)</f>
        <v>17725513</v>
      </c>
      <c r="BE30" s="64">
        <f>SUM($C18:BE18)+SUM($C22:BE22)</f>
        <v>27107392</v>
      </c>
      <c r="BF30" s="64">
        <f>SUM($C18:BF18)+SUM($C22:BF22)</f>
        <v>40999597</v>
      </c>
      <c r="BG30" s="64">
        <f>SUM($C18:BG18)+SUM($C22:BG22)</f>
        <v>55045201</v>
      </c>
      <c r="BH30" s="64">
        <f>SUM($C18:BH18)+SUM($C22:BH22)</f>
        <v>71090823</v>
      </c>
      <c r="BI30" s="64">
        <f>SUM($C18:BI18)+SUM($C22:BI22)</f>
        <v>81160124</v>
      </c>
      <c r="BJ30" s="64">
        <f>SUM($C18:BJ18)+SUM($C22:BJ22)</f>
        <v>87591346</v>
      </c>
      <c r="BK30" s="64">
        <f>SUM($C18:BK18)+SUM($C22:BK22)</f>
        <v>91128046</v>
      </c>
      <c r="BL30" s="64">
        <f>SUM($C18:BL18)+SUM($C22:BL22)</f>
        <v>97034500</v>
      </c>
      <c r="BM30" s="64">
        <f>SUM($C18:BM18)+SUM($C22:BM22)</f>
        <v>102903996</v>
      </c>
      <c r="BN30" s="64">
        <f>SUM($C18:BN18)+SUM($C22:BN22)</f>
        <v>111349113</v>
      </c>
      <c r="BO30" s="64">
        <f>SUM($C18:BO18)+SUM($C22:BO22)</f>
        <v>125283773</v>
      </c>
      <c r="BP30" s="64">
        <f>SUM($C18:BP18)+SUM($C22:BP22)</f>
        <v>135439344</v>
      </c>
      <c r="BQ30" s="64">
        <f>SUM($C18:BQ18)+SUM($C22:BQ22)</f>
        <v>147029768</v>
      </c>
      <c r="BR30" s="64">
        <f>SUM($C18:BR18)+SUM($C22:BR22)</f>
        <v>159209006</v>
      </c>
      <c r="BS30" s="64">
        <f>SUM($C18:BS18)+SUM($C22:BS22)</f>
        <v>171619674</v>
      </c>
      <c r="BT30" s="64">
        <f>SUM($C18:BT18)+SUM($C22:BT22)</f>
        <v>187998426</v>
      </c>
      <c r="BU30" s="64">
        <f>SUM($C18:BU18)+SUM($C22:BU22)</f>
        <v>203018997</v>
      </c>
      <c r="BV30" s="64">
        <f>SUM($C18:BV18)+SUM($C22:BV22)</f>
        <v>220323744</v>
      </c>
      <c r="BW30" s="64">
        <f>SUM($C18:BW18)+SUM($C22:BW22)</f>
        <v>229217350</v>
      </c>
    </row>
    <row r="31" spans="1:75">
      <c r="A31" t="s">
        <v>305</v>
      </c>
      <c r="B31" s="107" t="s">
        <v>306</v>
      </c>
      <c r="C31" s="64">
        <f>SUM(C23:C30)</f>
        <v>1694568285</v>
      </c>
      <c r="D31" s="64">
        <f t="shared" ref="D31:BO31" si="0">SUM(D23:D30)</f>
        <v>1777834882</v>
      </c>
      <c r="E31" s="64">
        <f t="shared" si="0"/>
        <v>1799506528</v>
      </c>
      <c r="F31" s="64">
        <f t="shared" si="0"/>
        <v>1831728255</v>
      </c>
      <c r="G31" s="64">
        <f t="shared" si="0"/>
        <v>1859848095</v>
      </c>
      <c r="H31" s="64">
        <f t="shared" si="0"/>
        <v>1890374060</v>
      </c>
      <c r="I31" s="64">
        <f t="shared" si="0"/>
        <v>1948079686</v>
      </c>
      <c r="J31" s="64">
        <f t="shared" si="0"/>
        <v>1980102738</v>
      </c>
      <c r="K31" s="64">
        <f t="shared" si="0"/>
        <v>2007918903</v>
      </c>
      <c r="L31" s="64">
        <f t="shared" si="0"/>
        <v>2037955332</v>
      </c>
      <c r="M31" s="64">
        <f t="shared" si="0"/>
        <v>2062200579</v>
      </c>
      <c r="N31" s="64">
        <f t="shared" si="0"/>
        <v>2136551738</v>
      </c>
      <c r="O31" s="64">
        <f t="shared" si="0"/>
        <v>2161118398</v>
      </c>
      <c r="P31" s="64">
        <f t="shared" si="0"/>
        <v>2192958960</v>
      </c>
      <c r="Q31" s="64">
        <f t="shared" si="0"/>
        <v>2223252554</v>
      </c>
      <c r="R31" s="64">
        <f t="shared" si="0"/>
        <v>2256379898</v>
      </c>
      <c r="S31" s="64">
        <f t="shared" si="0"/>
        <v>2306859021</v>
      </c>
      <c r="T31" s="64">
        <f t="shared" si="0"/>
        <v>2339713028</v>
      </c>
      <c r="U31" s="64">
        <f t="shared" si="0"/>
        <v>2370379043</v>
      </c>
      <c r="V31" s="64">
        <f t="shared" si="0"/>
        <v>2409283124</v>
      </c>
      <c r="W31" s="64">
        <f t="shared" si="0"/>
        <v>2440655208</v>
      </c>
      <c r="X31" s="64">
        <f t="shared" si="0"/>
        <v>2498488820</v>
      </c>
      <c r="Y31" s="64">
        <f t="shared" si="0"/>
        <v>2531552754</v>
      </c>
      <c r="Z31" s="64">
        <f t="shared" si="0"/>
        <v>2580057295</v>
      </c>
      <c r="AA31" s="64">
        <f t="shared" si="0"/>
        <v>2622093397</v>
      </c>
      <c r="AB31" s="64">
        <f t="shared" si="0"/>
        <v>2655685235</v>
      </c>
      <c r="AC31" s="64">
        <f t="shared" si="0"/>
        <v>2689312840</v>
      </c>
      <c r="AD31" s="64">
        <f t="shared" si="0"/>
        <v>2721471720</v>
      </c>
      <c r="AE31" s="64">
        <f t="shared" si="0"/>
        <v>2749896845</v>
      </c>
      <c r="AF31" s="64">
        <f t="shared" si="0"/>
        <v>2784143361</v>
      </c>
      <c r="AG31" s="64">
        <f t="shared" si="0"/>
        <v>2813801038</v>
      </c>
      <c r="AH31" s="64">
        <f t="shared" si="0"/>
        <v>2846097394</v>
      </c>
      <c r="AI31" s="64">
        <f t="shared" si="0"/>
        <v>2870667126</v>
      </c>
      <c r="AJ31" s="64">
        <f t="shared" si="0"/>
        <v>2894184052</v>
      </c>
      <c r="AK31" s="64">
        <f t="shared" si="0"/>
        <v>2928860457</v>
      </c>
      <c r="AL31" s="64">
        <f t="shared" si="0"/>
        <v>2974871583</v>
      </c>
      <c r="AM31" s="64">
        <f t="shared" si="0"/>
        <v>3032963558</v>
      </c>
      <c r="AN31" s="64">
        <f t="shared" si="0"/>
        <v>3096851453</v>
      </c>
      <c r="AO31" s="64">
        <f t="shared" si="0"/>
        <v>3162238448</v>
      </c>
      <c r="AP31" s="64">
        <f t="shared" si="0"/>
        <v>3221685847</v>
      </c>
      <c r="AQ31" s="64">
        <f t="shared" si="0"/>
        <v>3266553881</v>
      </c>
      <c r="AR31" s="64">
        <f t="shared" si="0"/>
        <v>3295478334</v>
      </c>
      <c r="AS31" s="64">
        <f t="shared" si="0"/>
        <v>3320085982</v>
      </c>
      <c r="AT31" s="64">
        <f t="shared" si="0"/>
        <v>3352639942</v>
      </c>
      <c r="AU31" s="64">
        <f t="shared" si="0"/>
        <v>3388685792</v>
      </c>
      <c r="AV31" s="64">
        <f t="shared" si="0"/>
        <v>3429009639</v>
      </c>
      <c r="AW31" s="64">
        <f t="shared" si="0"/>
        <v>3465569195</v>
      </c>
      <c r="AX31" s="64">
        <f t="shared" si="0"/>
        <v>3502677707</v>
      </c>
      <c r="AY31" s="64">
        <f t="shared" si="0"/>
        <v>3540982275</v>
      </c>
      <c r="AZ31" s="64">
        <f t="shared" si="0"/>
        <v>3583477337</v>
      </c>
      <c r="BA31" s="64">
        <f t="shared" si="0"/>
        <v>3625787501</v>
      </c>
      <c r="BB31" s="64">
        <f t="shared" si="0"/>
        <v>3667945986</v>
      </c>
      <c r="BC31" s="64">
        <f t="shared" si="0"/>
        <v>3706819931</v>
      </c>
      <c r="BD31" s="64">
        <f t="shared" si="0"/>
        <v>3746753687</v>
      </c>
      <c r="BE31" s="64">
        <f t="shared" si="0"/>
        <v>3787572527</v>
      </c>
      <c r="BF31" s="64">
        <f t="shared" si="0"/>
        <v>3835896428</v>
      </c>
      <c r="BG31" s="64">
        <f t="shared" si="0"/>
        <v>3882940211</v>
      </c>
      <c r="BH31" s="64">
        <f t="shared" si="0"/>
        <v>3925264147</v>
      </c>
      <c r="BI31" s="64">
        <f t="shared" si="0"/>
        <v>3955911937</v>
      </c>
      <c r="BJ31" s="64">
        <f t="shared" si="0"/>
        <v>3977774035</v>
      </c>
      <c r="BK31" s="64">
        <f t="shared" si="0"/>
        <v>3993691307</v>
      </c>
      <c r="BL31" s="64">
        <f t="shared" si="0"/>
        <v>4013034205</v>
      </c>
      <c r="BM31" s="64">
        <f t="shared" si="0"/>
        <v>4030985589</v>
      </c>
      <c r="BN31" s="64">
        <f t="shared" si="0"/>
        <v>4054164722</v>
      </c>
      <c r="BO31" s="64">
        <f t="shared" si="0"/>
        <v>4085028001</v>
      </c>
      <c r="BP31" s="64">
        <f t="shared" ref="BP31:BW31" si="1">SUM(BP23:BP30)</f>
        <v>4112614485</v>
      </c>
      <c r="BQ31" s="64">
        <f t="shared" si="1"/>
        <v>4141449763</v>
      </c>
      <c r="BR31" s="64">
        <f t="shared" si="1"/>
        <v>4174038285</v>
      </c>
      <c r="BS31" s="64">
        <f t="shared" si="1"/>
        <v>4206682104</v>
      </c>
      <c r="BT31" s="64">
        <f t="shared" si="1"/>
        <v>4241828588</v>
      </c>
      <c r="BU31" s="64">
        <f t="shared" si="1"/>
        <v>4273970976</v>
      </c>
      <c r="BV31" s="64">
        <f t="shared" si="1"/>
        <v>4306631530</v>
      </c>
      <c r="BW31" s="64">
        <f t="shared" si="1"/>
        <v>4329092372</v>
      </c>
    </row>
    <row r="33" spans="1:1">
      <c r="A33" t="s">
        <v>311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C1F42-1630-4AA2-8AFA-EF30DE9C6E06}">
  <dimension ref="B1:BI116"/>
  <sheetViews>
    <sheetView topLeftCell="A38" zoomScaleNormal="100" workbookViewId="0">
      <selection activeCell="AD60" sqref="AD60"/>
    </sheetView>
  </sheetViews>
  <sheetFormatPr defaultRowHeight="15"/>
  <cols>
    <col min="3" max="3" width="10.42578125" customWidth="1"/>
    <col min="4" max="4" width="12" style="64" hidden="1" customWidth="1"/>
    <col min="5" max="6" width="12.140625" style="64" hidden="1" customWidth="1"/>
    <col min="7" max="7" width="12" style="64" hidden="1" customWidth="1"/>
    <col min="8" max="11" width="14.28515625" style="64" hidden="1" customWidth="1"/>
    <col min="12" max="15" width="14.140625" style="64" hidden="1" customWidth="1"/>
    <col min="16" max="19" width="14.7109375" style="64" hidden="1" customWidth="1"/>
    <col min="20" max="20" width="16.85546875" style="64" bestFit="1" customWidth="1"/>
    <col min="21" max="23" width="12.5703125" style="64" bestFit="1" customWidth="1"/>
    <col min="24" max="24" width="16.5703125" style="64" customWidth="1"/>
    <col min="25" max="27" width="12.5703125" style="64" bestFit="1" customWidth="1"/>
    <col min="28" max="28" width="15.42578125" style="64" bestFit="1" customWidth="1"/>
    <col min="30" max="30" width="10.28515625" customWidth="1"/>
    <col min="32" max="32" width="11" bestFit="1" customWidth="1"/>
    <col min="35" max="35" width="14.7109375" customWidth="1"/>
    <col min="37" max="37" width="17.85546875" customWidth="1"/>
    <col min="48" max="48" width="12.42578125" bestFit="1" customWidth="1"/>
    <col min="49" max="49" width="16.7109375" customWidth="1"/>
    <col min="50" max="50" width="15.7109375" customWidth="1"/>
  </cols>
  <sheetData>
    <row r="1" spans="2:61" s="158" customFormat="1">
      <c r="C1" s="158" t="s">
        <v>472</v>
      </c>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J1"/>
      <c r="AK1"/>
      <c r="AL1"/>
      <c r="AM1"/>
      <c r="AN1"/>
      <c r="AO1"/>
      <c r="AP1"/>
      <c r="AQ1"/>
      <c r="AR1"/>
      <c r="AS1"/>
      <c r="AT1"/>
      <c r="AU1"/>
      <c r="AV1"/>
      <c r="AW1"/>
      <c r="AX1"/>
      <c r="AY1"/>
      <c r="AZ1"/>
      <c r="BA1"/>
      <c r="BB1"/>
      <c r="BC1"/>
      <c r="BD1"/>
      <c r="BE1"/>
      <c r="BF1"/>
      <c r="BG1"/>
      <c r="BH1"/>
      <c r="BI1"/>
    </row>
    <row r="2" spans="2:61">
      <c r="T2" s="133" t="s">
        <v>471</v>
      </c>
      <c r="U2" s="133"/>
      <c r="V2" s="133"/>
      <c r="W2" s="133"/>
      <c r="X2" s="133"/>
      <c r="Y2" s="133"/>
      <c r="Z2" s="133"/>
      <c r="AA2" s="133"/>
      <c r="AB2" s="133"/>
      <c r="AI2" t="s">
        <v>316</v>
      </c>
    </row>
    <row r="3" spans="2:61">
      <c r="T3" s="64">
        <v>64</v>
      </c>
      <c r="U3" s="64">
        <v>55</v>
      </c>
      <c r="V3" s="64">
        <v>39</v>
      </c>
      <c r="W3" s="64">
        <v>22</v>
      </c>
      <c r="X3" s="64">
        <v>88</v>
      </c>
      <c r="Y3" s="64">
        <v>78</v>
      </c>
      <c r="Z3" s="64">
        <v>74</v>
      </c>
      <c r="AA3" s="64">
        <v>64</v>
      </c>
    </row>
    <row r="4" spans="2:61">
      <c r="T4" s="133" t="s">
        <v>470</v>
      </c>
      <c r="U4" s="133"/>
      <c r="V4" s="133"/>
      <c r="W4" s="133"/>
      <c r="X4" s="133"/>
      <c r="Y4" s="133"/>
      <c r="Z4" s="133"/>
      <c r="AA4" s="133"/>
      <c r="AB4" s="133"/>
      <c r="AI4" t="s">
        <v>316</v>
      </c>
    </row>
    <row r="5" spans="2:61">
      <c r="T5" s="64">
        <v>55.6</v>
      </c>
      <c r="U5" s="64">
        <v>51</v>
      </c>
      <c r="V5" s="64">
        <v>43</v>
      </c>
      <c r="W5" s="64">
        <v>37</v>
      </c>
      <c r="X5" s="64">
        <v>55.6</v>
      </c>
      <c r="Y5" s="64">
        <v>51</v>
      </c>
      <c r="Z5" s="64">
        <v>43</v>
      </c>
      <c r="AA5" s="64">
        <v>37</v>
      </c>
      <c r="AI5" t="s">
        <v>320</v>
      </c>
    </row>
    <row r="6" spans="2:61">
      <c r="T6" s="133" t="s">
        <v>312</v>
      </c>
      <c r="U6" s="133"/>
      <c r="V6" s="133"/>
      <c r="W6" s="133"/>
      <c r="X6" s="133"/>
      <c r="Y6" s="133"/>
      <c r="Z6" s="133"/>
      <c r="AA6" s="133"/>
      <c r="AB6" s="133"/>
    </row>
    <row r="7" spans="2:61" ht="18.75" customHeight="1">
      <c r="D7" s="108" t="s">
        <v>245</v>
      </c>
      <c r="E7" s="108" t="s">
        <v>245</v>
      </c>
      <c r="F7" s="108" t="s">
        <v>245</v>
      </c>
      <c r="G7" s="108" t="s">
        <v>245</v>
      </c>
      <c r="H7" s="108" t="s">
        <v>246</v>
      </c>
      <c r="I7" s="108" t="s">
        <v>246</v>
      </c>
      <c r="J7" s="108" t="s">
        <v>246</v>
      </c>
      <c r="K7" s="108" t="s">
        <v>246</v>
      </c>
      <c r="L7" s="108" t="s">
        <v>247</v>
      </c>
      <c r="M7" s="108" t="s">
        <v>247</v>
      </c>
      <c r="N7" s="108" t="s">
        <v>247</v>
      </c>
      <c r="O7" s="108" t="s">
        <v>247</v>
      </c>
      <c r="P7" s="108" t="s">
        <v>248</v>
      </c>
      <c r="Q7" s="108" t="s">
        <v>248</v>
      </c>
      <c r="R7" s="108" t="s">
        <v>248</v>
      </c>
      <c r="S7" s="114" t="s">
        <v>248</v>
      </c>
      <c r="T7" s="131" t="s">
        <v>308</v>
      </c>
      <c r="U7" s="131"/>
      <c r="V7" s="131"/>
      <c r="W7" s="131"/>
      <c r="X7" s="132" t="s">
        <v>309</v>
      </c>
      <c r="Y7" s="132"/>
      <c r="Z7" s="132"/>
      <c r="AA7" s="132"/>
      <c r="AB7" s="115" t="s">
        <v>305</v>
      </c>
    </row>
    <row r="8" spans="2:61" ht="58.5" customHeight="1">
      <c r="B8" s="111" t="s">
        <v>166</v>
      </c>
      <c r="C8" s="112" t="s">
        <v>310</v>
      </c>
      <c r="D8" s="108" t="s">
        <v>241</v>
      </c>
      <c r="E8" s="108" t="s">
        <v>242</v>
      </c>
      <c r="F8" s="108" t="s">
        <v>243</v>
      </c>
      <c r="G8" s="108" t="s">
        <v>244</v>
      </c>
      <c r="H8" s="108" t="s">
        <v>241</v>
      </c>
      <c r="I8" s="108" t="s">
        <v>242</v>
      </c>
      <c r="J8" s="108" t="s">
        <v>243</v>
      </c>
      <c r="K8" s="108" t="s">
        <v>244</v>
      </c>
      <c r="L8" s="108" t="s">
        <v>241</v>
      </c>
      <c r="M8" s="108" t="s">
        <v>242</v>
      </c>
      <c r="N8" s="108" t="s">
        <v>243</v>
      </c>
      <c r="O8" s="108" t="s">
        <v>244</v>
      </c>
      <c r="P8" s="108" t="s">
        <v>241</v>
      </c>
      <c r="Q8" s="108" t="s">
        <v>242</v>
      </c>
      <c r="R8" s="108" t="s">
        <v>243</v>
      </c>
      <c r="S8" s="114" t="s">
        <v>244</v>
      </c>
      <c r="T8" s="116" t="s">
        <v>241</v>
      </c>
      <c r="U8" s="116" t="s">
        <v>242</v>
      </c>
      <c r="V8" s="116" t="s">
        <v>243</v>
      </c>
      <c r="W8" s="116" t="s">
        <v>244</v>
      </c>
      <c r="X8" s="116" t="s">
        <v>241</v>
      </c>
      <c r="Y8" s="116" t="s">
        <v>242</v>
      </c>
      <c r="Z8" s="116" t="s">
        <v>243</v>
      </c>
      <c r="AA8" s="116" t="s">
        <v>244</v>
      </c>
      <c r="AB8" s="116" t="s">
        <v>306</v>
      </c>
      <c r="AC8" s="117" t="s">
        <v>313</v>
      </c>
      <c r="AD8" s="117" t="s">
        <v>318</v>
      </c>
      <c r="AE8" s="117" t="s">
        <v>314</v>
      </c>
      <c r="AF8" s="117" t="s">
        <v>319</v>
      </c>
    </row>
    <row r="9" spans="2:61" hidden="1">
      <c r="B9" s="111" t="s">
        <v>254</v>
      </c>
      <c r="C9" s="112"/>
      <c r="D9" s="109">
        <v>838812900</v>
      </c>
      <c r="E9" s="110"/>
      <c r="F9" s="110"/>
      <c r="G9" s="110"/>
      <c r="H9" s="109">
        <v>630342391</v>
      </c>
      <c r="I9" s="110"/>
      <c r="J9" s="110"/>
      <c r="K9" s="110"/>
      <c r="L9" s="109">
        <v>133905274</v>
      </c>
      <c r="M9" s="110"/>
      <c r="N9" s="110"/>
      <c r="O9" s="110"/>
      <c r="P9" s="109">
        <v>91507720</v>
      </c>
      <c r="Q9" s="110"/>
      <c r="R9" s="110"/>
      <c r="S9" s="110"/>
      <c r="T9" s="64">
        <f>SUM(D$9:D9)+SUM(H$9:H9)</f>
        <v>1469155291</v>
      </c>
      <c r="U9" s="64">
        <f>SUM(E$9:E9)+SUM(I$9:I9)</f>
        <v>0</v>
      </c>
      <c r="V9" s="64">
        <f>SUM(F$9:F9)+SUM(J$9:J9)</f>
        <v>0</v>
      </c>
      <c r="W9" s="64">
        <f>SUM(G$9:G9)+SUM(K$9:K9)</f>
        <v>0</v>
      </c>
      <c r="X9" s="64">
        <f>SUM(L$9:L9)+SUM(P$9:P9)</f>
        <v>225412994</v>
      </c>
      <c r="Y9" s="64">
        <f>SUM(M$9:M9)+SUM(Q$9:Q9)</f>
        <v>0</v>
      </c>
      <c r="Z9" s="64">
        <f>SUM(N$9:N9)+SUM(R$9:R9)</f>
        <v>0</v>
      </c>
      <c r="AA9" s="64">
        <f>SUM(O$9:O9)+SUM(S$9:S9)</f>
        <v>0</v>
      </c>
      <c r="AB9" s="64">
        <f t="shared" ref="AB9:AB40" si="0">SUM(T9:AA9)</f>
        <v>1694568285</v>
      </c>
    </row>
    <row r="10" spans="2:61" hidden="1">
      <c r="B10" s="111" t="s">
        <v>255</v>
      </c>
      <c r="C10" s="112"/>
      <c r="D10" s="110"/>
      <c r="E10" s="109">
        <v>74160490</v>
      </c>
      <c r="F10" s="110"/>
      <c r="G10" s="110"/>
      <c r="H10" s="110"/>
      <c r="I10" s="109">
        <v>6085256</v>
      </c>
      <c r="J10" s="110"/>
      <c r="K10" s="110"/>
      <c r="L10" s="110"/>
      <c r="M10" s="109">
        <v>1775552</v>
      </c>
      <c r="N10" s="110"/>
      <c r="O10" s="110"/>
      <c r="P10" s="110"/>
      <c r="Q10" s="109">
        <v>1245299</v>
      </c>
      <c r="R10" s="110"/>
      <c r="S10" s="110"/>
      <c r="T10" s="64">
        <f>SUM(D$9:D10)+SUM(H$9:H10)</f>
        <v>1469155291</v>
      </c>
      <c r="U10" s="64">
        <f>SUM(E$9:E10)+SUM(I$9:I10)</f>
        <v>80245746</v>
      </c>
      <c r="V10" s="64">
        <f>SUM(F$9:F10)+SUM(J$9:J10)</f>
        <v>0</v>
      </c>
      <c r="W10" s="64">
        <f>SUM(G$9:G10)+SUM(K$9:K10)</f>
        <v>0</v>
      </c>
      <c r="X10" s="64">
        <f>SUM(L$9:L10)+SUM(P$9:P10)</f>
        <v>225412994</v>
      </c>
      <c r="Y10" s="64">
        <f>SUM(M$9:M10)+SUM(Q$9:Q10)</f>
        <v>3020851</v>
      </c>
      <c r="Z10" s="64">
        <f>SUM(N$9:N10)+SUM(R$9:R10)</f>
        <v>0</v>
      </c>
      <c r="AA10" s="64">
        <f>SUM(O$9:O10)+SUM(S$9:S10)</f>
        <v>0</v>
      </c>
      <c r="AB10" s="64">
        <f t="shared" si="0"/>
        <v>1777834882</v>
      </c>
    </row>
    <row r="11" spans="2:61" hidden="1">
      <c r="B11" s="111" t="s">
        <v>256</v>
      </c>
      <c r="C11" s="112"/>
      <c r="D11" s="110"/>
      <c r="E11" s="109">
        <v>20766284</v>
      </c>
      <c r="F11" s="110"/>
      <c r="G11" s="110"/>
      <c r="H11" s="110"/>
      <c r="I11" s="109">
        <v>702861</v>
      </c>
      <c r="J11" s="110"/>
      <c r="K11" s="110"/>
      <c r="L11" s="110"/>
      <c r="M11" s="109">
        <v>107003</v>
      </c>
      <c r="N11" s="110"/>
      <c r="O11" s="110"/>
      <c r="P11" s="110"/>
      <c r="Q11" s="109">
        <v>95498</v>
      </c>
      <c r="R11" s="110"/>
      <c r="S11" s="110"/>
      <c r="T11" s="64">
        <f>SUM(D$9:D11)+SUM(H$9:H11)</f>
        <v>1469155291</v>
      </c>
      <c r="U11" s="64">
        <f>SUM(E$9:E11)+SUM(I$9:I11)</f>
        <v>101714891</v>
      </c>
      <c r="V11" s="64">
        <f>SUM(F$9:F11)+SUM(J$9:J11)</f>
        <v>0</v>
      </c>
      <c r="W11" s="64">
        <f>SUM(G$9:G11)+SUM(K$9:K11)</f>
        <v>0</v>
      </c>
      <c r="X11" s="64">
        <f>SUM(L$9:L11)+SUM(P$9:P11)</f>
        <v>225412994</v>
      </c>
      <c r="Y11" s="64">
        <f>SUM(M$9:M11)+SUM(Q$9:Q11)</f>
        <v>3223352</v>
      </c>
      <c r="Z11" s="64">
        <f>SUM(N$9:N11)+SUM(R$9:R11)</f>
        <v>0</v>
      </c>
      <c r="AA11" s="64">
        <f>SUM(O$9:O11)+SUM(S$9:S11)</f>
        <v>0</v>
      </c>
      <c r="AB11" s="64">
        <f t="shared" si="0"/>
        <v>1799506528</v>
      </c>
    </row>
    <row r="12" spans="2:61" hidden="1">
      <c r="B12" s="111" t="s">
        <v>257</v>
      </c>
      <c r="C12" s="112"/>
      <c r="D12" s="110"/>
      <c r="E12" s="109">
        <v>30030839</v>
      </c>
      <c r="F12" s="110"/>
      <c r="G12" s="110"/>
      <c r="H12" s="110"/>
      <c r="I12" s="109">
        <v>1246623</v>
      </c>
      <c r="J12" s="110"/>
      <c r="K12" s="110"/>
      <c r="L12" s="110"/>
      <c r="M12" s="109">
        <v>270748</v>
      </c>
      <c r="N12" s="110"/>
      <c r="O12" s="110"/>
      <c r="P12" s="110"/>
      <c r="Q12" s="109">
        <v>673517</v>
      </c>
      <c r="R12" s="110"/>
      <c r="S12" s="110"/>
      <c r="T12" s="64">
        <f>SUM(D$9:D12)+SUM(H$9:H12)</f>
        <v>1469155291</v>
      </c>
      <c r="U12" s="64">
        <f>SUM(E$9:E12)+SUM(I$9:I12)</f>
        <v>132992353</v>
      </c>
      <c r="V12" s="64">
        <f>SUM(F$9:F12)+SUM(J$9:J12)</f>
        <v>0</v>
      </c>
      <c r="W12" s="64">
        <f>SUM(G$9:G12)+SUM(K$9:K12)</f>
        <v>0</v>
      </c>
      <c r="X12" s="64">
        <f>SUM(L$9:L12)+SUM(P$9:P12)</f>
        <v>225412994</v>
      </c>
      <c r="Y12" s="64">
        <f>SUM(M$9:M12)+SUM(Q$9:Q12)</f>
        <v>4167617</v>
      </c>
      <c r="Z12" s="64">
        <f>SUM(N$9:N12)+SUM(R$9:R12)</f>
        <v>0</v>
      </c>
      <c r="AA12" s="64">
        <f>SUM(O$9:O12)+SUM(S$9:S12)</f>
        <v>0</v>
      </c>
      <c r="AB12" s="64">
        <f t="shared" si="0"/>
        <v>1831728255</v>
      </c>
    </row>
    <row r="13" spans="2:61" hidden="1">
      <c r="B13" s="111" t="s">
        <v>258</v>
      </c>
      <c r="C13" s="112"/>
      <c r="D13" s="110"/>
      <c r="E13" s="109">
        <v>26656132</v>
      </c>
      <c r="F13" s="110"/>
      <c r="G13" s="110"/>
      <c r="H13" s="110"/>
      <c r="I13" s="109">
        <v>939032</v>
      </c>
      <c r="J13" s="110"/>
      <c r="K13" s="110"/>
      <c r="L13" s="110"/>
      <c r="M13" s="109">
        <v>179391</v>
      </c>
      <c r="N13" s="110"/>
      <c r="O13" s="110"/>
      <c r="P13" s="110"/>
      <c r="Q13" s="109">
        <v>345285</v>
      </c>
      <c r="R13" s="110"/>
      <c r="S13" s="110"/>
      <c r="T13" s="64">
        <f>SUM(D$9:D13)+SUM(H$9:H13)</f>
        <v>1469155291</v>
      </c>
      <c r="U13" s="64">
        <f>SUM(E$9:E13)+SUM(I$9:I13)</f>
        <v>160587517</v>
      </c>
      <c r="V13" s="64">
        <f>SUM(F$9:F13)+SUM(J$9:J13)</f>
        <v>0</v>
      </c>
      <c r="W13" s="64">
        <f>SUM(G$9:G13)+SUM(K$9:K13)</f>
        <v>0</v>
      </c>
      <c r="X13" s="64">
        <f>SUM(L$9:L13)+SUM(P$9:P13)</f>
        <v>225412994</v>
      </c>
      <c r="Y13" s="64">
        <f>SUM(M$9:M13)+SUM(Q$9:Q13)</f>
        <v>4692293</v>
      </c>
      <c r="Z13" s="64">
        <f>SUM(N$9:N13)+SUM(R$9:R13)</f>
        <v>0</v>
      </c>
      <c r="AA13" s="64">
        <f>SUM(O$9:O13)+SUM(S$9:S13)</f>
        <v>0</v>
      </c>
      <c r="AB13" s="64">
        <f t="shared" si="0"/>
        <v>1859848095</v>
      </c>
    </row>
    <row r="14" spans="2:61" hidden="1">
      <c r="B14" s="111" t="s">
        <v>259</v>
      </c>
      <c r="C14" s="112"/>
      <c r="D14" s="110"/>
      <c r="E14" s="109">
        <v>29091942</v>
      </c>
      <c r="F14" s="110"/>
      <c r="G14" s="110"/>
      <c r="H14" s="110"/>
      <c r="I14" s="109">
        <v>1061194</v>
      </c>
      <c r="J14" s="110"/>
      <c r="K14" s="110"/>
      <c r="L14" s="110"/>
      <c r="M14" s="109">
        <v>153777</v>
      </c>
      <c r="N14" s="110"/>
      <c r="O14" s="110"/>
      <c r="P14" s="110"/>
      <c r="Q14" s="109">
        <v>219052</v>
      </c>
      <c r="R14" s="110"/>
      <c r="S14" s="110"/>
      <c r="T14" s="64">
        <f>SUM(D$9:D14)+SUM(H$9:H14)</f>
        <v>1469155291</v>
      </c>
      <c r="U14" s="64">
        <f>SUM(E$9:E14)+SUM(I$9:I14)</f>
        <v>190740653</v>
      </c>
      <c r="V14" s="64">
        <f>SUM(F$9:F14)+SUM(J$9:J14)</f>
        <v>0</v>
      </c>
      <c r="W14" s="64">
        <f>SUM(G$9:G14)+SUM(K$9:K14)</f>
        <v>0</v>
      </c>
      <c r="X14" s="64">
        <f>SUM(L$9:L14)+SUM(P$9:P14)</f>
        <v>225412994</v>
      </c>
      <c r="Y14" s="64">
        <f>SUM(M$9:M14)+SUM(Q$9:Q14)</f>
        <v>5065122</v>
      </c>
      <c r="Z14" s="64">
        <f>SUM(N$9:N14)+SUM(R$9:R14)</f>
        <v>0</v>
      </c>
      <c r="AA14" s="64">
        <f>SUM(O$9:O14)+SUM(S$9:S14)</f>
        <v>0</v>
      </c>
      <c r="AB14" s="64">
        <f t="shared" si="0"/>
        <v>1890374060</v>
      </c>
    </row>
    <row r="15" spans="2:61" hidden="1">
      <c r="B15" s="111" t="s">
        <v>260</v>
      </c>
      <c r="C15" s="112"/>
      <c r="D15" s="110"/>
      <c r="E15" s="109">
        <v>54030812</v>
      </c>
      <c r="F15" s="110"/>
      <c r="G15" s="110"/>
      <c r="H15" s="110"/>
      <c r="I15" s="109">
        <v>2322927</v>
      </c>
      <c r="J15" s="110"/>
      <c r="K15" s="110"/>
      <c r="L15" s="110"/>
      <c r="M15" s="109">
        <v>579654</v>
      </c>
      <c r="N15" s="110"/>
      <c r="O15" s="110"/>
      <c r="P15" s="110"/>
      <c r="Q15" s="109">
        <v>772233</v>
      </c>
      <c r="R15" s="110"/>
      <c r="S15" s="110"/>
      <c r="T15" s="64">
        <f>SUM(D$9:D15)+SUM(H$9:H15)</f>
        <v>1469155291</v>
      </c>
      <c r="U15" s="64">
        <f>SUM(E$9:E15)+SUM(I$9:I15)</f>
        <v>247094392</v>
      </c>
      <c r="V15" s="64">
        <f>SUM(F$9:F15)+SUM(J$9:J15)</f>
        <v>0</v>
      </c>
      <c r="W15" s="64">
        <f>SUM(G$9:G15)+SUM(K$9:K15)</f>
        <v>0</v>
      </c>
      <c r="X15" s="64">
        <f>SUM(L$9:L15)+SUM(P$9:P15)</f>
        <v>225412994</v>
      </c>
      <c r="Y15" s="64">
        <f>SUM(M$9:M15)+SUM(Q$9:Q15)</f>
        <v>6417009</v>
      </c>
      <c r="Z15" s="64">
        <f>SUM(N$9:N15)+SUM(R$9:R15)</f>
        <v>0</v>
      </c>
      <c r="AA15" s="64">
        <f>SUM(O$9:O15)+SUM(S$9:S15)</f>
        <v>0</v>
      </c>
      <c r="AB15" s="64">
        <f t="shared" si="0"/>
        <v>1948079686</v>
      </c>
    </row>
    <row r="16" spans="2:61" hidden="1">
      <c r="B16" s="111" t="s">
        <v>261</v>
      </c>
      <c r="C16" s="112"/>
      <c r="D16" s="110"/>
      <c r="E16" s="109">
        <v>30512301</v>
      </c>
      <c r="F16" s="110"/>
      <c r="G16" s="110"/>
      <c r="H16" s="110"/>
      <c r="I16" s="109">
        <v>1197937</v>
      </c>
      <c r="J16" s="110"/>
      <c r="K16" s="110"/>
      <c r="L16" s="110"/>
      <c r="M16" s="109">
        <v>207169</v>
      </c>
      <c r="N16" s="110"/>
      <c r="O16" s="110"/>
      <c r="P16" s="110"/>
      <c r="Q16" s="109">
        <v>105645</v>
      </c>
      <c r="R16" s="110"/>
      <c r="S16" s="110"/>
      <c r="T16" s="64">
        <f>SUM(D$9:D16)+SUM(H$9:H16)</f>
        <v>1469155291</v>
      </c>
      <c r="U16" s="64">
        <f>SUM(E$9:E16)+SUM(I$9:I16)</f>
        <v>278804630</v>
      </c>
      <c r="V16" s="64">
        <f>SUM(F$9:F16)+SUM(J$9:J16)</f>
        <v>0</v>
      </c>
      <c r="W16" s="64">
        <f>SUM(G$9:G16)+SUM(K$9:K16)</f>
        <v>0</v>
      </c>
      <c r="X16" s="64">
        <f>SUM(L$9:L16)+SUM(P$9:P16)</f>
        <v>225412994</v>
      </c>
      <c r="Y16" s="64">
        <f>SUM(M$9:M16)+SUM(Q$9:Q16)</f>
        <v>6729823</v>
      </c>
      <c r="Z16" s="64">
        <f>SUM(N$9:N16)+SUM(R$9:R16)</f>
        <v>0</v>
      </c>
      <c r="AA16" s="64">
        <f>SUM(O$9:O16)+SUM(S$9:S16)</f>
        <v>0</v>
      </c>
      <c r="AB16" s="64">
        <f t="shared" si="0"/>
        <v>1980102738</v>
      </c>
    </row>
    <row r="17" spans="2:32" hidden="1">
      <c r="B17" s="111" t="s">
        <v>262</v>
      </c>
      <c r="C17" s="112"/>
      <c r="D17" s="110"/>
      <c r="E17" s="109">
        <v>26372214</v>
      </c>
      <c r="F17" s="110"/>
      <c r="G17" s="110"/>
      <c r="H17" s="110"/>
      <c r="I17" s="109">
        <v>950475</v>
      </c>
      <c r="J17" s="110"/>
      <c r="K17" s="110"/>
      <c r="L17" s="110"/>
      <c r="M17" s="109">
        <v>334459</v>
      </c>
      <c r="N17" s="110"/>
      <c r="O17" s="110"/>
      <c r="P17" s="110"/>
      <c r="Q17" s="109">
        <v>159017</v>
      </c>
      <c r="R17" s="110"/>
      <c r="S17" s="110"/>
      <c r="T17" s="64">
        <f>SUM(D$9:D17)+SUM(H$9:H17)</f>
        <v>1469155291</v>
      </c>
      <c r="U17" s="64">
        <f>SUM(E$9:E17)+SUM(I$9:I17)</f>
        <v>306127319</v>
      </c>
      <c r="V17" s="64">
        <f>SUM(F$9:F17)+SUM(J$9:J17)</f>
        <v>0</v>
      </c>
      <c r="W17" s="64">
        <f>SUM(G$9:G17)+SUM(K$9:K17)</f>
        <v>0</v>
      </c>
      <c r="X17" s="64">
        <f>SUM(L$9:L17)+SUM(P$9:P17)</f>
        <v>225412994</v>
      </c>
      <c r="Y17" s="64">
        <f>SUM(M$9:M17)+SUM(Q$9:Q17)</f>
        <v>7223299</v>
      </c>
      <c r="Z17" s="64">
        <f>SUM(N$9:N17)+SUM(R$9:R17)</f>
        <v>0</v>
      </c>
      <c r="AA17" s="64">
        <f>SUM(O$9:O17)+SUM(S$9:S17)</f>
        <v>0</v>
      </c>
      <c r="AB17" s="64">
        <f t="shared" si="0"/>
        <v>2007918903</v>
      </c>
    </row>
    <row r="18" spans="2:32" hidden="1">
      <c r="B18" s="111" t="s">
        <v>263</v>
      </c>
      <c r="C18" s="112"/>
      <c r="D18" s="110"/>
      <c r="E18" s="109">
        <v>27929500</v>
      </c>
      <c r="F18" s="110"/>
      <c r="G18" s="110"/>
      <c r="H18" s="110"/>
      <c r="I18" s="109">
        <v>1095032</v>
      </c>
      <c r="J18" s="110"/>
      <c r="K18" s="110"/>
      <c r="L18" s="110"/>
      <c r="M18" s="109">
        <v>204845</v>
      </c>
      <c r="N18" s="110"/>
      <c r="O18" s="110"/>
      <c r="P18" s="110"/>
      <c r="Q18" s="109">
        <v>807052</v>
      </c>
      <c r="R18" s="110"/>
      <c r="S18" s="110"/>
      <c r="T18" s="64">
        <f>SUM(D$9:D18)+SUM(H$9:H18)</f>
        <v>1469155291</v>
      </c>
      <c r="U18" s="64">
        <f>SUM(E$9:E18)+SUM(I$9:I18)</f>
        <v>335151851</v>
      </c>
      <c r="V18" s="64">
        <f>SUM(F$9:F18)+SUM(J$9:J18)</f>
        <v>0</v>
      </c>
      <c r="W18" s="64">
        <f>SUM(G$9:G18)+SUM(K$9:K18)</f>
        <v>0</v>
      </c>
      <c r="X18" s="64">
        <f>SUM(L$9:L18)+SUM(P$9:P18)</f>
        <v>225412994</v>
      </c>
      <c r="Y18" s="64">
        <f>SUM(M$9:M18)+SUM(Q$9:Q18)</f>
        <v>8235196</v>
      </c>
      <c r="Z18" s="64">
        <f>SUM(N$9:N18)+SUM(R$9:R18)</f>
        <v>0</v>
      </c>
      <c r="AA18" s="64">
        <f>SUM(O$9:O18)+SUM(S$9:S18)</f>
        <v>0</v>
      </c>
      <c r="AB18" s="64">
        <f t="shared" si="0"/>
        <v>2037955332</v>
      </c>
    </row>
    <row r="19" spans="2:32" hidden="1">
      <c r="B19" s="111" t="s">
        <v>264</v>
      </c>
      <c r="C19" s="113"/>
      <c r="D19" s="110"/>
      <c r="E19" s="109">
        <v>22892091</v>
      </c>
      <c r="F19" s="110"/>
      <c r="G19" s="110"/>
      <c r="H19" s="110"/>
      <c r="I19" s="109">
        <v>1094397</v>
      </c>
      <c r="J19" s="110"/>
      <c r="K19" s="110"/>
      <c r="L19" s="110"/>
      <c r="M19" s="109">
        <v>108767</v>
      </c>
      <c r="N19" s="110"/>
      <c r="O19" s="110"/>
      <c r="P19" s="110"/>
      <c r="Q19" s="109">
        <v>149992</v>
      </c>
      <c r="R19" s="110"/>
      <c r="S19" s="110"/>
      <c r="T19" s="64">
        <f>SUM(D$9:D19)+SUM(H$9:H19)</f>
        <v>1469155291</v>
      </c>
      <c r="U19" s="64">
        <f>SUM(E$9:E19)+SUM(I$9:I19)</f>
        <v>359138339</v>
      </c>
      <c r="V19" s="64">
        <f>SUM(F$9:F19)+SUM(J$9:J19)</f>
        <v>0</v>
      </c>
      <c r="W19" s="64">
        <f>SUM(G$9:G19)+SUM(K$9:K19)</f>
        <v>0</v>
      </c>
      <c r="X19" s="64">
        <f>SUM(L$9:L19)+SUM(P$9:P19)</f>
        <v>225412994</v>
      </c>
      <c r="Y19" s="64">
        <f>SUM(M$9:M19)+SUM(Q$9:Q19)</f>
        <v>8493955</v>
      </c>
      <c r="Z19" s="64">
        <f>SUM(N$9:N19)+SUM(R$9:R19)</f>
        <v>0</v>
      </c>
      <c r="AA19" s="64">
        <f>SUM(O$9:O19)+SUM(S$9:S19)</f>
        <v>0</v>
      </c>
      <c r="AB19" s="64">
        <f t="shared" si="0"/>
        <v>2062200579</v>
      </c>
    </row>
    <row r="20" spans="2:32">
      <c r="B20" s="111" t="s">
        <v>265</v>
      </c>
      <c r="C20" s="112">
        <v>311.39999999999998</v>
      </c>
      <c r="D20" s="110"/>
      <c r="E20" s="109">
        <v>62274899</v>
      </c>
      <c r="F20" s="110"/>
      <c r="G20" s="110"/>
      <c r="H20" s="110"/>
      <c r="I20" s="109">
        <v>5105667</v>
      </c>
      <c r="J20" s="110"/>
      <c r="K20" s="110"/>
      <c r="L20" s="110"/>
      <c r="M20" s="109">
        <v>2380142</v>
      </c>
      <c r="N20" s="110"/>
      <c r="O20" s="110"/>
      <c r="P20" s="110"/>
      <c r="Q20" s="109">
        <v>4590451</v>
      </c>
      <c r="R20" s="110"/>
      <c r="S20" s="110"/>
      <c r="T20" s="64">
        <f>SUM(D$9:D20)+SUM(H$9:H20)</f>
        <v>1469155291</v>
      </c>
      <c r="U20" s="64">
        <f>SUM(E$9:E20)+SUM(I$9:I20)</f>
        <v>426518905</v>
      </c>
      <c r="V20" s="64">
        <f>SUM(F$9:F20)+SUM(J$9:J20)</f>
        <v>0</v>
      </c>
      <c r="W20" s="64">
        <f>SUM(G$9:G20)+SUM(K$9:K20)</f>
        <v>0</v>
      </c>
      <c r="X20" s="64">
        <f>SUM(L$9:L20)+SUM(P$9:P20)</f>
        <v>225412994</v>
      </c>
      <c r="Y20" s="64">
        <f>SUM(M$9:M20)+SUM(Q$9:Q20)</f>
        <v>15464548</v>
      </c>
      <c r="Z20" s="64">
        <f>SUM(N$9:N20)+SUM(R$9:R20)</f>
        <v>0</v>
      </c>
      <c r="AA20" s="64">
        <f>SUM(O$9:O20)+SUM(S$9:S20)</f>
        <v>0</v>
      </c>
      <c r="AB20" s="64">
        <f t="shared" si="0"/>
        <v>2136551738</v>
      </c>
      <c r="AC20" s="118">
        <f>C20*10^9/AB20</f>
        <v>145.74886929323685</v>
      </c>
      <c r="AD20" s="118">
        <f>SUMPRODUCT($T$3:$AA$3,T20:AA20)/AB20</f>
        <v>64.83674331456794</v>
      </c>
      <c r="AE20" s="56">
        <f>AC20/AD20-1</f>
        <v>1.2479363065184836</v>
      </c>
      <c r="AF20">
        <f>SUMPRODUCT($T$5:$AA$5,T20:AA20)/AB20</f>
        <v>54.648408775860872</v>
      </c>
    </row>
    <row r="21" spans="2:32">
      <c r="B21" s="111" t="s">
        <v>266</v>
      </c>
      <c r="C21" s="112">
        <v>319</v>
      </c>
      <c r="D21" s="110"/>
      <c r="E21" s="109">
        <v>22429584</v>
      </c>
      <c r="F21" s="110"/>
      <c r="G21" s="110"/>
      <c r="H21" s="110"/>
      <c r="I21" s="109">
        <v>872083</v>
      </c>
      <c r="J21" s="110"/>
      <c r="K21" s="110"/>
      <c r="L21" s="110"/>
      <c r="M21" s="109">
        <v>577206</v>
      </c>
      <c r="N21" s="110"/>
      <c r="O21" s="110"/>
      <c r="P21" s="110"/>
      <c r="Q21" s="109">
        <v>687787</v>
      </c>
      <c r="R21" s="110"/>
      <c r="S21" s="110"/>
      <c r="T21" s="64">
        <f>SUM(D$9:D21)+SUM(H$9:H21)</f>
        <v>1469155291</v>
      </c>
      <c r="U21" s="64">
        <f>SUM(E$9:E21)+SUM(I$9:I21)</f>
        <v>449820572</v>
      </c>
      <c r="V21" s="64">
        <f>SUM(F$9:F21)+SUM(J$9:J21)</f>
        <v>0</v>
      </c>
      <c r="W21" s="64">
        <f>SUM(G$9:G21)+SUM(K$9:K21)</f>
        <v>0</v>
      </c>
      <c r="X21" s="64">
        <f>SUM(L$9:L21)+SUM(P$9:P21)</f>
        <v>225412994</v>
      </c>
      <c r="Y21" s="64">
        <f>SUM(M$9:M21)+SUM(Q$9:Q21)</f>
        <v>16729541</v>
      </c>
      <c r="Z21" s="64">
        <f>SUM(N$9:N21)+SUM(R$9:R21)</f>
        <v>0</v>
      </c>
      <c r="AA21" s="64">
        <f>SUM(O$9:O21)+SUM(S$9:S21)</f>
        <v>0</v>
      </c>
      <c r="AB21" s="64">
        <f t="shared" si="0"/>
        <v>2161118398</v>
      </c>
      <c r="AC21" s="118">
        <f t="shared" ref="AC21:AC81" si="1">C21*10^9/AB21</f>
        <v>147.60875678778984</v>
      </c>
      <c r="AD21" s="118">
        <f t="shared" ref="AD21:AD81" si="2">SUMPRODUCT($T$3:$AA$3,T21:AA21)/AB21</f>
        <v>64.738386329724818</v>
      </c>
      <c r="AE21" s="56">
        <f t="shared" ref="AE21:AE81" si="3">AC21/AD21-1</f>
        <v>1.2800808786921345</v>
      </c>
      <c r="AF21" s="147">
        <f t="shared" ref="AF21:AF81" si="4">SUMPRODUCT($T$5:$AA$5,T21:AA21)/AB21</f>
        <v>54.606935241592439</v>
      </c>
    </row>
    <row r="22" spans="2:32">
      <c r="B22" s="111" t="s">
        <v>267</v>
      </c>
      <c r="C22" s="112">
        <v>328.9</v>
      </c>
      <c r="D22" s="110"/>
      <c r="E22" s="109">
        <v>28716712</v>
      </c>
      <c r="F22" s="110"/>
      <c r="G22" s="110"/>
      <c r="H22" s="110"/>
      <c r="I22" s="109">
        <v>1282478</v>
      </c>
      <c r="J22" s="110"/>
      <c r="K22" s="110"/>
      <c r="L22" s="110"/>
      <c r="M22" s="109">
        <v>429221</v>
      </c>
      <c r="N22" s="110"/>
      <c r="O22" s="110"/>
      <c r="P22" s="110"/>
      <c r="Q22" s="109">
        <v>1412151</v>
      </c>
      <c r="R22" s="110"/>
      <c r="S22" s="110"/>
      <c r="T22" s="64">
        <f>SUM(D$9:D22)+SUM(H$9:H22)</f>
        <v>1469155291</v>
      </c>
      <c r="U22" s="64">
        <f>SUM(E$9:E22)+SUM(I$9:I22)</f>
        <v>479819762</v>
      </c>
      <c r="V22" s="64">
        <f>SUM(F$9:F22)+SUM(J$9:J22)</f>
        <v>0</v>
      </c>
      <c r="W22" s="64">
        <f>SUM(G$9:G22)+SUM(K$9:K22)</f>
        <v>0</v>
      </c>
      <c r="X22" s="64">
        <f>SUM(L$9:L22)+SUM(P$9:P22)</f>
        <v>225412994</v>
      </c>
      <c r="Y22" s="64">
        <f>SUM(M$9:M22)+SUM(Q$9:Q22)</f>
        <v>18570913</v>
      </c>
      <c r="Z22" s="64">
        <f>SUM(N$9:N22)+SUM(R$9:R22)</f>
        <v>0</v>
      </c>
      <c r="AA22" s="64">
        <f>SUM(O$9:O22)+SUM(S$9:S22)</f>
        <v>0</v>
      </c>
      <c r="AB22" s="64">
        <f t="shared" si="0"/>
        <v>2192958960</v>
      </c>
      <c r="AC22" s="118">
        <f t="shared" si="1"/>
        <v>149.98000692178937</v>
      </c>
      <c r="AD22" s="118">
        <f t="shared" si="2"/>
        <v>64.616302814896272</v>
      </c>
      <c r="AE22" s="56">
        <f t="shared" si="3"/>
        <v>1.3210861715723827</v>
      </c>
      <c r="AF22" s="147">
        <f t="shared" si="4"/>
        <v>54.554564519073352</v>
      </c>
    </row>
    <row r="23" spans="2:32">
      <c r="B23" s="111" t="s">
        <v>268</v>
      </c>
      <c r="C23" s="112">
        <v>316.5</v>
      </c>
      <c r="D23" s="110"/>
      <c r="E23" s="109">
        <v>26383840</v>
      </c>
      <c r="F23" s="110"/>
      <c r="G23" s="110"/>
      <c r="H23" s="110"/>
      <c r="I23" s="109">
        <v>1443978</v>
      </c>
      <c r="J23" s="110"/>
      <c r="K23" s="110"/>
      <c r="L23" s="110"/>
      <c r="M23" s="109">
        <v>635620</v>
      </c>
      <c r="N23" s="110"/>
      <c r="O23" s="110"/>
      <c r="P23" s="110"/>
      <c r="Q23" s="109">
        <v>1830156</v>
      </c>
      <c r="R23" s="110"/>
      <c r="S23" s="110"/>
      <c r="T23" s="64">
        <f>SUM(D$9:D23)+SUM(H$9:H23)</f>
        <v>1469155291</v>
      </c>
      <c r="U23" s="64">
        <f>SUM(E$9:E23)+SUM(I$9:I23)</f>
        <v>507647580</v>
      </c>
      <c r="V23" s="64">
        <f>SUM(F$9:F23)+SUM(J$9:J23)</f>
        <v>0</v>
      </c>
      <c r="W23" s="64">
        <f>SUM(G$9:G23)+SUM(K$9:K23)</f>
        <v>0</v>
      </c>
      <c r="X23" s="64">
        <f>SUM(L$9:L23)+SUM(P$9:P23)</f>
        <v>225412994</v>
      </c>
      <c r="Y23" s="64">
        <f>SUM(M$9:M23)+SUM(Q$9:Q23)</f>
        <v>21036689</v>
      </c>
      <c r="Z23" s="64">
        <f>SUM(N$9:N23)+SUM(R$9:R23)</f>
        <v>0</v>
      </c>
      <c r="AA23" s="64">
        <f>SUM(O$9:O23)+SUM(S$9:S23)</f>
        <v>0</v>
      </c>
      <c r="AB23" s="64">
        <f t="shared" si="0"/>
        <v>2223252554</v>
      </c>
      <c r="AC23" s="118">
        <f t="shared" si="1"/>
        <v>142.3589953514566</v>
      </c>
      <c r="AD23" s="118">
        <f t="shared" si="2"/>
        <v>64.51078195320494</v>
      </c>
      <c r="AE23" s="56">
        <f t="shared" si="3"/>
        <v>1.2067473225595293</v>
      </c>
      <c r="AF23" s="147">
        <f t="shared" si="4"/>
        <v>54.506130734889062</v>
      </c>
    </row>
    <row r="24" spans="2:32">
      <c r="B24" s="111" t="s">
        <v>269</v>
      </c>
      <c r="C24" s="112">
        <v>309.2</v>
      </c>
      <c r="D24" s="110"/>
      <c r="E24" s="109">
        <v>27085326</v>
      </c>
      <c r="F24" s="110"/>
      <c r="G24" s="110"/>
      <c r="H24" s="110"/>
      <c r="I24" s="109">
        <v>1400685</v>
      </c>
      <c r="J24" s="110"/>
      <c r="K24" s="110"/>
      <c r="L24" s="110"/>
      <c r="M24" s="109">
        <v>505236</v>
      </c>
      <c r="N24" s="110"/>
      <c r="O24" s="110"/>
      <c r="P24" s="110"/>
      <c r="Q24" s="109">
        <v>4136097</v>
      </c>
      <c r="R24" s="110"/>
      <c r="S24" s="110"/>
      <c r="T24" s="64">
        <f>SUM(D$9:D24)+SUM(H$9:H24)</f>
        <v>1469155291</v>
      </c>
      <c r="U24" s="64">
        <f>SUM(E$9:E24)+SUM(I$9:I24)</f>
        <v>536133591</v>
      </c>
      <c r="V24" s="64">
        <f>SUM(F$9:F24)+SUM(J$9:J24)</f>
        <v>0</v>
      </c>
      <c r="W24" s="64">
        <f>SUM(G$9:G24)+SUM(K$9:K24)</f>
        <v>0</v>
      </c>
      <c r="X24" s="64">
        <f>SUM(L$9:L24)+SUM(P$9:P24)</f>
        <v>225412994</v>
      </c>
      <c r="Y24" s="64">
        <f>SUM(M$9:M24)+SUM(Q$9:Q24)</f>
        <v>25678022</v>
      </c>
      <c r="Z24" s="64">
        <f>SUM(N$9:N24)+SUM(R$9:R24)</f>
        <v>0</v>
      </c>
      <c r="AA24" s="64">
        <f>SUM(O$9:O24)+SUM(S$9:S24)</f>
        <v>0</v>
      </c>
      <c r="AB24" s="64">
        <f t="shared" si="0"/>
        <v>2256379898</v>
      </c>
      <c r="AC24" s="118">
        <f t="shared" si="1"/>
        <v>137.03366187319224</v>
      </c>
      <c r="AD24" s="118">
        <f t="shared" si="2"/>
        <v>64.418458720464983</v>
      </c>
      <c r="AE24" s="56">
        <f t="shared" si="3"/>
        <v>1.1272421693265113</v>
      </c>
      <c r="AF24" s="147">
        <f t="shared" si="4"/>
        <v>54.454655006415059</v>
      </c>
    </row>
    <row r="25" spans="2:32">
      <c r="B25" s="111" t="s">
        <v>270</v>
      </c>
      <c r="C25" s="112">
        <v>332.3</v>
      </c>
      <c r="D25" s="110"/>
      <c r="E25" s="109">
        <v>40062307</v>
      </c>
      <c r="F25" s="110"/>
      <c r="G25" s="110"/>
      <c r="H25" s="110"/>
      <c r="I25" s="109">
        <v>2829914</v>
      </c>
      <c r="J25" s="110"/>
      <c r="K25" s="110"/>
      <c r="L25" s="110"/>
      <c r="M25" s="109">
        <v>1575489</v>
      </c>
      <c r="N25" s="110"/>
      <c r="O25" s="110"/>
      <c r="P25" s="110"/>
      <c r="Q25" s="109">
        <v>6011413</v>
      </c>
      <c r="R25" s="110"/>
      <c r="S25" s="110"/>
      <c r="T25" s="64">
        <f>SUM(D$9:D25)+SUM(H$9:H25)</f>
        <v>1469155291</v>
      </c>
      <c r="U25" s="64">
        <f>SUM(E$9:E25)+SUM(I$9:I25)</f>
        <v>579025812</v>
      </c>
      <c r="V25" s="64">
        <f>SUM(F$9:F25)+SUM(J$9:J25)</f>
        <v>0</v>
      </c>
      <c r="W25" s="64">
        <f>SUM(G$9:G25)+SUM(K$9:K25)</f>
        <v>0</v>
      </c>
      <c r="X25" s="64">
        <f>SUM(L$9:L25)+SUM(P$9:P25)</f>
        <v>225412994</v>
      </c>
      <c r="Y25" s="64">
        <f>SUM(M$9:M25)+SUM(Q$9:Q25)</f>
        <v>33264924</v>
      </c>
      <c r="Z25" s="64">
        <f>SUM(N$9:N25)+SUM(R$9:R25)</f>
        <v>0</v>
      </c>
      <c r="AA25" s="64">
        <f>SUM(O$9:O25)+SUM(S$9:S25)</f>
        <v>0</v>
      </c>
      <c r="AB25" s="64">
        <f t="shared" si="0"/>
        <v>2306859021</v>
      </c>
      <c r="AC25" s="118">
        <f t="shared" si="1"/>
        <v>144.04868133465362</v>
      </c>
      <c r="AD25" s="118">
        <f t="shared" si="2"/>
        <v>64.288005672627534</v>
      </c>
      <c r="AE25" s="56">
        <f t="shared" si="3"/>
        <v>1.2406773989566533</v>
      </c>
      <c r="AF25" s="147">
        <f t="shared" si="4"/>
        <v>54.379059595770592</v>
      </c>
    </row>
    <row r="26" spans="2:32">
      <c r="B26" s="111" t="s">
        <v>271</v>
      </c>
      <c r="C26" s="112">
        <v>307</v>
      </c>
      <c r="D26" s="110"/>
      <c r="E26" s="109">
        <v>26279433</v>
      </c>
      <c r="F26" s="110"/>
      <c r="G26" s="110"/>
      <c r="H26" s="110"/>
      <c r="I26" s="109">
        <v>1334996</v>
      </c>
      <c r="J26" s="110"/>
      <c r="K26" s="110"/>
      <c r="L26" s="110"/>
      <c r="M26" s="109">
        <v>509191</v>
      </c>
      <c r="N26" s="110"/>
      <c r="O26" s="110"/>
      <c r="P26" s="110"/>
      <c r="Q26" s="109">
        <v>4730387</v>
      </c>
      <c r="R26" s="110"/>
      <c r="S26" s="110"/>
      <c r="T26" s="64">
        <f>SUM(D$9:D26)+SUM(H$9:H26)</f>
        <v>1469155291</v>
      </c>
      <c r="U26" s="64">
        <f>SUM(E$9:E26)+SUM(I$9:I26)</f>
        <v>606640241</v>
      </c>
      <c r="V26" s="64">
        <f>SUM(F$9:F26)+SUM(J$9:J26)</f>
        <v>0</v>
      </c>
      <c r="W26" s="64">
        <f>SUM(G$9:G26)+SUM(K$9:K26)</f>
        <v>0</v>
      </c>
      <c r="X26" s="64">
        <f>SUM(L$9:L26)+SUM(P$9:P26)</f>
        <v>225412994</v>
      </c>
      <c r="Y26" s="64">
        <f>SUM(M$9:M26)+SUM(Q$9:Q26)</f>
        <v>38504502</v>
      </c>
      <c r="Z26" s="64">
        <f>SUM(N$9:N26)+SUM(R$9:R26)</f>
        <v>0</v>
      </c>
      <c r="AA26" s="64">
        <f>SUM(O$9:O26)+SUM(S$9:S26)</f>
        <v>0</v>
      </c>
      <c r="AB26" s="64">
        <f t="shared" si="0"/>
        <v>2339713028</v>
      </c>
      <c r="AC26" s="118">
        <f t="shared" si="1"/>
        <v>131.21267280476073</v>
      </c>
      <c r="AD26" s="118">
        <f t="shared" si="2"/>
        <v>64.209090905228749</v>
      </c>
      <c r="AE26" s="56">
        <f t="shared" si="3"/>
        <v>1.0435217343043814</v>
      </c>
      <c r="AF26" s="147">
        <f t="shared" si="4"/>
        <v>54.331611192362004</v>
      </c>
    </row>
    <row r="27" spans="2:32">
      <c r="B27" s="111" t="s">
        <v>272</v>
      </c>
      <c r="C27" s="112">
        <v>330.6</v>
      </c>
      <c r="D27" s="110"/>
      <c r="E27" s="109">
        <v>25094456</v>
      </c>
      <c r="F27" s="110"/>
      <c r="G27" s="110"/>
      <c r="H27" s="110"/>
      <c r="I27" s="109">
        <v>1337457</v>
      </c>
      <c r="J27" s="110"/>
      <c r="K27" s="110"/>
      <c r="L27" s="110"/>
      <c r="M27" s="109">
        <v>853084</v>
      </c>
      <c r="N27" s="110"/>
      <c r="O27" s="110"/>
      <c r="P27" s="110"/>
      <c r="Q27" s="109">
        <v>3381018</v>
      </c>
      <c r="R27" s="110"/>
      <c r="S27" s="110"/>
      <c r="T27" s="64">
        <f>SUM(D$9:D27)+SUM(H$9:H27)</f>
        <v>1469155291</v>
      </c>
      <c r="U27" s="64">
        <f>SUM(E$9:E27)+SUM(I$9:I27)</f>
        <v>633072154</v>
      </c>
      <c r="V27" s="64">
        <f>SUM(F$9:F27)+SUM(J$9:J27)</f>
        <v>0</v>
      </c>
      <c r="W27" s="64">
        <f>SUM(G$9:G27)+SUM(K$9:K27)</f>
        <v>0</v>
      </c>
      <c r="X27" s="64">
        <f>SUM(L$9:L27)+SUM(P$9:P27)</f>
        <v>225412994</v>
      </c>
      <c r="Y27" s="64">
        <f>SUM(M$9:M27)+SUM(Q$9:Q27)</f>
        <v>42738604</v>
      </c>
      <c r="Z27" s="64">
        <f>SUM(N$9:N27)+SUM(R$9:R27)</f>
        <v>0</v>
      </c>
      <c r="AA27" s="64">
        <f>SUM(O$9:O27)+SUM(S$9:S27)</f>
        <v>0</v>
      </c>
      <c r="AB27" s="64">
        <f t="shared" si="0"/>
        <v>2370379043</v>
      </c>
      <c r="AC27" s="118">
        <f t="shared" si="1"/>
        <v>139.47136470696515</v>
      </c>
      <c r="AD27" s="118">
        <f t="shared" si="2"/>
        <v>64.131035129979423</v>
      </c>
      <c r="AE27" s="56">
        <f t="shared" si="3"/>
        <v>1.1747873619112421</v>
      </c>
      <c r="AF27" s="147">
        <f t="shared" si="4"/>
        <v>54.288509546192437</v>
      </c>
    </row>
    <row r="28" spans="2:32">
      <c r="B28" s="111" t="s">
        <v>273</v>
      </c>
      <c r="C28" s="112">
        <v>339.2</v>
      </c>
      <c r="D28" s="110"/>
      <c r="E28" s="109">
        <v>30008743</v>
      </c>
      <c r="F28" s="110"/>
      <c r="G28" s="110"/>
      <c r="H28" s="110"/>
      <c r="I28" s="109">
        <v>1490096</v>
      </c>
      <c r="J28" s="110"/>
      <c r="K28" s="110"/>
      <c r="L28" s="110"/>
      <c r="M28" s="109">
        <v>1420534</v>
      </c>
      <c r="N28" s="110"/>
      <c r="O28" s="110"/>
      <c r="P28" s="110"/>
      <c r="Q28" s="109">
        <v>5984708</v>
      </c>
      <c r="R28" s="110"/>
      <c r="S28" s="110"/>
      <c r="T28" s="64">
        <f>SUM(D$9:D28)+SUM(H$9:H28)</f>
        <v>1469155291</v>
      </c>
      <c r="U28" s="64">
        <f>SUM(E$9:E28)+SUM(I$9:I28)</f>
        <v>664570993</v>
      </c>
      <c r="V28" s="64">
        <f>SUM(F$9:F28)+SUM(J$9:J28)</f>
        <v>0</v>
      </c>
      <c r="W28" s="64">
        <f>SUM(G$9:G28)+SUM(K$9:K28)</f>
        <v>0</v>
      </c>
      <c r="X28" s="64">
        <f>SUM(L$9:L28)+SUM(P$9:P28)</f>
        <v>225412994</v>
      </c>
      <c r="Y28" s="64">
        <f>SUM(M$9:M28)+SUM(Q$9:Q28)</f>
        <v>50143846</v>
      </c>
      <c r="Z28" s="64">
        <f>SUM(N$9:N28)+SUM(R$9:R28)</f>
        <v>0</v>
      </c>
      <c r="AA28" s="64">
        <f>SUM(O$9:O28)+SUM(S$9:S28)</f>
        <v>0</v>
      </c>
      <c r="AB28" s="64">
        <f t="shared" si="0"/>
        <v>2409283124</v>
      </c>
      <c r="AC28" s="118">
        <f t="shared" si="1"/>
        <v>140.78876684150134</v>
      </c>
      <c r="AD28" s="118">
        <f t="shared" si="2"/>
        <v>64.054284513802955</v>
      </c>
      <c r="AE28" s="56">
        <f t="shared" si="3"/>
        <v>1.1979601819010717</v>
      </c>
      <c r="AF28" s="147">
        <f t="shared" si="4"/>
        <v>54.235408090211649</v>
      </c>
    </row>
    <row r="29" spans="2:32">
      <c r="B29" s="111" t="s">
        <v>274</v>
      </c>
      <c r="C29" s="112">
        <v>351.8</v>
      </c>
      <c r="D29" s="110"/>
      <c r="E29" s="109">
        <v>24116593</v>
      </c>
      <c r="F29" s="110"/>
      <c r="G29" s="110"/>
      <c r="H29" s="110"/>
      <c r="I29" s="109">
        <v>1645816</v>
      </c>
      <c r="J29" s="110"/>
      <c r="K29" s="110"/>
      <c r="L29" s="110"/>
      <c r="M29" s="109">
        <v>725813</v>
      </c>
      <c r="N29" s="110"/>
      <c r="O29" s="110"/>
      <c r="P29" s="110"/>
      <c r="Q29" s="109">
        <v>4883862</v>
      </c>
      <c r="R29" s="110"/>
      <c r="S29" s="110"/>
      <c r="T29" s="64">
        <f>SUM(D$9:D29)+SUM(H$9:H29)</f>
        <v>1469155291</v>
      </c>
      <c r="U29" s="64">
        <f>SUM(E$9:E29)+SUM(I$9:I29)</f>
        <v>690333402</v>
      </c>
      <c r="V29" s="64">
        <f>SUM(F$9:F29)+SUM(J$9:J29)</f>
        <v>0</v>
      </c>
      <c r="W29" s="64">
        <f>SUM(G$9:G29)+SUM(K$9:K29)</f>
        <v>0</v>
      </c>
      <c r="X29" s="64">
        <f>SUM(L$9:L29)+SUM(P$9:P29)</f>
        <v>225412994</v>
      </c>
      <c r="Y29" s="64">
        <f>SUM(M$9:M29)+SUM(Q$9:Q29)</f>
        <v>55753521</v>
      </c>
      <c r="Z29" s="64">
        <f>SUM(N$9:N29)+SUM(R$9:R29)</f>
        <v>0</v>
      </c>
      <c r="AA29" s="64">
        <f>SUM(O$9:O29)+SUM(S$9:S29)</f>
        <v>0</v>
      </c>
      <c r="AB29" s="64">
        <f t="shared" si="0"/>
        <v>2440655208</v>
      </c>
      <c r="AC29" s="118">
        <f t="shared" si="1"/>
        <v>144.14162182633049</v>
      </c>
      <c r="AD29" s="118">
        <f t="shared" si="2"/>
        <v>63.990764992971513</v>
      </c>
      <c r="AE29" s="56">
        <f t="shared" si="3"/>
        <v>1.2525378754600358</v>
      </c>
      <c r="AF29" s="147">
        <f t="shared" si="4"/>
        <v>54.193820284589741</v>
      </c>
    </row>
    <row r="30" spans="2:32">
      <c r="B30" s="111" t="s">
        <v>275</v>
      </c>
      <c r="C30" s="112">
        <v>362.7</v>
      </c>
      <c r="D30" s="110"/>
      <c r="E30" s="109">
        <v>36134118</v>
      </c>
      <c r="F30" s="110"/>
      <c r="G30" s="110"/>
      <c r="H30" s="110"/>
      <c r="I30" s="109">
        <v>3403417</v>
      </c>
      <c r="J30" s="110"/>
      <c r="K30" s="110"/>
      <c r="L30" s="110"/>
      <c r="M30" s="109">
        <v>2967381</v>
      </c>
      <c r="N30" s="110"/>
      <c r="O30" s="110"/>
      <c r="P30" s="110"/>
      <c r="Q30" s="109">
        <v>15328696</v>
      </c>
      <c r="R30" s="110"/>
      <c r="S30" s="110"/>
      <c r="T30" s="64">
        <f>SUM(D$9:D30)+SUM(H$9:H30)</f>
        <v>1469155291</v>
      </c>
      <c r="U30" s="64">
        <f>SUM(E$9:E30)+SUM(I$9:I30)</f>
        <v>729870937</v>
      </c>
      <c r="V30" s="64">
        <f>SUM(F$9:F30)+SUM(J$9:J30)</f>
        <v>0</v>
      </c>
      <c r="W30" s="64">
        <f>SUM(G$9:G30)+SUM(K$9:K30)</f>
        <v>0</v>
      </c>
      <c r="X30" s="64">
        <f>SUM(L$9:L30)+SUM(P$9:P30)</f>
        <v>225412994</v>
      </c>
      <c r="Y30" s="64">
        <f>SUM(M$9:M30)+SUM(Q$9:Q30)</f>
        <v>74049598</v>
      </c>
      <c r="Z30" s="64">
        <f>SUM(N$9:N30)+SUM(R$9:R30)</f>
        <v>0</v>
      </c>
      <c r="AA30" s="64">
        <f>SUM(O$9:O30)+SUM(S$9:S30)</f>
        <v>0</v>
      </c>
      <c r="AB30" s="64">
        <f t="shared" si="0"/>
        <v>2498488820</v>
      </c>
      <c r="AC30" s="118">
        <f t="shared" si="1"/>
        <v>145.16774984008134</v>
      </c>
      <c r="AD30" s="118">
        <f t="shared" si="2"/>
        <v>63.95107754574623</v>
      </c>
      <c r="AE30" s="56">
        <f t="shared" si="3"/>
        <v>1.2699812952524256</v>
      </c>
      <c r="AF30" s="147">
        <f t="shared" si="4"/>
        <v>54.119891531473812</v>
      </c>
    </row>
    <row r="31" spans="2:32">
      <c r="B31" s="111" t="s">
        <v>276</v>
      </c>
      <c r="C31" s="112">
        <v>375</v>
      </c>
      <c r="D31" s="110"/>
      <c r="E31" s="109">
        <v>24308521</v>
      </c>
      <c r="F31" s="110"/>
      <c r="G31" s="110"/>
      <c r="H31" s="110"/>
      <c r="I31" s="109">
        <v>1576637</v>
      </c>
      <c r="J31" s="110"/>
      <c r="K31" s="110"/>
      <c r="L31" s="110"/>
      <c r="M31" s="109">
        <v>614532</v>
      </c>
      <c r="N31" s="110"/>
      <c r="O31" s="110"/>
      <c r="P31" s="110"/>
      <c r="Q31" s="109">
        <v>6564244</v>
      </c>
      <c r="R31" s="110"/>
      <c r="S31" s="110"/>
      <c r="T31" s="64">
        <f>SUM(D$9:D31)+SUM(H$9:H31)</f>
        <v>1469155291</v>
      </c>
      <c r="U31" s="64">
        <f>SUM(E$9:E31)+SUM(I$9:I31)</f>
        <v>755756095</v>
      </c>
      <c r="V31" s="64">
        <f>SUM(F$9:F31)+SUM(J$9:J31)</f>
        <v>0</v>
      </c>
      <c r="W31" s="64">
        <f>SUM(G$9:G31)+SUM(K$9:K31)</f>
        <v>0</v>
      </c>
      <c r="X31" s="64">
        <f>SUM(L$9:L31)+SUM(P$9:P31)</f>
        <v>225412994</v>
      </c>
      <c r="Y31" s="64">
        <f>SUM(M$9:M31)+SUM(Q$9:Q31)</f>
        <v>81228374</v>
      </c>
      <c r="Z31" s="64">
        <f>SUM(N$9:N31)+SUM(R$9:R31)</f>
        <v>0</v>
      </c>
      <c r="AA31" s="64">
        <f>SUM(O$9:O31)+SUM(S$9:S31)</f>
        <v>0</v>
      </c>
      <c r="AB31" s="64">
        <f t="shared" si="0"/>
        <v>2531552754</v>
      </c>
      <c r="AC31" s="118">
        <f t="shared" si="1"/>
        <v>148.13043078303554</v>
      </c>
      <c r="AD31" s="118">
        <f t="shared" si="2"/>
        <v>63.899391485088522</v>
      </c>
      <c r="AE31" s="56">
        <f t="shared" si="3"/>
        <v>1.3181821820259909</v>
      </c>
      <c r="AF31" s="147">
        <f t="shared" si="4"/>
        <v>54.079143461926058</v>
      </c>
    </row>
    <row r="32" spans="2:32">
      <c r="B32" s="111" t="s">
        <v>277</v>
      </c>
      <c r="C32" s="112">
        <v>388.5</v>
      </c>
      <c r="D32" s="110"/>
      <c r="E32" s="109">
        <v>33517668</v>
      </c>
      <c r="F32" s="110"/>
      <c r="G32" s="110"/>
      <c r="H32" s="110"/>
      <c r="I32" s="109">
        <v>2122018</v>
      </c>
      <c r="J32" s="110"/>
      <c r="K32" s="110"/>
      <c r="L32" s="110"/>
      <c r="M32" s="109">
        <v>2057394</v>
      </c>
      <c r="N32" s="110"/>
      <c r="O32" s="110"/>
      <c r="P32" s="110"/>
      <c r="Q32" s="109">
        <v>10807461</v>
      </c>
      <c r="R32" s="110"/>
      <c r="S32" s="110"/>
      <c r="T32" s="64">
        <f>SUM(D$9:D32)+SUM(H$9:H32)</f>
        <v>1469155291</v>
      </c>
      <c r="U32" s="64">
        <f>SUM(E$9:E32)+SUM(I$9:I32)</f>
        <v>791395781</v>
      </c>
      <c r="V32" s="64">
        <f>SUM(F$9:F32)+SUM(J$9:J32)</f>
        <v>0</v>
      </c>
      <c r="W32" s="64">
        <f>SUM(G$9:G32)+SUM(K$9:K32)</f>
        <v>0</v>
      </c>
      <c r="X32" s="64">
        <f>SUM(L$9:L32)+SUM(P$9:P32)</f>
        <v>225412994</v>
      </c>
      <c r="Y32" s="64">
        <f>SUM(M$9:M32)+SUM(Q$9:Q32)</f>
        <v>94093229</v>
      </c>
      <c r="Z32" s="64">
        <f>SUM(N$9:N32)+SUM(R$9:R32)</f>
        <v>0</v>
      </c>
      <c r="AA32" s="64">
        <f>SUM(O$9:O32)+SUM(S$9:S32)</f>
        <v>0</v>
      </c>
      <c r="AB32" s="64">
        <f t="shared" si="0"/>
        <v>2580057295</v>
      </c>
      <c r="AC32" s="118">
        <f t="shared" si="1"/>
        <v>150.57805140718784</v>
      </c>
      <c r="AD32" s="118">
        <f t="shared" si="2"/>
        <v>63.846768919525097</v>
      </c>
      <c r="AE32" s="56">
        <f t="shared" si="3"/>
        <v>1.358428687236815</v>
      </c>
      <c r="AF32" s="147">
        <f t="shared" si="4"/>
        <v>54.021256204699903</v>
      </c>
    </row>
    <row r="33" spans="2:32">
      <c r="B33" s="111" t="s">
        <v>278</v>
      </c>
      <c r="C33" s="112">
        <v>386.3</v>
      </c>
      <c r="D33" s="110"/>
      <c r="E33" s="109">
        <v>29220853</v>
      </c>
      <c r="F33" s="110"/>
      <c r="G33" s="110"/>
      <c r="H33" s="110"/>
      <c r="I33" s="109">
        <v>1794790</v>
      </c>
      <c r="J33" s="110"/>
      <c r="K33" s="110"/>
      <c r="L33" s="110"/>
      <c r="M33" s="109">
        <v>764909</v>
      </c>
      <c r="N33" s="110"/>
      <c r="O33" s="110"/>
      <c r="P33" s="110"/>
      <c r="Q33" s="109">
        <v>10255550</v>
      </c>
      <c r="R33" s="110"/>
      <c r="S33" s="110"/>
      <c r="T33" s="64">
        <f>SUM(D$9:D33)+SUM(H$9:H33)</f>
        <v>1469155291</v>
      </c>
      <c r="U33" s="64">
        <f>SUM(E$9:E33)+SUM(I$9:I33)</f>
        <v>822411424</v>
      </c>
      <c r="V33" s="64">
        <f>SUM(F$9:F33)+SUM(J$9:J33)</f>
        <v>0</v>
      </c>
      <c r="W33" s="64">
        <f>SUM(G$9:G33)+SUM(K$9:K33)</f>
        <v>0</v>
      </c>
      <c r="X33" s="64">
        <f>SUM(L$9:L33)+SUM(P$9:P33)</f>
        <v>225412994</v>
      </c>
      <c r="Y33" s="64">
        <f>SUM(M$9:M33)+SUM(Q$9:Q33)</f>
        <v>105113688</v>
      </c>
      <c r="Z33" s="64">
        <f>SUM(N$9:N33)+SUM(R$9:R33)</f>
        <v>0</v>
      </c>
      <c r="AA33" s="64">
        <f>SUM(O$9:O33)+SUM(S$9:S33)</f>
        <v>0</v>
      </c>
      <c r="AB33" s="64">
        <f t="shared" si="0"/>
        <v>2622093397</v>
      </c>
      <c r="AC33" s="118">
        <f t="shared" si="1"/>
        <v>147.32503443316517</v>
      </c>
      <c r="AD33" s="118">
        <f t="shared" si="2"/>
        <v>63.801609153741367</v>
      </c>
      <c r="AE33" s="56">
        <f t="shared" si="3"/>
        <v>1.3091115786462248</v>
      </c>
      <c r="AF33" s="147">
        <f t="shared" si="4"/>
        <v>53.972820922366253</v>
      </c>
    </row>
    <row r="34" spans="2:32">
      <c r="B34" s="111" t="s">
        <v>279</v>
      </c>
      <c r="C34" s="112">
        <v>369.7</v>
      </c>
      <c r="D34" s="110"/>
      <c r="E34" s="109">
        <v>24303183</v>
      </c>
      <c r="F34" s="110"/>
      <c r="G34" s="110"/>
      <c r="H34" s="110"/>
      <c r="I34" s="109">
        <v>1503283</v>
      </c>
      <c r="J34" s="110"/>
      <c r="K34" s="110"/>
      <c r="L34" s="110"/>
      <c r="M34" s="109">
        <v>990588</v>
      </c>
      <c r="N34" s="110"/>
      <c r="O34" s="110"/>
      <c r="P34" s="110"/>
      <c r="Q34" s="109">
        <v>6794784</v>
      </c>
      <c r="R34" s="110"/>
      <c r="S34" s="110"/>
      <c r="T34" s="64">
        <f>SUM(D$9:D34)+SUM(H$9:H34)</f>
        <v>1469155291</v>
      </c>
      <c r="U34" s="64">
        <f>SUM(E$9:E34)+SUM(I$9:I34)</f>
        <v>848217890</v>
      </c>
      <c r="V34" s="64">
        <f>SUM(F$9:F34)+SUM(J$9:J34)</f>
        <v>0</v>
      </c>
      <c r="W34" s="64">
        <f>SUM(G$9:G34)+SUM(K$9:K34)</f>
        <v>0</v>
      </c>
      <c r="X34" s="64">
        <f>SUM(L$9:L34)+SUM(P$9:P34)</f>
        <v>225412994</v>
      </c>
      <c r="Y34" s="64">
        <f>SUM(M$9:M34)+SUM(Q$9:Q34)</f>
        <v>112899060</v>
      </c>
      <c r="Z34" s="64">
        <f>SUM(N$9:N34)+SUM(R$9:R34)</f>
        <v>0</v>
      </c>
      <c r="AA34" s="64">
        <f>SUM(O$9:O34)+SUM(S$9:S34)</f>
        <v>0</v>
      </c>
      <c r="AB34" s="64">
        <f t="shared" si="0"/>
        <v>2655685235</v>
      </c>
      <c r="AC34" s="118">
        <f t="shared" si="1"/>
        <v>139.21077510528087</v>
      </c>
      <c r="AD34" s="118">
        <f t="shared" si="2"/>
        <v>63.757703847760403</v>
      </c>
      <c r="AE34" s="56">
        <f t="shared" si="3"/>
        <v>1.1834345765914982</v>
      </c>
      <c r="AF34" s="147">
        <f t="shared" si="4"/>
        <v>53.935217626045201</v>
      </c>
    </row>
    <row r="35" spans="2:32">
      <c r="B35" s="111" t="s">
        <v>280</v>
      </c>
      <c r="C35" s="112">
        <v>364.6</v>
      </c>
      <c r="D35" s="110"/>
      <c r="E35" s="109">
        <v>23103960</v>
      </c>
      <c r="F35" s="110"/>
      <c r="G35" s="110"/>
      <c r="H35" s="110"/>
      <c r="I35" s="109">
        <v>1753736</v>
      </c>
      <c r="J35" s="110"/>
      <c r="K35" s="110"/>
      <c r="L35" s="110"/>
      <c r="M35" s="109">
        <v>921090</v>
      </c>
      <c r="N35" s="110"/>
      <c r="O35" s="110"/>
      <c r="P35" s="110"/>
      <c r="Q35" s="109">
        <v>7848819</v>
      </c>
      <c r="R35" s="110"/>
      <c r="S35" s="110"/>
      <c r="T35" s="64">
        <f>SUM(D$9:D35)+SUM(H$9:H35)</f>
        <v>1469155291</v>
      </c>
      <c r="U35" s="64">
        <f>SUM(E$9:E35)+SUM(I$9:I35)</f>
        <v>873075586</v>
      </c>
      <c r="V35" s="64">
        <f>SUM(F$9:F35)+SUM(J$9:J35)</f>
        <v>0</v>
      </c>
      <c r="W35" s="64">
        <f>SUM(G$9:G35)+SUM(K$9:K35)</f>
        <v>0</v>
      </c>
      <c r="X35" s="64">
        <f>SUM(L$9:L35)+SUM(P$9:P35)</f>
        <v>225412994</v>
      </c>
      <c r="Y35" s="64">
        <f>SUM(M$9:M35)+SUM(Q$9:Q35)</f>
        <v>121668969</v>
      </c>
      <c r="Z35" s="64">
        <f>SUM(N$9:N35)+SUM(R$9:R35)</f>
        <v>0</v>
      </c>
      <c r="AA35" s="64">
        <f>SUM(O$9:O35)+SUM(S$9:S35)</f>
        <v>0</v>
      </c>
      <c r="AB35" s="64">
        <f t="shared" si="0"/>
        <v>2689312840</v>
      </c>
      <c r="AC35" s="118">
        <f t="shared" si="1"/>
        <v>135.57366572495894</v>
      </c>
      <c r="AD35" s="118">
        <f t="shared" si="2"/>
        <v>63.723199606632598</v>
      </c>
      <c r="AE35" s="56">
        <f t="shared" si="3"/>
        <v>1.1275401511829894</v>
      </c>
      <c r="AF35" s="147">
        <f t="shared" si="4"/>
        <v>53.898515187619452</v>
      </c>
    </row>
    <row r="36" spans="2:32">
      <c r="B36" s="111" t="s">
        <v>281</v>
      </c>
      <c r="C36" s="112">
        <v>391.4</v>
      </c>
      <c r="D36" s="110"/>
      <c r="E36" s="109">
        <v>24388774</v>
      </c>
      <c r="F36" s="110"/>
      <c r="G36" s="110"/>
      <c r="H36" s="110"/>
      <c r="I36" s="109">
        <v>1282775</v>
      </c>
      <c r="J36" s="110"/>
      <c r="K36" s="110"/>
      <c r="L36" s="110"/>
      <c r="M36" s="109">
        <v>539159</v>
      </c>
      <c r="N36" s="110"/>
      <c r="O36" s="110"/>
      <c r="P36" s="110"/>
      <c r="Q36" s="109">
        <v>5948172</v>
      </c>
      <c r="R36" s="110"/>
      <c r="S36" s="110"/>
      <c r="T36" s="64">
        <f>SUM(D$9:D36)+SUM(H$9:H36)</f>
        <v>1469155291</v>
      </c>
      <c r="U36" s="64">
        <f>SUM(E$9:E36)+SUM(I$9:I36)</f>
        <v>898747135</v>
      </c>
      <c r="V36" s="64">
        <f>SUM(F$9:F36)+SUM(J$9:J36)</f>
        <v>0</v>
      </c>
      <c r="W36" s="64">
        <f>SUM(G$9:G36)+SUM(K$9:K36)</f>
        <v>0</v>
      </c>
      <c r="X36" s="64">
        <f>SUM(L$9:L36)+SUM(P$9:P36)</f>
        <v>225412994</v>
      </c>
      <c r="Y36" s="64">
        <f>SUM(M$9:M36)+SUM(Q$9:Q36)</f>
        <v>128156300</v>
      </c>
      <c r="Z36" s="64">
        <f>SUM(N$9:N36)+SUM(R$9:R36)</f>
        <v>0</v>
      </c>
      <c r="AA36" s="64">
        <f>SUM(O$9:O36)+SUM(S$9:S36)</f>
        <v>0</v>
      </c>
      <c r="AB36" s="64">
        <f t="shared" si="0"/>
        <v>2721471720</v>
      </c>
      <c r="AC36" s="118">
        <f t="shared" si="1"/>
        <v>143.81924203864224</v>
      </c>
      <c r="AD36" s="118">
        <f t="shared" si="2"/>
        <v>63.674946407673858</v>
      </c>
      <c r="AE36" s="56">
        <f t="shared" si="3"/>
        <v>1.2586472412218583</v>
      </c>
      <c r="AF36" s="147">
        <f t="shared" si="4"/>
        <v>53.864264233838888</v>
      </c>
    </row>
    <row r="37" spans="2:32">
      <c r="B37" s="111" t="s">
        <v>282</v>
      </c>
      <c r="C37" s="112">
        <v>384.3</v>
      </c>
      <c r="D37" s="110"/>
      <c r="E37" s="109">
        <v>24519710</v>
      </c>
      <c r="F37" s="110"/>
      <c r="G37" s="110"/>
      <c r="H37" s="110"/>
      <c r="I37" s="109">
        <v>1120156</v>
      </c>
      <c r="J37" s="110"/>
      <c r="K37" s="110"/>
      <c r="L37" s="110"/>
      <c r="M37" s="109">
        <v>271546</v>
      </c>
      <c r="N37" s="110"/>
      <c r="O37" s="110"/>
      <c r="P37" s="110"/>
      <c r="Q37" s="109">
        <v>2513713</v>
      </c>
      <c r="R37" s="110"/>
      <c r="S37" s="110"/>
      <c r="T37" s="64">
        <f>SUM(D$9:D37)+SUM(H$9:H37)</f>
        <v>1469155291</v>
      </c>
      <c r="U37" s="64">
        <f>SUM(E$9:E37)+SUM(I$9:I37)</f>
        <v>924387001</v>
      </c>
      <c r="V37" s="64">
        <f>SUM(F$9:F37)+SUM(J$9:J37)</f>
        <v>0</v>
      </c>
      <c r="W37" s="64">
        <f>SUM(G$9:G37)+SUM(K$9:K37)</f>
        <v>0</v>
      </c>
      <c r="X37" s="64">
        <f>SUM(L$9:L37)+SUM(P$9:P37)</f>
        <v>225412994</v>
      </c>
      <c r="Y37" s="64">
        <f>SUM(M$9:M37)+SUM(Q$9:Q37)</f>
        <v>130941559</v>
      </c>
      <c r="Z37" s="64">
        <f>SUM(N$9:N37)+SUM(R$9:R37)</f>
        <v>0</v>
      </c>
      <c r="AA37" s="64">
        <f>SUM(O$9:O37)+SUM(S$9:S37)</f>
        <v>0</v>
      </c>
      <c r="AB37" s="64">
        <f t="shared" si="0"/>
        <v>2749896845</v>
      </c>
      <c r="AC37" s="118">
        <f t="shared" si="1"/>
        <v>139.75069672113463</v>
      </c>
      <c r="AD37" s="118">
        <f t="shared" si="2"/>
        <v>63.608571016415709</v>
      </c>
      <c r="AE37" s="56">
        <f t="shared" si="3"/>
        <v>1.197041915704546</v>
      </c>
      <c r="AF37" s="147">
        <f t="shared" si="4"/>
        <v>53.834656916376076</v>
      </c>
    </row>
    <row r="38" spans="2:32">
      <c r="B38" s="111" t="s">
        <v>283</v>
      </c>
      <c r="C38" s="112">
        <v>368.9</v>
      </c>
      <c r="D38" s="110"/>
      <c r="E38" s="109">
        <v>27690934</v>
      </c>
      <c r="F38" s="110"/>
      <c r="G38" s="110"/>
      <c r="H38" s="110"/>
      <c r="I38" s="109">
        <v>1274811</v>
      </c>
      <c r="J38" s="110"/>
      <c r="K38" s="110"/>
      <c r="L38" s="110"/>
      <c r="M38" s="109">
        <v>425969</v>
      </c>
      <c r="N38" s="110"/>
      <c r="O38" s="110"/>
      <c r="P38" s="110"/>
      <c r="Q38" s="109">
        <v>4854802</v>
      </c>
      <c r="R38" s="110"/>
      <c r="S38" s="110"/>
      <c r="T38" s="64">
        <f>SUM(D$9:D38)+SUM(H$9:H38)</f>
        <v>1469155291</v>
      </c>
      <c r="U38" s="64">
        <f>SUM(E$9:E38)+SUM(I$9:I38)</f>
        <v>953352746</v>
      </c>
      <c r="V38" s="64">
        <f>SUM(F$9:F38)+SUM(J$9:J38)</f>
        <v>0</v>
      </c>
      <c r="W38" s="64">
        <f>SUM(G$9:G38)+SUM(K$9:K38)</f>
        <v>0</v>
      </c>
      <c r="X38" s="64">
        <f>SUM(L$9:L38)+SUM(P$9:P38)</f>
        <v>225412994</v>
      </c>
      <c r="Y38" s="64">
        <f>SUM(M$9:M38)+SUM(Q$9:Q38)</f>
        <v>136222330</v>
      </c>
      <c r="Z38" s="64">
        <f>SUM(N$9:N38)+SUM(R$9:R38)</f>
        <v>0</v>
      </c>
      <c r="AA38" s="64">
        <f>SUM(O$9:O38)+SUM(S$9:S38)</f>
        <v>0</v>
      </c>
      <c r="AB38" s="64">
        <f t="shared" si="0"/>
        <v>2784143361</v>
      </c>
      <c r="AC38" s="118">
        <f t="shared" si="1"/>
        <v>132.50036085336484</v>
      </c>
      <c r="AD38" s="118">
        <f t="shared" si="2"/>
        <v>63.546305604914572</v>
      </c>
      <c r="AE38" s="56">
        <f t="shared" si="3"/>
        <v>1.0850993553764905</v>
      </c>
      <c r="AF38" s="147">
        <f t="shared" si="4"/>
        <v>53.799789055474577</v>
      </c>
    </row>
    <row r="39" spans="2:32">
      <c r="B39" s="111" t="s">
        <v>284</v>
      </c>
      <c r="C39" s="112">
        <v>294.60000000000002</v>
      </c>
      <c r="D39" s="110"/>
      <c r="E39" s="109">
        <v>23594414</v>
      </c>
      <c r="F39" s="110"/>
      <c r="G39" s="110"/>
      <c r="H39" s="110"/>
      <c r="I39" s="109">
        <v>1045197</v>
      </c>
      <c r="J39" s="110"/>
      <c r="K39" s="110"/>
      <c r="L39" s="110"/>
      <c r="M39" s="109">
        <v>678725</v>
      </c>
      <c r="N39" s="110"/>
      <c r="O39" s="110"/>
      <c r="P39" s="110"/>
      <c r="Q39" s="109">
        <v>4339341</v>
      </c>
      <c r="R39" s="110"/>
      <c r="S39" s="110"/>
      <c r="T39" s="64">
        <f>SUM(D$9:D39)+SUM(H$9:H39)</f>
        <v>1469155291</v>
      </c>
      <c r="U39" s="64">
        <f>SUM(E$9:E39)+SUM(I$9:I39)</f>
        <v>977992357</v>
      </c>
      <c r="V39" s="64">
        <f>SUM(F$9:F39)+SUM(J$9:J39)</f>
        <v>0</v>
      </c>
      <c r="W39" s="64">
        <f>SUM(G$9:G39)+SUM(K$9:K39)</f>
        <v>0</v>
      </c>
      <c r="X39" s="64">
        <f>SUM(L$9:L39)+SUM(P$9:P39)</f>
        <v>225412994</v>
      </c>
      <c r="Y39" s="64">
        <f>SUM(M$9:M39)+SUM(Q$9:Q39)</f>
        <v>141240396</v>
      </c>
      <c r="Z39" s="64">
        <f>SUM(N$9:N39)+SUM(R$9:R39)</f>
        <v>0</v>
      </c>
      <c r="AA39" s="64">
        <f>SUM(O$9:O39)+SUM(S$9:S39)</f>
        <v>0</v>
      </c>
      <c r="AB39" s="64">
        <f t="shared" si="0"/>
        <v>2813801038</v>
      </c>
      <c r="AC39" s="118">
        <f t="shared" si="1"/>
        <v>104.698234175575</v>
      </c>
      <c r="AD39" s="118">
        <f t="shared" si="2"/>
        <v>63.497244547892585</v>
      </c>
      <c r="AE39" s="56">
        <f t="shared" si="3"/>
        <v>0.64886263838750824</v>
      </c>
      <c r="AF39" s="147">
        <f t="shared" si="4"/>
        <v>53.770279065836355</v>
      </c>
    </row>
    <row r="40" spans="2:32">
      <c r="B40" s="111" t="s">
        <v>285</v>
      </c>
      <c r="C40" s="112">
        <v>306.10000000000002</v>
      </c>
      <c r="D40" s="110"/>
      <c r="E40" s="110"/>
      <c r="F40" s="109">
        <v>22199040</v>
      </c>
      <c r="G40" s="110"/>
      <c r="H40" s="110"/>
      <c r="I40" s="110"/>
      <c r="J40" s="109">
        <v>1483708</v>
      </c>
      <c r="K40" s="110"/>
      <c r="L40" s="110"/>
      <c r="M40" s="110"/>
      <c r="N40" s="109">
        <v>1398950</v>
      </c>
      <c r="O40" s="110"/>
      <c r="P40" s="110"/>
      <c r="Q40" s="110"/>
      <c r="R40" s="109">
        <v>7214658</v>
      </c>
      <c r="S40" s="110"/>
      <c r="T40" s="64">
        <f>SUM(D$9:D40)+SUM(H$9:H40)</f>
        <v>1469155291</v>
      </c>
      <c r="U40" s="64">
        <f>SUM(E$9:E40)+SUM(I$9:I40)</f>
        <v>977992357</v>
      </c>
      <c r="V40" s="64">
        <f>SUM(F$9:F40)+SUM(J$9:J40)</f>
        <v>23682748</v>
      </c>
      <c r="W40" s="64">
        <f>SUM(G$9:G40)+SUM(K$9:K40)</f>
        <v>0</v>
      </c>
      <c r="X40" s="64">
        <f>SUM(L$9:L40)+SUM(P$9:P40)</f>
        <v>225412994</v>
      </c>
      <c r="Y40" s="64">
        <f>SUM(M$9:M40)+SUM(Q$9:Q40)</f>
        <v>141240396</v>
      </c>
      <c r="Z40" s="64">
        <f>SUM(N$9:N40)+SUM(R$9:R40)</f>
        <v>8613608</v>
      </c>
      <c r="AA40" s="64">
        <f>SUM(O$9:O40)+SUM(S$9:S40)</f>
        <v>0</v>
      </c>
      <c r="AB40" s="64">
        <f t="shared" si="0"/>
        <v>2846097394</v>
      </c>
      <c r="AC40" s="118">
        <f t="shared" si="1"/>
        <v>107.55078186899179</v>
      </c>
      <c r="AD40" s="118">
        <f t="shared" si="2"/>
        <v>63.32518597675228</v>
      </c>
      <c r="AE40" s="56">
        <f t="shared" si="3"/>
        <v>0.69838872496127302</v>
      </c>
      <c r="AF40" s="147">
        <f t="shared" si="4"/>
        <v>53.648062318207515</v>
      </c>
    </row>
    <row r="41" spans="2:32">
      <c r="B41" s="111" t="s">
        <v>286</v>
      </c>
      <c r="C41" s="112">
        <v>277.7</v>
      </c>
      <c r="D41" s="110"/>
      <c r="E41" s="110"/>
      <c r="F41" s="109">
        <v>18320476</v>
      </c>
      <c r="G41" s="110"/>
      <c r="H41" s="110"/>
      <c r="I41" s="110"/>
      <c r="J41" s="109">
        <v>1124223</v>
      </c>
      <c r="K41" s="110"/>
      <c r="L41" s="110"/>
      <c r="M41" s="110"/>
      <c r="N41" s="109">
        <v>636079</v>
      </c>
      <c r="O41" s="110"/>
      <c r="P41" s="110"/>
      <c r="Q41" s="110"/>
      <c r="R41" s="109">
        <v>4488954</v>
      </c>
      <c r="S41" s="110"/>
      <c r="T41" s="64">
        <f>SUM(D$9:D41)+SUM(H$9:H41)</f>
        <v>1469155291</v>
      </c>
      <c r="U41" s="64">
        <f>SUM(E$9:E41)+SUM(I$9:I41)</f>
        <v>977992357</v>
      </c>
      <c r="V41" s="64">
        <f>SUM(F$9:F41)+SUM(J$9:J41)</f>
        <v>43127447</v>
      </c>
      <c r="W41" s="64">
        <f>SUM(G$9:G41)+SUM(K$9:K41)</f>
        <v>0</v>
      </c>
      <c r="X41" s="64">
        <f>SUM(L$9:L41)+SUM(P$9:P41)</f>
        <v>225412994</v>
      </c>
      <c r="Y41" s="64">
        <f>SUM(M$9:M41)+SUM(Q$9:Q41)</f>
        <v>141240396</v>
      </c>
      <c r="Z41" s="64">
        <f>SUM(N$9:N41)+SUM(R$9:R41)</f>
        <v>13738641</v>
      </c>
      <c r="AA41" s="64">
        <f>SUM(O$9:O41)+SUM(S$9:S41)</f>
        <v>0</v>
      </c>
      <c r="AB41" s="64">
        <f t="shared" ref="AB41:AB72" si="5">SUM(T41:AA41)</f>
        <v>2870667126</v>
      </c>
      <c r="AC41" s="118">
        <f t="shared" si="1"/>
        <v>96.737095529062046</v>
      </c>
      <c r="AD41" s="118">
        <f t="shared" si="2"/>
        <v>63.179475197013836</v>
      </c>
      <c r="AE41" s="56">
        <f t="shared" si="3"/>
        <v>0.53114750047234183</v>
      </c>
      <c r="AF41" s="147">
        <f t="shared" si="4"/>
        <v>53.55692669502497</v>
      </c>
    </row>
    <row r="42" spans="2:32">
      <c r="B42" s="111" t="s">
        <v>287</v>
      </c>
      <c r="C42" s="112">
        <v>277.60000000000002</v>
      </c>
      <c r="D42" s="110"/>
      <c r="E42" s="110"/>
      <c r="F42" s="109">
        <v>15940864</v>
      </c>
      <c r="G42" s="110"/>
      <c r="H42" s="110"/>
      <c r="I42" s="110"/>
      <c r="J42" s="109">
        <v>1047850</v>
      </c>
      <c r="K42" s="110"/>
      <c r="L42" s="110"/>
      <c r="M42" s="110"/>
      <c r="N42" s="109">
        <v>1107277</v>
      </c>
      <c r="O42" s="110"/>
      <c r="P42" s="110"/>
      <c r="Q42" s="110"/>
      <c r="R42" s="109">
        <v>5420935</v>
      </c>
      <c r="S42" s="110"/>
      <c r="T42" s="64">
        <f>SUM(D$9:D42)+SUM(H$9:H42)</f>
        <v>1469155291</v>
      </c>
      <c r="U42" s="64">
        <f>SUM(E$9:E42)+SUM(I$9:I42)</f>
        <v>977992357</v>
      </c>
      <c r="V42" s="64">
        <f>SUM(F$9:F42)+SUM(J$9:J42)</f>
        <v>60116161</v>
      </c>
      <c r="W42" s="64">
        <f>SUM(G$9:G42)+SUM(K$9:K42)</f>
        <v>0</v>
      </c>
      <c r="X42" s="64">
        <f>SUM(L$9:L42)+SUM(P$9:P42)</f>
        <v>225412994</v>
      </c>
      <c r="Y42" s="64">
        <f>SUM(M$9:M42)+SUM(Q$9:Q42)</f>
        <v>141240396</v>
      </c>
      <c r="Z42" s="64">
        <f>SUM(N$9:N42)+SUM(R$9:R42)</f>
        <v>20266853</v>
      </c>
      <c r="AA42" s="64">
        <f>SUM(O$9:O42)+SUM(S$9:S42)</f>
        <v>0</v>
      </c>
      <c r="AB42" s="64">
        <f t="shared" si="5"/>
        <v>2894184052</v>
      </c>
      <c r="AC42" s="118">
        <f t="shared" si="1"/>
        <v>95.916498402431245</v>
      </c>
      <c r="AD42" s="118">
        <f t="shared" si="2"/>
        <v>63.061950014504468</v>
      </c>
      <c r="AE42" s="56">
        <f t="shared" si="3"/>
        <v>0.52098846262080567</v>
      </c>
      <c r="AF42" s="147">
        <f t="shared" si="4"/>
        <v>53.471145535494784</v>
      </c>
    </row>
    <row r="43" spans="2:32">
      <c r="B43" s="111" t="s">
        <v>288</v>
      </c>
      <c r="C43" s="112">
        <v>280</v>
      </c>
      <c r="D43" s="110"/>
      <c r="E43" s="110"/>
      <c r="F43" s="109">
        <v>26295649</v>
      </c>
      <c r="G43" s="110"/>
      <c r="H43" s="110"/>
      <c r="I43" s="110"/>
      <c r="J43" s="109">
        <v>1503644</v>
      </c>
      <c r="K43" s="110"/>
      <c r="L43" s="110"/>
      <c r="M43" s="110"/>
      <c r="N43" s="109">
        <v>1079424</v>
      </c>
      <c r="O43" s="110"/>
      <c r="P43" s="110"/>
      <c r="Q43" s="110"/>
      <c r="R43" s="109">
        <v>5797688</v>
      </c>
      <c r="S43" s="110"/>
      <c r="T43" s="64">
        <f>SUM(D$9:D43)+SUM(H$9:H43)</f>
        <v>1469155291</v>
      </c>
      <c r="U43" s="64">
        <f>SUM(E$9:E43)+SUM(I$9:I43)</f>
        <v>977992357</v>
      </c>
      <c r="V43" s="64">
        <f>SUM(F$9:F43)+SUM(J$9:J43)</f>
        <v>87915454</v>
      </c>
      <c r="W43" s="64">
        <f>SUM(G$9:G43)+SUM(K$9:K43)</f>
        <v>0</v>
      </c>
      <c r="X43" s="64">
        <f>SUM(L$9:L43)+SUM(P$9:P43)</f>
        <v>225412994</v>
      </c>
      <c r="Y43" s="64">
        <f>SUM(M$9:M43)+SUM(Q$9:Q43)</f>
        <v>141240396</v>
      </c>
      <c r="Z43" s="64">
        <f>SUM(N$9:N43)+SUM(R$9:R43)</f>
        <v>27143965</v>
      </c>
      <c r="AA43" s="64">
        <f>SUM(O$9:O43)+SUM(S$9:S43)</f>
        <v>0</v>
      </c>
      <c r="AB43" s="64">
        <f t="shared" si="5"/>
        <v>2928860457</v>
      </c>
      <c r="AC43" s="118">
        <f t="shared" si="1"/>
        <v>95.600321050051306</v>
      </c>
      <c r="AD43" s="118">
        <f t="shared" si="2"/>
        <v>62.859248993916815</v>
      </c>
      <c r="AE43" s="56">
        <f t="shared" si="3"/>
        <v>0.52086323938268819</v>
      </c>
      <c r="AF43" s="147">
        <f t="shared" si="4"/>
        <v>53.347171830112217</v>
      </c>
    </row>
    <row r="44" spans="2:32">
      <c r="B44" s="111" t="s">
        <v>289</v>
      </c>
      <c r="C44" s="112">
        <v>296</v>
      </c>
      <c r="D44" s="110"/>
      <c r="E44" s="110"/>
      <c r="F44" s="109">
        <v>33178302</v>
      </c>
      <c r="G44" s="110"/>
      <c r="H44" s="110"/>
      <c r="I44" s="110"/>
      <c r="J44" s="109">
        <v>2291632</v>
      </c>
      <c r="K44" s="110"/>
      <c r="L44" s="110"/>
      <c r="M44" s="110"/>
      <c r="N44" s="109">
        <v>1873009</v>
      </c>
      <c r="O44" s="110"/>
      <c r="P44" s="110"/>
      <c r="Q44" s="110"/>
      <c r="R44" s="109">
        <v>8668183</v>
      </c>
      <c r="S44" s="110"/>
      <c r="T44" s="64">
        <f>SUM(D$9:D44)+SUM(H$9:H44)</f>
        <v>1469155291</v>
      </c>
      <c r="U44" s="64">
        <f>SUM(E$9:E44)+SUM(I$9:I44)</f>
        <v>977992357</v>
      </c>
      <c r="V44" s="64">
        <f>SUM(F$9:F44)+SUM(J$9:J44)</f>
        <v>123385388</v>
      </c>
      <c r="W44" s="64">
        <f>SUM(G$9:G44)+SUM(K$9:K44)</f>
        <v>0</v>
      </c>
      <c r="X44" s="64">
        <f>SUM(L$9:L44)+SUM(P$9:P44)</f>
        <v>225412994</v>
      </c>
      <c r="Y44" s="64">
        <f>SUM(M$9:M44)+SUM(Q$9:Q44)</f>
        <v>141240396</v>
      </c>
      <c r="Z44" s="64">
        <f>SUM(N$9:N44)+SUM(R$9:R44)</f>
        <v>37685157</v>
      </c>
      <c r="AA44" s="64">
        <f>SUM(O$9:O44)+SUM(S$9:S44)</f>
        <v>0</v>
      </c>
      <c r="AB44" s="64">
        <f t="shared" si="5"/>
        <v>2974871583</v>
      </c>
      <c r="AC44" s="118">
        <f t="shared" si="1"/>
        <v>99.500093278480179</v>
      </c>
      <c r="AD44" s="118">
        <f t="shared" si="2"/>
        <v>62.61424709336773</v>
      </c>
      <c r="AE44" s="56">
        <f t="shared" si="3"/>
        <v>0.58909669759519478</v>
      </c>
      <c r="AF44" s="147">
        <f t="shared" si="4"/>
        <v>53.187136341676499</v>
      </c>
    </row>
    <row r="45" spans="2:32">
      <c r="B45" s="111" t="s">
        <v>290</v>
      </c>
      <c r="C45" s="112">
        <v>296</v>
      </c>
      <c r="D45" s="110"/>
      <c r="E45" s="110"/>
      <c r="F45" s="109">
        <v>40631165</v>
      </c>
      <c r="G45" s="110"/>
      <c r="H45" s="110"/>
      <c r="I45" s="110"/>
      <c r="J45" s="109">
        <v>3586756</v>
      </c>
      <c r="K45" s="110"/>
      <c r="L45" s="110"/>
      <c r="M45" s="110"/>
      <c r="N45" s="109">
        <v>2447021</v>
      </c>
      <c r="O45" s="110"/>
      <c r="P45" s="110"/>
      <c r="Q45" s="110"/>
      <c r="R45" s="109">
        <v>11427033</v>
      </c>
      <c r="S45" s="110"/>
      <c r="T45" s="64">
        <f>SUM(D$9:D45)+SUM(H$9:H45)</f>
        <v>1469155291</v>
      </c>
      <c r="U45" s="64">
        <f>SUM(E$9:E45)+SUM(I$9:I45)</f>
        <v>977992357</v>
      </c>
      <c r="V45" s="64">
        <f>SUM(F$9:F45)+SUM(J$9:J45)</f>
        <v>167603309</v>
      </c>
      <c r="W45" s="64">
        <f>SUM(G$9:G45)+SUM(K$9:K45)</f>
        <v>0</v>
      </c>
      <c r="X45" s="64">
        <f>SUM(L$9:L45)+SUM(P$9:P45)</f>
        <v>225412994</v>
      </c>
      <c r="Y45" s="64">
        <f>SUM(M$9:M45)+SUM(Q$9:Q45)</f>
        <v>141240396</v>
      </c>
      <c r="Z45" s="64">
        <f>SUM(N$9:N45)+SUM(R$9:R45)</f>
        <v>51559211</v>
      </c>
      <c r="AA45" s="64">
        <f>SUM(O$9:O45)+SUM(S$9:S45)</f>
        <v>0</v>
      </c>
      <c r="AB45" s="64">
        <f t="shared" si="5"/>
        <v>3032963558</v>
      </c>
      <c r="AC45" s="118">
        <f t="shared" si="1"/>
        <v>97.594314715468798</v>
      </c>
      <c r="AD45" s="118">
        <f t="shared" si="2"/>
        <v>62.322055530612481</v>
      </c>
      <c r="AE45" s="56">
        <f t="shared" si="3"/>
        <v>0.56596751959714564</v>
      </c>
      <c r="AF45" s="147">
        <f t="shared" si="4"/>
        <v>52.992016664711933</v>
      </c>
    </row>
    <row r="46" spans="2:32">
      <c r="B46" s="111" t="s">
        <v>291</v>
      </c>
      <c r="C46" s="112">
        <v>303.8</v>
      </c>
      <c r="D46" s="110"/>
      <c r="E46" s="110"/>
      <c r="F46" s="109">
        <v>43170925</v>
      </c>
      <c r="G46" s="110"/>
      <c r="H46" s="110"/>
      <c r="I46" s="110"/>
      <c r="J46" s="109">
        <v>4070406</v>
      </c>
      <c r="K46" s="110"/>
      <c r="L46" s="110"/>
      <c r="M46" s="110"/>
      <c r="N46" s="109">
        <v>3004979</v>
      </c>
      <c r="O46" s="110"/>
      <c r="P46" s="110"/>
      <c r="Q46" s="110"/>
      <c r="R46" s="109">
        <v>13641585</v>
      </c>
      <c r="S46" s="110"/>
      <c r="T46" s="64">
        <f>SUM(D$9:D46)+SUM(H$9:H46)</f>
        <v>1469155291</v>
      </c>
      <c r="U46" s="64">
        <f>SUM(E$9:E46)+SUM(I$9:I46)</f>
        <v>977992357</v>
      </c>
      <c r="V46" s="64">
        <f>SUM(F$9:F46)+SUM(J$9:J46)</f>
        <v>214844640</v>
      </c>
      <c r="W46" s="64">
        <f>SUM(G$9:G46)+SUM(K$9:K46)</f>
        <v>0</v>
      </c>
      <c r="X46" s="64">
        <f>SUM(L$9:L46)+SUM(P$9:P46)</f>
        <v>225412994</v>
      </c>
      <c r="Y46" s="64">
        <f>SUM(M$9:M46)+SUM(Q$9:Q46)</f>
        <v>141240396</v>
      </c>
      <c r="Z46" s="64">
        <f>SUM(N$9:N46)+SUM(R$9:R46)</f>
        <v>68205775</v>
      </c>
      <c r="AA46" s="64">
        <f>SUM(O$9:O46)+SUM(S$9:S46)</f>
        <v>0</v>
      </c>
      <c r="AB46" s="64">
        <f t="shared" si="5"/>
        <v>3096851453</v>
      </c>
      <c r="AC46" s="118">
        <f t="shared" si="1"/>
        <v>98.099635907851209</v>
      </c>
      <c r="AD46" s="118">
        <f t="shared" si="2"/>
        <v>62.029058818082099</v>
      </c>
      <c r="AE46" s="56">
        <f t="shared" si="3"/>
        <v>0.58151095272227749</v>
      </c>
      <c r="AF46" s="147">
        <f t="shared" si="4"/>
        <v>52.785881846429007</v>
      </c>
    </row>
    <row r="47" spans="2:32">
      <c r="B47" s="111" t="s">
        <v>292</v>
      </c>
      <c r="C47" s="112">
        <v>307.10000000000002</v>
      </c>
      <c r="D47" s="110"/>
      <c r="E47" s="110"/>
      <c r="F47" s="109">
        <v>42342450</v>
      </c>
      <c r="G47" s="110"/>
      <c r="H47" s="110"/>
      <c r="I47" s="110"/>
      <c r="J47" s="109">
        <v>4500098</v>
      </c>
      <c r="K47" s="110"/>
      <c r="L47" s="110"/>
      <c r="M47" s="110"/>
      <c r="N47" s="109">
        <v>2861594</v>
      </c>
      <c r="O47" s="110"/>
      <c r="P47" s="110"/>
      <c r="Q47" s="110"/>
      <c r="R47" s="109">
        <v>15682853</v>
      </c>
      <c r="S47" s="110"/>
      <c r="T47" s="64">
        <f>SUM(D$9:D47)+SUM(H$9:H47)</f>
        <v>1469155291</v>
      </c>
      <c r="U47" s="64">
        <f>SUM(E$9:E47)+SUM(I$9:I47)</f>
        <v>977992357</v>
      </c>
      <c r="V47" s="64">
        <f>SUM(F$9:F47)+SUM(J$9:J47)</f>
        <v>261687188</v>
      </c>
      <c r="W47" s="64">
        <f>SUM(G$9:G47)+SUM(K$9:K47)</f>
        <v>0</v>
      </c>
      <c r="X47" s="64">
        <f>SUM(L$9:L47)+SUM(P$9:P47)</f>
        <v>225412994</v>
      </c>
      <c r="Y47" s="64">
        <f>SUM(M$9:M47)+SUM(Q$9:Q47)</f>
        <v>141240396</v>
      </c>
      <c r="Z47" s="64">
        <f>SUM(N$9:N47)+SUM(R$9:R47)</f>
        <v>86750222</v>
      </c>
      <c r="AA47" s="64">
        <f>SUM(O$9:O47)+SUM(S$9:S47)</f>
        <v>0</v>
      </c>
      <c r="AB47" s="64">
        <f t="shared" si="5"/>
        <v>3162238448</v>
      </c>
      <c r="AC47" s="118">
        <f t="shared" si="1"/>
        <v>97.114751164394164</v>
      </c>
      <c r="AD47" s="118">
        <f t="shared" si="2"/>
        <v>61.758128803511404</v>
      </c>
      <c r="AE47" s="56">
        <f t="shared" si="3"/>
        <v>0.57250151592793208</v>
      </c>
      <c r="AF47" s="147">
        <f t="shared" si="4"/>
        <v>52.583534864098269</v>
      </c>
    </row>
    <row r="48" spans="2:32">
      <c r="B48" s="111" t="s">
        <v>293</v>
      </c>
      <c r="C48" s="112">
        <v>314.7</v>
      </c>
      <c r="D48" s="110"/>
      <c r="E48" s="110"/>
      <c r="F48" s="109">
        <v>38369644</v>
      </c>
      <c r="G48" s="110"/>
      <c r="H48" s="110"/>
      <c r="I48" s="110"/>
      <c r="J48" s="109">
        <v>4374523</v>
      </c>
      <c r="K48" s="110"/>
      <c r="L48" s="110"/>
      <c r="M48" s="110"/>
      <c r="N48" s="109">
        <v>2558434</v>
      </c>
      <c r="O48" s="110"/>
      <c r="P48" s="110"/>
      <c r="Q48" s="110"/>
      <c r="R48" s="109">
        <v>14144798</v>
      </c>
      <c r="S48" s="110"/>
      <c r="T48" s="64">
        <f>SUM(D$9:D48)+SUM(H$9:H48)</f>
        <v>1469155291</v>
      </c>
      <c r="U48" s="64">
        <f>SUM(E$9:E48)+SUM(I$9:I48)</f>
        <v>977992357</v>
      </c>
      <c r="V48" s="64">
        <f>SUM(F$9:F48)+SUM(J$9:J48)</f>
        <v>304431355</v>
      </c>
      <c r="W48" s="64">
        <f>SUM(G$9:G48)+SUM(K$9:K48)</f>
        <v>0</v>
      </c>
      <c r="X48" s="64">
        <f>SUM(L$9:L48)+SUM(P$9:P48)</f>
        <v>225412994</v>
      </c>
      <c r="Y48" s="64">
        <f>SUM(M$9:M48)+SUM(Q$9:Q48)</f>
        <v>141240396</v>
      </c>
      <c r="Z48" s="64">
        <f>SUM(N$9:N48)+SUM(R$9:R48)</f>
        <v>103453454</v>
      </c>
      <c r="AA48" s="64">
        <f>SUM(O$9:O48)+SUM(S$9:S48)</f>
        <v>0</v>
      </c>
      <c r="AB48" s="64">
        <f t="shared" si="5"/>
        <v>3221685847</v>
      </c>
      <c r="AC48" s="118">
        <f t="shared" si="1"/>
        <v>97.681777474686228</v>
      </c>
      <c r="AD48" s="118">
        <f t="shared" si="2"/>
        <v>61.519651658326325</v>
      </c>
      <c r="AE48" s="56">
        <f t="shared" si="3"/>
        <v>0.58781421613374119</v>
      </c>
      <c r="AF48" s="147">
        <f t="shared" si="4"/>
        <v>52.406696945085471</v>
      </c>
    </row>
    <row r="49" spans="2:50">
      <c r="B49" s="111" t="s">
        <v>294</v>
      </c>
      <c r="C49" s="112">
        <v>329.9</v>
      </c>
      <c r="D49" s="110"/>
      <c r="E49" s="110"/>
      <c r="F49" s="109">
        <v>30660626</v>
      </c>
      <c r="G49" s="110"/>
      <c r="H49" s="110"/>
      <c r="I49" s="110"/>
      <c r="J49" s="109">
        <v>3428872</v>
      </c>
      <c r="K49" s="110"/>
      <c r="L49" s="110"/>
      <c r="M49" s="110"/>
      <c r="N49" s="109">
        <v>1968057</v>
      </c>
      <c r="O49" s="110"/>
      <c r="P49" s="110"/>
      <c r="Q49" s="110"/>
      <c r="R49" s="109">
        <v>8810479</v>
      </c>
      <c r="S49" s="110"/>
      <c r="T49" s="64">
        <f>SUM(D$9:D49)+SUM(H$9:H49)</f>
        <v>1469155291</v>
      </c>
      <c r="U49" s="64">
        <f>SUM(E$9:E49)+SUM(I$9:I49)</f>
        <v>977992357</v>
      </c>
      <c r="V49" s="64">
        <f>SUM(F$9:F49)+SUM(J$9:J49)</f>
        <v>338520853</v>
      </c>
      <c r="W49" s="64">
        <f>SUM(G$9:G49)+SUM(K$9:K49)</f>
        <v>0</v>
      </c>
      <c r="X49" s="64">
        <f>SUM(L$9:L49)+SUM(P$9:P49)</f>
        <v>225412994</v>
      </c>
      <c r="Y49" s="64">
        <f>SUM(M$9:M49)+SUM(Q$9:Q49)</f>
        <v>141240396</v>
      </c>
      <c r="Z49" s="64">
        <f>SUM(N$9:N49)+SUM(R$9:R49)</f>
        <v>114231990</v>
      </c>
      <c r="AA49" s="64">
        <f>SUM(O$9:O49)+SUM(S$9:S49)</f>
        <v>0</v>
      </c>
      <c r="AB49" s="64">
        <f t="shared" si="5"/>
        <v>3266553881</v>
      </c>
      <c r="AC49" s="118">
        <f t="shared" si="1"/>
        <v>100.99328283512247</v>
      </c>
      <c r="AD49" s="118">
        <f t="shared" si="2"/>
        <v>61.32581933247468</v>
      </c>
      <c r="AE49" s="56">
        <f t="shared" si="3"/>
        <v>0.64683136620797099</v>
      </c>
      <c r="AF49" s="147">
        <f t="shared" si="4"/>
        <v>52.27749044375858</v>
      </c>
    </row>
    <row r="50" spans="2:50">
      <c r="B50" s="111" t="s">
        <v>295</v>
      </c>
      <c r="C50" s="112">
        <v>307.10000000000002</v>
      </c>
      <c r="D50" s="110"/>
      <c r="E50" s="110"/>
      <c r="F50" s="109">
        <v>23271894</v>
      </c>
      <c r="G50" s="110"/>
      <c r="H50" s="110"/>
      <c r="I50" s="110"/>
      <c r="J50" s="109">
        <v>2210939</v>
      </c>
      <c r="K50" s="110"/>
      <c r="L50" s="110"/>
      <c r="M50" s="110"/>
      <c r="N50" s="109">
        <v>822631</v>
      </c>
      <c r="O50" s="110"/>
      <c r="P50" s="110"/>
      <c r="Q50" s="110"/>
      <c r="R50" s="109">
        <v>2618989</v>
      </c>
      <c r="S50" s="110"/>
      <c r="T50" s="64">
        <f>SUM(D$9:D50)+SUM(H$9:H50)</f>
        <v>1469155291</v>
      </c>
      <c r="U50" s="64">
        <f>SUM(E$9:E50)+SUM(I$9:I50)</f>
        <v>977992357</v>
      </c>
      <c r="V50" s="64">
        <f>SUM(F$9:F50)+SUM(J$9:J50)</f>
        <v>364003686</v>
      </c>
      <c r="W50" s="64">
        <f>SUM(G$9:G50)+SUM(K$9:K50)</f>
        <v>0</v>
      </c>
      <c r="X50" s="64">
        <f>SUM(L$9:L50)+SUM(P$9:P50)</f>
        <v>225412994</v>
      </c>
      <c r="Y50" s="64">
        <f>SUM(M$9:M50)+SUM(Q$9:Q50)</f>
        <v>141240396</v>
      </c>
      <c r="Z50" s="64">
        <f>SUM(N$9:N50)+SUM(R$9:R50)</f>
        <v>117673610</v>
      </c>
      <c r="AA50" s="64">
        <f>SUM(O$9:O50)+SUM(S$9:S50)</f>
        <v>0</v>
      </c>
      <c r="AB50" s="64">
        <f t="shared" si="5"/>
        <v>3295478334</v>
      </c>
      <c r="AC50" s="118">
        <f t="shared" si="1"/>
        <v>93.188292828873443</v>
      </c>
      <c r="AD50" s="118">
        <f t="shared" si="2"/>
        <v>61.166417461569026</v>
      </c>
      <c r="AE50" s="56">
        <f t="shared" si="3"/>
        <v>0.52352053130173637</v>
      </c>
      <c r="AF50" s="147">
        <f t="shared" si="4"/>
        <v>52.196061798475171</v>
      </c>
    </row>
    <row r="51" spans="2:50">
      <c r="B51" s="111" t="s">
        <v>296</v>
      </c>
      <c r="C51" s="112">
        <v>295.7</v>
      </c>
      <c r="D51" s="110"/>
      <c r="E51" s="110"/>
      <c r="F51" s="109">
        <v>21908193</v>
      </c>
      <c r="G51" s="110"/>
      <c r="H51" s="110"/>
      <c r="I51" s="110"/>
      <c r="J51" s="109">
        <v>1260086</v>
      </c>
      <c r="K51" s="110"/>
      <c r="L51" s="110"/>
      <c r="M51" s="110"/>
      <c r="N51" s="109">
        <v>328890</v>
      </c>
      <c r="O51" s="110"/>
      <c r="P51" s="110"/>
      <c r="Q51" s="110"/>
      <c r="R51" s="109">
        <v>1110479</v>
      </c>
      <c r="S51" s="110"/>
      <c r="T51" s="64">
        <f>SUM(D$9:D51)+SUM(H$9:H51)</f>
        <v>1469155291</v>
      </c>
      <c r="U51" s="64">
        <f>SUM(E$9:E51)+SUM(I$9:I51)</f>
        <v>977992357</v>
      </c>
      <c r="V51" s="64">
        <f>SUM(F$9:F51)+SUM(J$9:J51)</f>
        <v>387171965</v>
      </c>
      <c r="W51" s="64">
        <f>SUM(G$9:G51)+SUM(K$9:K51)</f>
        <v>0</v>
      </c>
      <c r="X51" s="64">
        <f>SUM(L$9:L51)+SUM(P$9:P51)</f>
        <v>225412994</v>
      </c>
      <c r="Y51" s="64">
        <f>SUM(M$9:M51)+SUM(Q$9:Q51)</f>
        <v>141240396</v>
      </c>
      <c r="Z51" s="64">
        <f>SUM(N$9:N51)+SUM(R$9:R51)</f>
        <v>119112979</v>
      </c>
      <c r="AA51" s="64">
        <f>SUM(O$9:O51)+SUM(S$9:S51)</f>
        <v>0</v>
      </c>
      <c r="AB51" s="64">
        <f t="shared" si="5"/>
        <v>3320085982</v>
      </c>
      <c r="AC51" s="118">
        <f t="shared" si="1"/>
        <v>89.063958464675693</v>
      </c>
      <c r="AD51" s="118">
        <f t="shared" si="2"/>
        <v>61.01729918993405</v>
      </c>
      <c r="AE51" s="56">
        <f t="shared" si="3"/>
        <v>0.45965094566769138</v>
      </c>
      <c r="AF51" s="147">
        <f t="shared" si="4"/>
        <v>52.127902885437983</v>
      </c>
    </row>
    <row r="52" spans="2:50">
      <c r="B52" s="111" t="s">
        <v>297</v>
      </c>
      <c r="C52" s="112">
        <v>330.6</v>
      </c>
      <c r="D52" s="110"/>
      <c r="E52" s="110"/>
      <c r="F52" s="109">
        <v>29786598</v>
      </c>
      <c r="G52" s="110"/>
      <c r="H52" s="110"/>
      <c r="I52" s="110"/>
      <c r="J52" s="109">
        <v>972259</v>
      </c>
      <c r="K52" s="110"/>
      <c r="L52" s="110"/>
      <c r="M52" s="110"/>
      <c r="N52" s="109">
        <v>264371</v>
      </c>
      <c r="O52" s="110"/>
      <c r="P52" s="110"/>
      <c r="Q52" s="110"/>
      <c r="R52" s="109">
        <v>1530732</v>
      </c>
      <c r="S52" s="110"/>
      <c r="T52" s="64">
        <f>SUM(D$9:D52)+SUM(H$9:H52)</f>
        <v>1469155291</v>
      </c>
      <c r="U52" s="64">
        <f>SUM(E$9:E52)+SUM(I$9:I52)</f>
        <v>977992357</v>
      </c>
      <c r="V52" s="64">
        <f>SUM(F$9:F52)+SUM(J$9:J52)</f>
        <v>417930822</v>
      </c>
      <c r="W52" s="64">
        <f>SUM(G$9:G52)+SUM(K$9:K52)</f>
        <v>0</v>
      </c>
      <c r="X52" s="64">
        <f>SUM(L$9:L52)+SUM(P$9:P52)</f>
        <v>225412994</v>
      </c>
      <c r="Y52" s="64">
        <f>SUM(M$9:M52)+SUM(Q$9:Q52)</f>
        <v>141240396</v>
      </c>
      <c r="Z52" s="64">
        <f>SUM(N$9:N52)+SUM(R$9:R52)</f>
        <v>120908082</v>
      </c>
      <c r="AA52" s="64">
        <f>SUM(O$9:O52)+SUM(S$9:S52)</f>
        <v>0</v>
      </c>
      <c r="AB52" s="64">
        <f t="shared" si="5"/>
        <v>3352639942</v>
      </c>
      <c r="AC52" s="118">
        <f t="shared" si="1"/>
        <v>98.608859203288702</v>
      </c>
      <c r="AD52" s="118">
        <f t="shared" si="2"/>
        <v>60.822252395929965</v>
      </c>
      <c r="AE52" s="56">
        <f t="shared" si="3"/>
        <v>0.62126286546216924</v>
      </c>
      <c r="AF52" s="147">
        <f t="shared" si="4"/>
        <v>52.039271421708783</v>
      </c>
    </row>
    <row r="53" spans="2:50">
      <c r="B53" s="111" t="s">
        <v>298</v>
      </c>
      <c r="C53" s="112">
        <v>334.2</v>
      </c>
      <c r="D53" s="110"/>
      <c r="E53" s="110"/>
      <c r="F53" s="109">
        <v>33356849</v>
      </c>
      <c r="G53" s="110"/>
      <c r="H53" s="110"/>
      <c r="I53" s="110"/>
      <c r="J53" s="109">
        <v>1031244</v>
      </c>
      <c r="K53" s="110"/>
      <c r="L53" s="110"/>
      <c r="M53" s="110"/>
      <c r="N53" s="109">
        <v>239448</v>
      </c>
      <c r="O53" s="110"/>
      <c r="P53" s="110"/>
      <c r="Q53" s="110"/>
      <c r="R53" s="109">
        <v>1418309</v>
      </c>
      <c r="S53" s="110"/>
      <c r="T53" s="64">
        <f>SUM(D$9:D53)+SUM(H$9:H53)</f>
        <v>1469155291</v>
      </c>
      <c r="U53" s="64">
        <f>SUM(E$9:E53)+SUM(I$9:I53)</f>
        <v>977992357</v>
      </c>
      <c r="V53" s="64">
        <f>SUM(F$9:F53)+SUM(J$9:J53)</f>
        <v>452318915</v>
      </c>
      <c r="W53" s="64">
        <f>SUM(G$9:G53)+SUM(K$9:K53)</f>
        <v>0</v>
      </c>
      <c r="X53" s="64">
        <f>SUM(L$9:L53)+SUM(P$9:P53)</f>
        <v>225412994</v>
      </c>
      <c r="Y53" s="64">
        <f>SUM(M$9:M53)+SUM(Q$9:Q53)</f>
        <v>141240396</v>
      </c>
      <c r="Z53" s="64">
        <f>SUM(N$9:N53)+SUM(R$9:R53)</f>
        <v>122565839</v>
      </c>
      <c r="AA53" s="64">
        <f>SUM(O$9:O53)+SUM(S$9:S53)</f>
        <v>0</v>
      </c>
      <c r="AB53" s="64">
        <f t="shared" si="5"/>
        <v>3388685792</v>
      </c>
      <c r="AC53" s="118">
        <f t="shared" si="1"/>
        <v>98.622303899930301</v>
      </c>
      <c r="AD53" s="118">
        <f t="shared" si="2"/>
        <v>60.607248649272229</v>
      </c>
      <c r="AE53" s="56">
        <f t="shared" si="3"/>
        <v>0.62723611610629604</v>
      </c>
      <c r="AF53" s="147">
        <f t="shared" si="4"/>
        <v>51.943119626654365</v>
      </c>
    </row>
    <row r="54" spans="2:50">
      <c r="B54" s="111" t="s">
        <v>299</v>
      </c>
      <c r="C54" s="112">
        <v>330.7</v>
      </c>
      <c r="D54" s="110"/>
      <c r="E54" s="110"/>
      <c r="F54" s="109">
        <v>36110194</v>
      </c>
      <c r="G54" s="110"/>
      <c r="H54" s="110"/>
      <c r="I54" s="110"/>
      <c r="J54" s="109">
        <v>1335510</v>
      </c>
      <c r="K54" s="110"/>
      <c r="L54" s="110"/>
      <c r="M54" s="110"/>
      <c r="N54" s="109">
        <v>342537</v>
      </c>
      <c r="O54" s="110"/>
      <c r="P54" s="110"/>
      <c r="Q54" s="110"/>
      <c r="R54" s="109">
        <v>2535606</v>
      </c>
      <c r="S54" s="110"/>
      <c r="T54" s="64">
        <f>SUM(D$9:D54)+SUM(H$9:H54)</f>
        <v>1469155291</v>
      </c>
      <c r="U54" s="64">
        <f>SUM(E$9:E54)+SUM(I$9:I54)</f>
        <v>977992357</v>
      </c>
      <c r="V54" s="64">
        <f>SUM(F$9:F54)+SUM(J$9:J54)</f>
        <v>489764619</v>
      </c>
      <c r="W54" s="64">
        <f>SUM(G$9:G54)+SUM(K$9:K54)</f>
        <v>0</v>
      </c>
      <c r="X54" s="64">
        <f>SUM(L$9:L54)+SUM(P$9:P54)</f>
        <v>225412994</v>
      </c>
      <c r="Y54" s="64">
        <f>SUM(M$9:M54)+SUM(Q$9:Q54)</f>
        <v>141240396</v>
      </c>
      <c r="Z54" s="64">
        <f>SUM(N$9:N54)+SUM(R$9:R54)</f>
        <v>125443982</v>
      </c>
      <c r="AA54" s="64">
        <f>SUM(O$9:O54)+SUM(S$9:S54)</f>
        <v>0</v>
      </c>
      <c r="AB54" s="64">
        <f t="shared" si="5"/>
        <v>3429009639</v>
      </c>
      <c r="AC54" s="118">
        <f t="shared" si="1"/>
        <v>96.441840302450075</v>
      </c>
      <c r="AD54" s="118">
        <f t="shared" si="2"/>
        <v>60.38253292527417</v>
      </c>
      <c r="AE54" s="56">
        <f t="shared" si="3"/>
        <v>0.59718109907381267</v>
      </c>
      <c r="AF54" s="147">
        <f t="shared" si="4"/>
        <v>51.837951946917812</v>
      </c>
    </row>
    <row r="55" spans="2:50">
      <c r="B55" s="111" t="s">
        <v>300</v>
      </c>
      <c r="C55" s="112">
        <v>305</v>
      </c>
      <c r="D55" s="110"/>
      <c r="E55" s="110"/>
      <c r="F55" s="109">
        <v>32286027</v>
      </c>
      <c r="G55" s="110"/>
      <c r="H55" s="110"/>
      <c r="I55" s="110"/>
      <c r="J55" s="109">
        <v>1162021</v>
      </c>
      <c r="K55" s="110"/>
      <c r="L55" s="110"/>
      <c r="M55" s="110"/>
      <c r="N55" s="109">
        <v>400762</v>
      </c>
      <c r="O55" s="110"/>
      <c r="P55" s="110"/>
      <c r="Q55" s="110"/>
      <c r="R55" s="109">
        <v>2710746</v>
      </c>
      <c r="S55" s="110"/>
      <c r="T55" s="64">
        <f>SUM(D$9:D55)+SUM(H$9:H55)</f>
        <v>1469155291</v>
      </c>
      <c r="U55" s="64">
        <f>SUM(E$9:E55)+SUM(I$9:I55)</f>
        <v>977992357</v>
      </c>
      <c r="V55" s="64">
        <f>SUM(F$9:F55)+SUM(J$9:J55)</f>
        <v>523212667</v>
      </c>
      <c r="W55" s="64">
        <f>SUM(G$9:G55)+SUM(K$9:K55)</f>
        <v>0</v>
      </c>
      <c r="X55" s="64">
        <f>SUM(L$9:L55)+SUM(P$9:P55)</f>
        <v>225412994</v>
      </c>
      <c r="Y55" s="64">
        <f>SUM(M$9:M55)+SUM(Q$9:Q55)</f>
        <v>141240396</v>
      </c>
      <c r="Z55" s="64">
        <f>SUM(N$9:N55)+SUM(R$9:R55)</f>
        <v>128555490</v>
      </c>
      <c r="AA55" s="64">
        <f>SUM(O$9:O55)+SUM(S$9:S55)</f>
        <v>0</v>
      </c>
      <c r="AB55" s="64">
        <f t="shared" si="5"/>
        <v>3465569195</v>
      </c>
      <c r="AC55" s="118">
        <f t="shared" si="1"/>
        <v>88.00863085926639</v>
      </c>
      <c r="AD55" s="118">
        <f t="shared" si="2"/>
        <v>60.188384982455965</v>
      </c>
      <c r="AE55" s="56">
        <f t="shared" si="3"/>
        <v>0.46221951103887604</v>
      </c>
      <c r="AF55" s="147">
        <f t="shared" si="4"/>
        <v>51.744717161822535</v>
      </c>
    </row>
    <row r="56" spans="2:50">
      <c r="B56" s="111" t="s">
        <v>301</v>
      </c>
      <c r="C56" s="112">
        <v>306.5</v>
      </c>
      <c r="D56" s="110"/>
      <c r="E56" s="110"/>
      <c r="F56" s="109">
        <v>33078558</v>
      </c>
      <c r="G56" s="110"/>
      <c r="H56" s="110"/>
      <c r="I56" s="110"/>
      <c r="J56" s="109">
        <v>1215228</v>
      </c>
      <c r="K56" s="110"/>
      <c r="L56" s="110"/>
      <c r="M56" s="110"/>
      <c r="N56" s="109">
        <v>256386</v>
      </c>
      <c r="O56" s="110"/>
      <c r="P56" s="110"/>
      <c r="Q56" s="110"/>
      <c r="R56" s="109">
        <v>2558340</v>
      </c>
      <c r="S56" s="110"/>
      <c r="T56" s="64">
        <f>SUM(D$9:D56)+SUM(H$9:H56)</f>
        <v>1469155291</v>
      </c>
      <c r="U56" s="64">
        <f>SUM(E$9:E56)+SUM(I$9:I56)</f>
        <v>977992357</v>
      </c>
      <c r="V56" s="64">
        <f>SUM(F$9:F56)+SUM(J$9:J56)</f>
        <v>557506453</v>
      </c>
      <c r="W56" s="64">
        <f>SUM(G$9:G56)+SUM(K$9:K56)</f>
        <v>0</v>
      </c>
      <c r="X56" s="64">
        <f>SUM(L$9:L56)+SUM(P$9:P56)</f>
        <v>225412994</v>
      </c>
      <c r="Y56" s="64">
        <f>SUM(M$9:M56)+SUM(Q$9:Q56)</f>
        <v>141240396</v>
      </c>
      <c r="Z56" s="64">
        <f>SUM(N$9:N56)+SUM(R$9:R56)</f>
        <v>131370216</v>
      </c>
      <c r="AA56" s="64">
        <f>SUM(O$9:O56)+SUM(S$9:S56)</f>
        <v>0</v>
      </c>
      <c r="AB56" s="64">
        <f t="shared" si="5"/>
        <v>3502677707</v>
      </c>
      <c r="AC56" s="118">
        <f t="shared" si="1"/>
        <v>87.504482467076159</v>
      </c>
      <c r="AD56" s="118">
        <f t="shared" si="2"/>
        <v>59.992034051564538</v>
      </c>
      <c r="AE56" s="56">
        <f t="shared" si="3"/>
        <v>0.4586016935492474</v>
      </c>
      <c r="AF56" s="147">
        <f t="shared" si="4"/>
        <v>51.652072771193161</v>
      </c>
    </row>
    <row r="57" spans="2:50" ht="33.75">
      <c r="B57" s="111" t="s">
        <v>302</v>
      </c>
      <c r="C57" s="112">
        <v>297.8</v>
      </c>
      <c r="D57" s="110"/>
      <c r="E57" s="110"/>
      <c r="F57" s="109">
        <v>34879728</v>
      </c>
      <c r="G57" s="110"/>
      <c r="H57" s="110"/>
      <c r="I57" s="110"/>
      <c r="J57" s="109">
        <v>1454780</v>
      </c>
      <c r="K57" s="110"/>
      <c r="L57" s="110"/>
      <c r="M57" s="110"/>
      <c r="N57" s="109">
        <v>489191</v>
      </c>
      <c r="O57" s="110"/>
      <c r="P57" s="110"/>
      <c r="Q57" s="110"/>
      <c r="R57" s="109">
        <v>1480869</v>
      </c>
      <c r="S57" s="110"/>
      <c r="T57" s="64">
        <f>SUM(D$9:D57)+SUM(H$9:H57)</f>
        <v>1469155291</v>
      </c>
      <c r="U57" s="64">
        <f>SUM(E$9:E57)+SUM(I$9:I57)</f>
        <v>977992357</v>
      </c>
      <c r="V57" s="64">
        <f>SUM(F$9:F57)+SUM(J$9:J57)</f>
        <v>593840961</v>
      </c>
      <c r="W57" s="64">
        <f>SUM(G$9:G57)+SUM(K$9:K57)</f>
        <v>0</v>
      </c>
      <c r="X57" s="64">
        <f>SUM(L$9:L57)+SUM(P$9:P57)</f>
        <v>225412994</v>
      </c>
      <c r="Y57" s="64">
        <f>SUM(M$9:M57)+SUM(Q$9:Q57)</f>
        <v>141240396</v>
      </c>
      <c r="Z57" s="64">
        <f>SUM(N$9:N57)+SUM(R$9:R57)</f>
        <v>133340276</v>
      </c>
      <c r="AA57" s="64">
        <f>SUM(O$9:O57)+SUM(S$9:S57)</f>
        <v>0</v>
      </c>
      <c r="AB57" s="64">
        <f t="shared" si="5"/>
        <v>3540982275</v>
      </c>
      <c r="AC57" s="118">
        <f t="shared" si="1"/>
        <v>84.100957551390167</v>
      </c>
      <c r="AD57" s="118">
        <f t="shared" si="2"/>
        <v>59.784425360333103</v>
      </c>
      <c r="AE57" s="56">
        <f t="shared" si="3"/>
        <v>0.40673690588303391</v>
      </c>
      <c r="AF57" s="147">
        <f t="shared" si="4"/>
        <v>51.558478992951187</v>
      </c>
      <c r="AG57" s="239" t="s">
        <v>474</v>
      </c>
      <c r="AH57" s="240"/>
      <c r="AI57" s="240"/>
      <c r="AJ57" s="240"/>
      <c r="AK57" s="240"/>
      <c r="AL57" s="240"/>
      <c r="AM57" s="240"/>
      <c r="AN57" s="240"/>
      <c r="AO57" s="240"/>
      <c r="AP57" s="240"/>
      <c r="AQ57" s="240"/>
      <c r="AR57" s="159"/>
      <c r="AS57" s="159"/>
      <c r="AT57" s="159"/>
      <c r="AU57" s="159"/>
      <c r="AV57" s="159"/>
      <c r="AW57" s="159"/>
      <c r="AX57" s="159"/>
    </row>
    <row r="58" spans="2:50">
      <c r="B58" s="111" t="s">
        <v>303</v>
      </c>
      <c r="C58" s="112">
        <v>277.39999999999998</v>
      </c>
      <c r="D58" s="110"/>
      <c r="E58" s="110"/>
      <c r="F58" s="109">
        <v>36719209</v>
      </c>
      <c r="G58" s="110"/>
      <c r="H58" s="110"/>
      <c r="I58" s="110"/>
      <c r="J58" s="109">
        <v>1637597</v>
      </c>
      <c r="K58" s="110"/>
      <c r="L58" s="110"/>
      <c r="M58" s="110"/>
      <c r="N58" s="109">
        <v>625926</v>
      </c>
      <c r="O58" s="110"/>
      <c r="P58" s="110"/>
      <c r="Q58" s="110"/>
      <c r="R58" s="109">
        <v>3512330</v>
      </c>
      <c r="S58" s="110"/>
      <c r="T58" s="64">
        <f>SUM(D$9:D58)+SUM(H$9:H58)</f>
        <v>1469155291</v>
      </c>
      <c r="U58" s="64">
        <f>SUM(E$9:E58)+SUM(I$9:I58)</f>
        <v>977992357</v>
      </c>
      <c r="V58" s="64">
        <f>SUM(F$9:F58)+SUM(J$9:J58)</f>
        <v>632197767</v>
      </c>
      <c r="W58" s="64">
        <f>SUM(G$9:G58)+SUM(K$9:K58)</f>
        <v>0</v>
      </c>
      <c r="X58" s="64">
        <f>SUM(L$9:L58)+SUM(P$9:P58)</f>
        <v>225412994</v>
      </c>
      <c r="Y58" s="64">
        <f>SUM(M$9:M58)+SUM(Q$9:Q58)</f>
        <v>141240396</v>
      </c>
      <c r="Z58" s="64">
        <f>SUM(N$9:N58)+SUM(R$9:R58)</f>
        <v>137478532</v>
      </c>
      <c r="AA58" s="64">
        <f>SUM(O$9:O58)+SUM(S$9:S58)</f>
        <v>0</v>
      </c>
      <c r="AB58" s="64">
        <f t="shared" si="5"/>
        <v>3583477337</v>
      </c>
      <c r="AC58" s="118">
        <f t="shared" si="1"/>
        <v>77.410842573440831</v>
      </c>
      <c r="AD58" s="118">
        <f t="shared" si="2"/>
        <v>59.578369505954548</v>
      </c>
      <c r="AE58" s="56">
        <f t="shared" si="3"/>
        <v>0.29931119658627137</v>
      </c>
      <c r="AF58" s="147">
        <f t="shared" si="4"/>
        <v>51.456987324041783</v>
      </c>
      <c r="AG58" s="241"/>
      <c r="AH58" s="240"/>
      <c r="AI58" s="240"/>
      <c r="AJ58" s="240"/>
      <c r="AK58" s="240"/>
      <c r="AL58" s="240"/>
      <c r="AM58" s="240"/>
      <c r="AN58" s="240"/>
      <c r="AO58" s="240"/>
      <c r="AP58" s="240"/>
      <c r="AQ58" s="240"/>
      <c r="AR58" s="159"/>
      <c r="AS58" s="159"/>
      <c r="AT58" s="159"/>
      <c r="AU58" s="159"/>
      <c r="AV58" s="159"/>
      <c r="AW58" s="159"/>
      <c r="AX58" s="159"/>
    </row>
    <row r="59" spans="2:50">
      <c r="B59" s="111" t="s">
        <v>304</v>
      </c>
      <c r="C59" s="112">
        <v>294.60000000000002</v>
      </c>
      <c r="D59" s="110"/>
      <c r="E59" s="110"/>
      <c r="F59" s="109">
        <v>36159348</v>
      </c>
      <c r="G59" s="110"/>
      <c r="H59" s="110"/>
      <c r="I59" s="110"/>
      <c r="J59" s="109">
        <v>1749572</v>
      </c>
      <c r="K59" s="110"/>
      <c r="L59" s="110"/>
      <c r="M59" s="110"/>
      <c r="N59" s="109">
        <v>655166</v>
      </c>
      <c r="O59" s="110"/>
      <c r="P59" s="110"/>
      <c r="Q59" s="110"/>
      <c r="R59" s="109">
        <v>3746078</v>
      </c>
      <c r="S59" s="110"/>
      <c r="T59" s="64">
        <f>SUM(D$9:D59)+SUM(H$9:H59)</f>
        <v>1469155291</v>
      </c>
      <c r="U59" s="64">
        <f>SUM(E$9:E59)+SUM(I$9:I59)</f>
        <v>977992357</v>
      </c>
      <c r="V59" s="64">
        <f>SUM(F$9:F59)+SUM(J$9:J59)</f>
        <v>670106687</v>
      </c>
      <c r="W59" s="64">
        <f>SUM(G$9:G59)+SUM(K$9:K59)</f>
        <v>0</v>
      </c>
      <c r="X59" s="64">
        <f>SUM(L$9:L59)+SUM(P$9:P59)</f>
        <v>225412994</v>
      </c>
      <c r="Y59" s="64">
        <f>SUM(M$9:M59)+SUM(Q$9:Q59)</f>
        <v>141240396</v>
      </c>
      <c r="Z59" s="64">
        <f>SUM(N$9:N59)+SUM(R$9:R59)</f>
        <v>141879776</v>
      </c>
      <c r="AA59" s="64">
        <f>SUM(O$9:O59)+SUM(S$9:S59)</f>
        <v>0</v>
      </c>
      <c r="AB59" s="64">
        <f t="shared" si="5"/>
        <v>3625787501</v>
      </c>
      <c r="AC59" s="118">
        <f t="shared" si="1"/>
        <v>81.251314347227648</v>
      </c>
      <c r="AD59" s="118">
        <f t="shared" si="2"/>
        <v>59.3807212299726</v>
      </c>
      <c r="AE59" s="56">
        <f t="shared" si="3"/>
        <v>0.3683113418672288</v>
      </c>
      <c r="AF59" s="147">
        <f t="shared" si="4"/>
        <v>51.358300757184942</v>
      </c>
      <c r="AG59" s="241" t="s">
        <v>477</v>
      </c>
      <c r="AH59" s="240" t="s">
        <v>166</v>
      </c>
      <c r="AI59" s="240" t="s">
        <v>475</v>
      </c>
      <c r="AJ59" s="240"/>
      <c r="AK59" s="240"/>
      <c r="AL59" s="240"/>
      <c r="AM59" s="240"/>
      <c r="AN59" s="240"/>
      <c r="AO59" s="240"/>
      <c r="AP59" s="240"/>
      <c r="AQ59" s="240"/>
      <c r="AR59" s="159"/>
      <c r="AS59" s="159"/>
      <c r="AT59" s="159"/>
      <c r="AU59" s="159"/>
      <c r="AV59" s="159"/>
      <c r="AW59" s="159"/>
      <c r="AX59" s="159"/>
    </row>
    <row r="60" spans="2:50">
      <c r="B60" s="111" t="s">
        <v>213</v>
      </c>
      <c r="C60" s="112">
        <v>319.7</v>
      </c>
      <c r="D60" s="110"/>
      <c r="E60" s="110"/>
      <c r="F60" s="110"/>
      <c r="G60" s="109">
        <v>34426696</v>
      </c>
      <c r="H60" s="110"/>
      <c r="I60" s="110"/>
      <c r="J60" s="110"/>
      <c r="K60" s="109">
        <v>1863796</v>
      </c>
      <c r="L60" s="110"/>
      <c r="M60" s="110"/>
      <c r="N60" s="110"/>
      <c r="O60" s="109">
        <v>1110382</v>
      </c>
      <c r="P60" s="110"/>
      <c r="Q60" s="110"/>
      <c r="R60" s="110"/>
      <c r="S60" s="109">
        <v>4757611</v>
      </c>
      <c r="T60" s="64">
        <f>SUM(D$9:D60)+SUM(H$9:H60)</f>
        <v>1469155291</v>
      </c>
      <c r="U60" s="64">
        <f>SUM(E$9:E60)+SUM(I$9:I60)</f>
        <v>977992357</v>
      </c>
      <c r="V60" s="64">
        <f>SUM(F$9:F60)+SUM(J$9:J60)</f>
        <v>670106687</v>
      </c>
      <c r="W60" s="64">
        <f>SUM(G$9:G60)+SUM(K$9:K60)</f>
        <v>36290492</v>
      </c>
      <c r="X60" s="64">
        <f>SUM(L$9:L60)+SUM(P$9:P60)</f>
        <v>225412994</v>
      </c>
      <c r="Y60" s="64">
        <f>SUM(M$9:M60)+SUM(Q$9:Q60)</f>
        <v>141240396</v>
      </c>
      <c r="Z60" s="64">
        <f>SUM(N$9:N60)+SUM(R$9:R60)</f>
        <v>141879776</v>
      </c>
      <c r="AA60" s="64">
        <f>SUM(O$9:O60)+SUM(S$9:S60)</f>
        <v>5867993</v>
      </c>
      <c r="AB60" s="64">
        <f t="shared" si="5"/>
        <v>3667945986</v>
      </c>
      <c r="AC60" s="118">
        <f t="shared" si="1"/>
        <v>87.160498333467004</v>
      </c>
      <c r="AD60" s="118">
        <f t="shared" si="2"/>
        <v>59.018268000198411</v>
      </c>
      <c r="AE60" s="56">
        <f t="shared" si="3"/>
        <v>0.47683931241719901</v>
      </c>
      <c r="AF60" s="147">
        <f t="shared" si="4"/>
        <v>51.193269917197739</v>
      </c>
      <c r="AG60" s="242">
        <f t="shared" ref="AG60:AG68" si="6">AC60-AD60</f>
        <v>28.142230333268593</v>
      </c>
      <c r="AH60" s="240">
        <v>1</v>
      </c>
      <c r="AI60" s="240">
        <v>4426.7</v>
      </c>
      <c r="AJ60" s="240"/>
      <c r="AK60" s="240"/>
      <c r="AL60" s="240"/>
      <c r="AM60" s="240"/>
      <c r="AN60" s="240"/>
      <c r="AO60" s="240"/>
      <c r="AP60" s="240"/>
      <c r="AQ60" s="240"/>
      <c r="AR60" s="159"/>
      <c r="AS60" s="159"/>
      <c r="AT60" s="159"/>
      <c r="AU60" s="159"/>
      <c r="AV60" s="159"/>
      <c r="AW60" s="159"/>
      <c r="AX60" s="159"/>
    </row>
    <row r="61" spans="2:50">
      <c r="B61" s="111" t="s">
        <v>214</v>
      </c>
      <c r="C61" s="112">
        <v>320.89999999999998</v>
      </c>
      <c r="D61" s="110"/>
      <c r="E61" s="110"/>
      <c r="F61" s="110"/>
      <c r="G61" s="109">
        <v>32346969</v>
      </c>
      <c r="H61" s="110"/>
      <c r="I61" s="110"/>
      <c r="J61" s="110"/>
      <c r="K61" s="109">
        <v>2043174</v>
      </c>
      <c r="L61" s="110"/>
      <c r="M61" s="110"/>
      <c r="N61" s="110"/>
      <c r="O61" s="109">
        <v>1022436</v>
      </c>
      <c r="P61" s="110"/>
      <c r="Q61" s="110"/>
      <c r="R61" s="110"/>
      <c r="S61" s="109">
        <v>3461366</v>
      </c>
      <c r="T61" s="64">
        <f>SUM(D$9:D61)+SUM(H$9:H61)</f>
        <v>1469155291</v>
      </c>
      <c r="U61" s="64">
        <f>SUM(E$9:E61)+SUM(I$9:I61)</f>
        <v>977992357</v>
      </c>
      <c r="V61" s="64">
        <f>SUM(F$9:F61)+SUM(J$9:J61)</f>
        <v>670106687</v>
      </c>
      <c r="W61" s="64">
        <f>SUM(G$9:G61)+SUM(K$9:K61)</f>
        <v>70680635</v>
      </c>
      <c r="X61" s="64">
        <f>SUM(L$9:L61)+SUM(P$9:P61)</f>
        <v>225412994</v>
      </c>
      <c r="Y61" s="64">
        <f>SUM(M$9:M61)+SUM(Q$9:Q61)</f>
        <v>141240396</v>
      </c>
      <c r="Z61" s="64">
        <f>SUM(N$9:N61)+SUM(R$9:R61)</f>
        <v>141879776</v>
      </c>
      <c r="AA61" s="64">
        <f>SUM(O$9:O61)+SUM(S$9:S61)</f>
        <v>10351795</v>
      </c>
      <c r="AB61" s="64">
        <f t="shared" si="5"/>
        <v>3706819931</v>
      </c>
      <c r="AC61" s="118">
        <f t="shared" si="1"/>
        <v>86.570161478933727</v>
      </c>
      <c r="AD61" s="118">
        <f t="shared" si="2"/>
        <v>58.680855756410899</v>
      </c>
      <c r="AE61" s="56">
        <f t="shared" si="3"/>
        <v>0.47527094421208926</v>
      </c>
      <c r="AF61" s="147">
        <f t="shared" si="4"/>
        <v>51.044423087731587</v>
      </c>
      <c r="AG61" s="242">
        <f t="shared" si="6"/>
        <v>27.889305722522828</v>
      </c>
      <c r="AH61" s="240">
        <f>+AH60+1</f>
        <v>2</v>
      </c>
      <c r="AI61" s="240">
        <v>3994.3999999999996</v>
      </c>
      <c r="AJ61" s="240"/>
      <c r="AK61" s="240"/>
      <c r="AL61" s="240"/>
      <c r="AM61" s="240"/>
      <c r="AN61" s="240"/>
      <c r="AO61" s="240"/>
      <c r="AP61" s="240"/>
      <c r="AQ61" s="240"/>
      <c r="AR61" s="159"/>
      <c r="AS61" s="159"/>
      <c r="AT61" s="159"/>
      <c r="AU61" s="159"/>
      <c r="AV61" s="159"/>
      <c r="AW61" s="159"/>
      <c r="AX61" s="159"/>
    </row>
    <row r="62" spans="2:50">
      <c r="B62" s="111" t="s">
        <v>215</v>
      </c>
      <c r="C62" s="112">
        <v>322.5</v>
      </c>
      <c r="D62" s="110"/>
      <c r="E62" s="110"/>
      <c r="F62" s="110"/>
      <c r="G62" s="109">
        <v>30304831</v>
      </c>
      <c r="H62" s="110"/>
      <c r="I62" s="110"/>
      <c r="J62" s="110"/>
      <c r="K62" s="109">
        <v>2255207</v>
      </c>
      <c r="L62" s="110"/>
      <c r="M62" s="110"/>
      <c r="N62" s="110"/>
      <c r="O62" s="109">
        <v>1564321</v>
      </c>
      <c r="P62" s="110"/>
      <c r="Q62" s="110"/>
      <c r="R62" s="110"/>
      <c r="S62" s="109">
        <v>5809397</v>
      </c>
      <c r="T62" s="64">
        <f>SUM(D$9:D62)+SUM(H$9:H62)</f>
        <v>1469155291</v>
      </c>
      <c r="U62" s="64">
        <f>SUM(E$9:E62)+SUM(I$9:I62)</f>
        <v>977992357</v>
      </c>
      <c r="V62" s="64">
        <f>SUM(F$9:F62)+SUM(J$9:J62)</f>
        <v>670106687</v>
      </c>
      <c r="W62" s="64">
        <f>SUM(G$9:G62)+SUM(K$9:K62)</f>
        <v>103240673</v>
      </c>
      <c r="X62" s="64">
        <f>SUM(L$9:L62)+SUM(P$9:P62)</f>
        <v>225412994</v>
      </c>
      <c r="Y62" s="64">
        <f>SUM(M$9:M62)+SUM(Q$9:Q62)</f>
        <v>141240396</v>
      </c>
      <c r="Z62" s="64">
        <f>SUM(N$9:N62)+SUM(R$9:R62)</f>
        <v>141879776</v>
      </c>
      <c r="AA62" s="64">
        <f>SUM(O$9:O62)+SUM(S$9:S62)</f>
        <v>17725513</v>
      </c>
      <c r="AB62" s="64">
        <f t="shared" si="5"/>
        <v>3746753687</v>
      </c>
      <c r="AC62" s="118">
        <f t="shared" si="1"/>
        <v>86.074513283050521</v>
      </c>
      <c r="AD62" s="118">
        <f t="shared" si="2"/>
        <v>58.372560019849523</v>
      </c>
      <c r="AE62" s="56">
        <f t="shared" si="3"/>
        <v>0.47457149821390354</v>
      </c>
      <c r="AF62" s="147">
        <f t="shared" si="4"/>
        <v>50.894734420795139</v>
      </c>
      <c r="AG62" s="242">
        <f t="shared" si="6"/>
        <v>27.701953263200998</v>
      </c>
      <c r="AH62" s="240">
        <f t="shared" ref="AH62:AH81" si="7">+AH61+1</f>
        <v>3</v>
      </c>
      <c r="AI62" s="240">
        <v>4016.7</v>
      </c>
      <c r="AJ62" s="240"/>
      <c r="AK62" s="240"/>
      <c r="AL62" s="240"/>
      <c r="AM62" s="240"/>
      <c r="AN62" s="240"/>
      <c r="AO62" s="240"/>
      <c r="AP62" s="240"/>
      <c r="AQ62" s="240"/>
      <c r="AR62" s="159"/>
      <c r="AS62" s="159"/>
      <c r="AT62" s="159"/>
      <c r="AU62" s="159"/>
      <c r="AV62" s="159"/>
      <c r="AW62" s="159"/>
      <c r="AX62" s="159"/>
    </row>
    <row r="63" spans="2:50">
      <c r="B63" s="111" t="s">
        <v>216</v>
      </c>
      <c r="C63" s="112">
        <v>337.6</v>
      </c>
      <c r="D63" s="110"/>
      <c r="E63" s="110"/>
      <c r="F63" s="110"/>
      <c r="G63" s="109">
        <v>28886968</v>
      </c>
      <c r="H63" s="110"/>
      <c r="I63" s="110"/>
      <c r="J63" s="110"/>
      <c r="K63" s="109">
        <v>2549993</v>
      </c>
      <c r="L63" s="110"/>
      <c r="M63" s="110"/>
      <c r="N63" s="110"/>
      <c r="O63" s="109">
        <v>1523190</v>
      </c>
      <c r="P63" s="110"/>
      <c r="Q63" s="110"/>
      <c r="R63" s="110"/>
      <c r="S63" s="109">
        <v>7858689</v>
      </c>
      <c r="T63" s="64">
        <f>SUM(D$9:D63)+SUM(H$9:H63)</f>
        <v>1469155291</v>
      </c>
      <c r="U63" s="64">
        <f>SUM(E$9:E63)+SUM(I$9:I63)</f>
        <v>977992357</v>
      </c>
      <c r="V63" s="64">
        <f>SUM(F$9:F63)+SUM(J$9:J63)</f>
        <v>670106687</v>
      </c>
      <c r="W63" s="64">
        <f>SUM(G$9:G63)+SUM(K$9:K63)</f>
        <v>134677634</v>
      </c>
      <c r="X63" s="64">
        <f>SUM(L$9:L63)+SUM(P$9:P63)</f>
        <v>225412994</v>
      </c>
      <c r="Y63" s="64">
        <f>SUM(M$9:M63)+SUM(Q$9:Q63)</f>
        <v>141240396</v>
      </c>
      <c r="Z63" s="64">
        <f>SUM(N$9:N63)+SUM(R$9:R63)</f>
        <v>141879776</v>
      </c>
      <c r="AA63" s="64">
        <f>SUM(O$9:O63)+SUM(S$9:S63)</f>
        <v>27107392</v>
      </c>
      <c r="AB63" s="64">
        <f t="shared" si="5"/>
        <v>3787572527</v>
      </c>
      <c r="AC63" s="118">
        <f t="shared" si="1"/>
        <v>89.133606708094064</v>
      </c>
      <c r="AD63" s="118">
        <f t="shared" si="2"/>
        <v>58.084605985420907</v>
      </c>
      <c r="AE63" s="56">
        <f t="shared" si="3"/>
        <v>0.5345478409626534</v>
      </c>
      <c r="AF63" s="147">
        <f t="shared" si="4"/>
        <v>50.7449902410806</v>
      </c>
      <c r="AG63" s="242">
        <f t="shared" si="6"/>
        <v>31.049000722673156</v>
      </c>
      <c r="AH63" s="240">
        <f t="shared" si="7"/>
        <v>4</v>
      </c>
      <c r="AI63" s="240">
        <v>4714.8</v>
      </c>
      <c r="AJ63" s="240"/>
      <c r="AK63" s="240"/>
      <c r="AL63" s="240"/>
      <c r="AM63" s="240"/>
      <c r="AN63" s="240"/>
      <c r="AO63" s="240"/>
      <c r="AP63" s="240"/>
      <c r="AQ63" s="240"/>
      <c r="AR63" s="159"/>
      <c r="AS63" s="159"/>
      <c r="AT63" s="159"/>
      <c r="AU63" s="159"/>
      <c r="AV63" s="159"/>
      <c r="AW63" s="159"/>
      <c r="AX63" s="159"/>
    </row>
    <row r="64" spans="2:50">
      <c r="B64" s="111" t="s">
        <v>217</v>
      </c>
      <c r="C64" s="112">
        <v>315.7</v>
      </c>
      <c r="D64" s="110"/>
      <c r="E64" s="110"/>
      <c r="F64" s="110"/>
      <c r="G64" s="109">
        <v>31635420</v>
      </c>
      <c r="H64" s="110"/>
      <c r="I64" s="110"/>
      <c r="J64" s="110"/>
      <c r="K64" s="109">
        <v>2796276</v>
      </c>
      <c r="L64" s="110"/>
      <c r="M64" s="110"/>
      <c r="N64" s="110"/>
      <c r="O64" s="109">
        <v>1968398</v>
      </c>
      <c r="P64" s="110"/>
      <c r="Q64" s="110"/>
      <c r="R64" s="110"/>
      <c r="S64" s="109">
        <v>11923807</v>
      </c>
      <c r="T64" s="64">
        <f>SUM(D$9:D64)+SUM(H$9:H64)</f>
        <v>1469155291</v>
      </c>
      <c r="U64" s="64">
        <f>SUM(E$9:E64)+SUM(I$9:I64)</f>
        <v>977992357</v>
      </c>
      <c r="V64" s="64">
        <f>SUM(F$9:F64)+SUM(J$9:J64)</f>
        <v>670106687</v>
      </c>
      <c r="W64" s="64">
        <f>SUM(G$9:G64)+SUM(K$9:K64)</f>
        <v>169109330</v>
      </c>
      <c r="X64" s="64">
        <f>SUM(L$9:L64)+SUM(P$9:P64)</f>
        <v>225412994</v>
      </c>
      <c r="Y64" s="64">
        <f>SUM(M$9:M64)+SUM(Q$9:Q64)</f>
        <v>141240396</v>
      </c>
      <c r="Z64" s="64">
        <f>SUM(N$9:N64)+SUM(R$9:R64)</f>
        <v>141879776</v>
      </c>
      <c r="AA64" s="64">
        <f>SUM(O$9:O64)+SUM(S$9:S64)</f>
        <v>40999597</v>
      </c>
      <c r="AB64" s="64">
        <f t="shared" si="5"/>
        <v>3835896428</v>
      </c>
      <c r="AC64" s="118">
        <f t="shared" si="1"/>
        <v>82.301492213282458</v>
      </c>
      <c r="AD64" s="118">
        <f t="shared" si="2"/>
        <v>57.782127454250443</v>
      </c>
      <c r="AE64" s="56">
        <f t="shared" si="3"/>
        <v>0.42434167517361598</v>
      </c>
      <c r="AF64" s="147">
        <f t="shared" si="4"/>
        <v>50.571833441849122</v>
      </c>
      <c r="AG64" s="242">
        <f t="shared" si="6"/>
        <v>24.519364759032015</v>
      </c>
      <c r="AH64" s="240">
        <f t="shared" si="7"/>
        <v>5</v>
      </c>
      <c r="AI64" s="240">
        <v>4460.8</v>
      </c>
      <c r="AJ64" s="240"/>
      <c r="AK64" s="240"/>
      <c r="AL64" s="240"/>
      <c r="AM64" s="240"/>
      <c r="AN64" s="240"/>
      <c r="AO64" s="240"/>
      <c r="AP64" s="240"/>
      <c r="AQ64" s="240"/>
      <c r="AR64" s="159"/>
      <c r="AS64" s="159"/>
      <c r="AT64" s="159"/>
      <c r="AU64" s="159"/>
      <c r="AV64" s="159"/>
      <c r="AW64" s="159"/>
      <c r="AX64" s="159"/>
    </row>
    <row r="65" spans="2:50">
      <c r="B65" s="111" t="s">
        <v>218</v>
      </c>
      <c r="C65" s="112">
        <v>309.7</v>
      </c>
      <c r="D65" s="110"/>
      <c r="E65" s="110"/>
      <c r="F65" s="110"/>
      <c r="G65" s="109">
        <v>29807695</v>
      </c>
      <c r="H65" s="110"/>
      <c r="I65" s="110"/>
      <c r="J65" s="110"/>
      <c r="K65" s="109">
        <v>3190484</v>
      </c>
      <c r="L65" s="110"/>
      <c r="M65" s="110"/>
      <c r="N65" s="110"/>
      <c r="O65" s="109">
        <v>2064699</v>
      </c>
      <c r="P65" s="110"/>
      <c r="Q65" s="110"/>
      <c r="R65" s="110"/>
      <c r="S65" s="109">
        <v>11980905</v>
      </c>
      <c r="T65" s="64">
        <f>SUM(D$9:D65)+SUM(H$9:H65)</f>
        <v>1469155291</v>
      </c>
      <c r="U65" s="64">
        <f>SUM(E$9:E65)+SUM(I$9:I65)</f>
        <v>977992357</v>
      </c>
      <c r="V65" s="64">
        <f>SUM(F$9:F65)+SUM(J$9:J65)</f>
        <v>670106687</v>
      </c>
      <c r="W65" s="64">
        <f>SUM(G$9:G65)+SUM(K$9:K65)</f>
        <v>202107509</v>
      </c>
      <c r="X65" s="64">
        <f>SUM(L$9:L65)+SUM(P$9:P65)</f>
        <v>225412994</v>
      </c>
      <c r="Y65" s="64">
        <f>SUM(M$9:M65)+SUM(Q$9:Q65)</f>
        <v>141240396</v>
      </c>
      <c r="Z65" s="64">
        <f>SUM(N$9:N65)+SUM(R$9:R65)</f>
        <v>141879776</v>
      </c>
      <c r="AA65" s="64">
        <f>SUM(O$9:O65)+SUM(S$9:S65)</f>
        <v>55045201</v>
      </c>
      <c r="AB65" s="64">
        <f t="shared" si="5"/>
        <v>3882940211</v>
      </c>
      <c r="AC65" s="118">
        <f t="shared" si="1"/>
        <v>79.759147236583601</v>
      </c>
      <c r="AD65" s="118">
        <f t="shared" si="2"/>
        <v>57.500533813395869</v>
      </c>
      <c r="AE65" s="56">
        <f t="shared" si="3"/>
        <v>0.38710272665333334</v>
      </c>
      <c r="AF65" s="147">
        <f t="shared" si="4"/>
        <v>50.40740382082592</v>
      </c>
      <c r="AG65" s="242">
        <f t="shared" si="6"/>
        <v>22.258613423187732</v>
      </c>
      <c r="AH65" s="240">
        <f t="shared" si="7"/>
        <v>6</v>
      </c>
      <c r="AI65" s="240">
        <v>4513.5</v>
      </c>
      <c r="AJ65" s="240"/>
      <c r="AK65" s="240"/>
      <c r="AL65" s="240"/>
      <c r="AM65" s="240"/>
      <c r="AN65" s="240"/>
      <c r="AO65" s="240"/>
      <c r="AP65" s="240"/>
      <c r="AQ65" s="240"/>
      <c r="AR65" s="159"/>
      <c r="AS65" s="159"/>
      <c r="AT65" s="159"/>
      <c r="AU65" s="159"/>
      <c r="AV65" s="159"/>
      <c r="AW65" s="159"/>
      <c r="AX65" s="159"/>
    </row>
    <row r="66" spans="2:50">
      <c r="B66" s="111" t="s">
        <v>219</v>
      </c>
      <c r="C66" s="112">
        <v>274.10000000000002</v>
      </c>
      <c r="D66" s="110"/>
      <c r="E66" s="110"/>
      <c r="F66" s="110"/>
      <c r="G66" s="109">
        <v>23262091</v>
      </c>
      <c r="H66" s="110"/>
      <c r="I66" s="110"/>
      <c r="J66" s="110"/>
      <c r="K66" s="109">
        <v>3016223</v>
      </c>
      <c r="L66" s="110"/>
      <c r="M66" s="110"/>
      <c r="N66" s="110"/>
      <c r="O66" s="109">
        <v>2035685</v>
      </c>
      <c r="P66" s="110"/>
      <c r="Q66" s="110"/>
      <c r="R66" s="110"/>
      <c r="S66" s="109">
        <v>14009937</v>
      </c>
      <c r="T66" s="64">
        <f>SUM(D$9:D66)+SUM(H$9:H66)</f>
        <v>1469155291</v>
      </c>
      <c r="U66" s="64">
        <f>SUM(E$9:E66)+SUM(I$9:I66)</f>
        <v>977992357</v>
      </c>
      <c r="V66" s="64">
        <f>SUM(F$9:F66)+SUM(J$9:J66)</f>
        <v>670106687</v>
      </c>
      <c r="W66" s="64">
        <f>SUM(G$9:G66)+SUM(K$9:K66)</f>
        <v>228385823</v>
      </c>
      <c r="X66" s="64">
        <f>SUM(L$9:L66)+SUM(P$9:P66)</f>
        <v>225412994</v>
      </c>
      <c r="Y66" s="64">
        <f>SUM(M$9:M66)+SUM(Q$9:Q66)</f>
        <v>141240396</v>
      </c>
      <c r="Z66" s="64">
        <f>SUM(N$9:N66)+SUM(R$9:R66)</f>
        <v>141879776</v>
      </c>
      <c r="AA66" s="64">
        <f>SUM(O$9:O66)+SUM(S$9:S66)</f>
        <v>71090823</v>
      </c>
      <c r="AB66" s="64">
        <f t="shared" si="5"/>
        <v>3925264147</v>
      </c>
      <c r="AC66" s="118">
        <f t="shared" si="1"/>
        <v>69.829695463804427</v>
      </c>
      <c r="AD66" s="118">
        <f t="shared" si="2"/>
        <v>57.28943816070781</v>
      </c>
      <c r="AE66" s="56">
        <f t="shared" si="3"/>
        <v>0.21889300551209456</v>
      </c>
      <c r="AF66" s="147">
        <f t="shared" si="4"/>
        <v>50.262839256509274</v>
      </c>
      <c r="AG66" s="242">
        <f t="shared" si="6"/>
        <v>12.540257303096617</v>
      </c>
      <c r="AH66" s="240">
        <f t="shared" si="7"/>
        <v>7</v>
      </c>
      <c r="AI66" s="240">
        <v>3692</v>
      </c>
      <c r="AJ66" s="240"/>
      <c r="AK66" s="240"/>
      <c r="AL66" s="240"/>
      <c r="AM66" s="240"/>
      <c r="AN66" s="240"/>
      <c r="AO66" s="240"/>
      <c r="AP66" s="240"/>
      <c r="AQ66" s="240"/>
      <c r="AR66" s="159"/>
      <c r="AS66" s="159"/>
      <c r="AT66" s="159"/>
      <c r="AU66" s="159"/>
      <c r="AV66" s="159"/>
      <c r="AW66" s="159"/>
      <c r="AX66" s="159"/>
    </row>
    <row r="67" spans="2:50">
      <c r="B67" s="111" t="s">
        <v>220</v>
      </c>
      <c r="C67" s="112">
        <v>289.2</v>
      </c>
      <c r="D67" s="110"/>
      <c r="E67" s="110"/>
      <c r="F67" s="110"/>
      <c r="G67" s="109">
        <v>18308719</v>
      </c>
      <c r="H67" s="110"/>
      <c r="I67" s="110"/>
      <c r="J67" s="110"/>
      <c r="K67" s="109">
        <v>2269770</v>
      </c>
      <c r="L67" s="110"/>
      <c r="M67" s="110"/>
      <c r="N67" s="110"/>
      <c r="O67" s="109">
        <v>1355813</v>
      </c>
      <c r="P67" s="110"/>
      <c r="Q67" s="110"/>
      <c r="R67" s="110"/>
      <c r="S67" s="109">
        <v>8713488</v>
      </c>
      <c r="T67" s="64">
        <f>SUM(D$9:D67)+SUM(H$9:H67)</f>
        <v>1469155291</v>
      </c>
      <c r="U67" s="64">
        <f>SUM(E$9:E67)+SUM(I$9:I67)</f>
        <v>977992357</v>
      </c>
      <c r="V67" s="64">
        <f>SUM(F$9:F67)+SUM(J$9:J67)</f>
        <v>670106687</v>
      </c>
      <c r="W67" s="64">
        <f>SUM(G$9:G67)+SUM(K$9:K67)</f>
        <v>248964312</v>
      </c>
      <c r="X67" s="64">
        <f>SUM(L$9:L67)+SUM(P$9:P67)</f>
        <v>225412994</v>
      </c>
      <c r="Y67" s="64">
        <f>SUM(M$9:M67)+SUM(Q$9:Q67)</f>
        <v>141240396</v>
      </c>
      <c r="Z67" s="64">
        <f>SUM(N$9:N67)+SUM(R$9:R67)</f>
        <v>141879776</v>
      </c>
      <c r="AA67" s="64">
        <f>SUM(O$9:O67)+SUM(S$9:S67)</f>
        <v>81160124</v>
      </c>
      <c r="AB67" s="64">
        <f t="shared" si="5"/>
        <v>3955911937</v>
      </c>
      <c r="AC67" s="118">
        <f t="shared" si="1"/>
        <v>73.105772981214869</v>
      </c>
      <c r="AD67" s="118">
        <f t="shared" si="2"/>
        <v>57.122944907456365</v>
      </c>
      <c r="AE67" s="56">
        <f t="shared" si="3"/>
        <v>0.27979699050271201</v>
      </c>
      <c r="AF67" s="147">
        <f t="shared" si="4"/>
        <v>50.160087547469587</v>
      </c>
      <c r="AG67" s="242">
        <f t="shared" si="6"/>
        <v>15.982828073758505</v>
      </c>
      <c r="AH67" s="240">
        <f t="shared" si="7"/>
        <v>8</v>
      </c>
      <c r="AI67" s="240">
        <v>4376.2</v>
      </c>
      <c r="AJ67" s="240"/>
      <c r="AK67" s="240"/>
      <c r="AL67" s="240"/>
      <c r="AM67" s="240"/>
      <c r="AN67" s="240"/>
      <c r="AO67" s="240"/>
      <c r="AP67" s="240"/>
      <c r="AQ67" s="240"/>
      <c r="AR67" s="159"/>
      <c r="AS67" s="159"/>
      <c r="AT67" s="159"/>
      <c r="AU67" s="159"/>
      <c r="AV67" s="159"/>
      <c r="AW67" s="159"/>
      <c r="AX67" s="159"/>
    </row>
    <row r="68" spans="2:50">
      <c r="B68" s="111" t="s">
        <v>221</v>
      </c>
      <c r="C68" s="112">
        <v>304.8</v>
      </c>
      <c r="D68" s="110"/>
      <c r="E68" s="110"/>
      <c r="F68" s="110"/>
      <c r="G68" s="109">
        <v>13832280</v>
      </c>
      <c r="H68" s="110"/>
      <c r="I68" s="110"/>
      <c r="J68" s="110"/>
      <c r="K68" s="109">
        <v>1598596</v>
      </c>
      <c r="L68" s="110"/>
      <c r="M68" s="110"/>
      <c r="N68" s="110"/>
      <c r="O68" s="109">
        <v>731624</v>
      </c>
      <c r="P68" s="110"/>
      <c r="Q68" s="110"/>
      <c r="R68" s="110"/>
      <c r="S68" s="109">
        <v>5699598</v>
      </c>
      <c r="T68" s="64">
        <f>SUM(D$9:D68)+SUM(H$9:H68)</f>
        <v>1469155291</v>
      </c>
      <c r="U68" s="64">
        <f>SUM(E$9:E68)+SUM(I$9:I68)</f>
        <v>977992357</v>
      </c>
      <c r="V68" s="64">
        <f>SUM(F$9:F68)+SUM(J$9:J68)</f>
        <v>670106687</v>
      </c>
      <c r="W68" s="64">
        <f>SUM(G$9:G68)+SUM(K$9:K68)</f>
        <v>264395188</v>
      </c>
      <c r="X68" s="64">
        <f>SUM(L$9:L68)+SUM(P$9:P68)</f>
        <v>225412994</v>
      </c>
      <c r="Y68" s="64">
        <f>SUM(M$9:M68)+SUM(Q$9:Q68)</f>
        <v>141240396</v>
      </c>
      <c r="Z68" s="64">
        <f>SUM(N$9:N68)+SUM(R$9:R68)</f>
        <v>141879776</v>
      </c>
      <c r="AA68" s="64">
        <f>SUM(O$9:O68)+SUM(S$9:S68)</f>
        <v>87591346</v>
      </c>
      <c r="AB68" s="64">
        <f t="shared" si="5"/>
        <v>3977774035</v>
      </c>
      <c r="AC68" s="118">
        <f t="shared" si="1"/>
        <v>76.625770422879242</v>
      </c>
      <c r="AD68" s="118">
        <f t="shared" si="2"/>
        <v>56.997812123332437</v>
      </c>
      <c r="AE68" s="56">
        <f t="shared" si="3"/>
        <v>0.34436336358096753</v>
      </c>
      <c r="AF68" s="147">
        <f t="shared" si="4"/>
        <v>50.087758872909433</v>
      </c>
      <c r="AG68" s="242">
        <f t="shared" si="6"/>
        <v>19.627958299546805</v>
      </c>
      <c r="AH68" s="240">
        <f t="shared" si="7"/>
        <v>9</v>
      </c>
      <c r="AI68" s="240">
        <v>4105</v>
      </c>
      <c r="AJ68" s="240"/>
      <c r="AK68" s="240"/>
      <c r="AL68" s="240"/>
      <c r="AM68" s="240"/>
      <c r="AN68" s="240"/>
      <c r="AO68" s="240"/>
      <c r="AP68" s="240"/>
      <c r="AQ68" s="240"/>
      <c r="AR68" s="159"/>
      <c r="AS68" s="159"/>
      <c r="AT68" s="159"/>
      <c r="AU68" s="159"/>
      <c r="AV68" s="159"/>
      <c r="AW68" s="159"/>
      <c r="AX68" s="159"/>
    </row>
    <row r="69" spans="2:50">
      <c r="B69" s="111" t="s">
        <v>222</v>
      </c>
      <c r="C69" s="112">
        <v>303.89999999999998</v>
      </c>
      <c r="D69" s="110"/>
      <c r="E69" s="110"/>
      <c r="F69" s="110"/>
      <c r="G69" s="109">
        <v>11122088</v>
      </c>
      <c r="H69" s="110"/>
      <c r="I69" s="110"/>
      <c r="J69" s="110"/>
      <c r="K69" s="109">
        <v>1258484</v>
      </c>
      <c r="L69" s="110"/>
      <c r="M69" s="110"/>
      <c r="N69" s="110"/>
      <c r="O69" s="109">
        <v>661243</v>
      </c>
      <c r="P69" s="110"/>
      <c r="Q69" s="110"/>
      <c r="R69" s="110"/>
      <c r="S69" s="109">
        <v>2875457</v>
      </c>
      <c r="T69" s="64">
        <f>SUM(D$9:D69)+SUM(H$9:H69)</f>
        <v>1469155291</v>
      </c>
      <c r="U69" s="64">
        <f>SUM(E$9:E69)+SUM(I$9:I69)</f>
        <v>977992357</v>
      </c>
      <c r="V69" s="64">
        <f>SUM(F$9:F69)+SUM(J$9:J69)</f>
        <v>670106687</v>
      </c>
      <c r="W69" s="64">
        <f>SUM(G$9:G69)+SUM(K$9:K69)</f>
        <v>276775760</v>
      </c>
      <c r="X69" s="64">
        <f>SUM(L$9:L69)+SUM(P$9:P69)</f>
        <v>225412994</v>
      </c>
      <c r="Y69" s="64">
        <f>SUM(M$9:M69)+SUM(Q$9:Q69)</f>
        <v>141240396</v>
      </c>
      <c r="Z69" s="64">
        <f>SUM(N$9:N69)+SUM(R$9:R69)</f>
        <v>141879776</v>
      </c>
      <c r="AA69" s="64">
        <f>SUM(O$9:O69)+SUM(S$9:S69)</f>
        <v>91128046</v>
      </c>
      <c r="AB69" s="64">
        <f t="shared" si="5"/>
        <v>3993691307</v>
      </c>
      <c r="AC69" s="118">
        <f t="shared" si="1"/>
        <v>76.095015022151287</v>
      </c>
      <c r="AD69" s="118">
        <f t="shared" si="2"/>
        <v>56.895518715162432</v>
      </c>
      <c r="AE69" s="56">
        <f t="shared" si="3"/>
        <v>0.33745181941494917</v>
      </c>
      <c r="AF69" s="147">
        <f t="shared" si="4"/>
        <v>50.035596248951649</v>
      </c>
      <c r="AG69" s="242">
        <f>AC69-AD69</f>
        <v>19.199496306988856</v>
      </c>
      <c r="AH69" s="240">
        <f t="shared" si="7"/>
        <v>10</v>
      </c>
      <c r="AI69" s="240">
        <v>4282.4000000000005</v>
      </c>
      <c r="AJ69" s="240"/>
      <c r="AK69" s="240" t="s">
        <v>476</v>
      </c>
      <c r="AL69" s="240"/>
      <c r="AM69" s="240"/>
      <c r="AN69" s="240"/>
      <c r="AO69" s="240"/>
      <c r="AP69" s="240"/>
      <c r="AQ69" s="240"/>
      <c r="AR69" s="159" t="s">
        <v>479</v>
      </c>
      <c r="AS69" s="159"/>
      <c r="AT69" s="159"/>
      <c r="AU69" s="159"/>
      <c r="AV69" s="159"/>
      <c r="AW69" s="159"/>
      <c r="AX69" s="159"/>
    </row>
    <row r="70" spans="2:50" ht="15.75" thickBot="1">
      <c r="B70" s="111" t="s">
        <v>223</v>
      </c>
      <c r="C70" s="112">
        <v>305.5</v>
      </c>
      <c r="D70" s="110"/>
      <c r="E70" s="110"/>
      <c r="F70" s="110"/>
      <c r="G70" s="109">
        <v>12220793</v>
      </c>
      <c r="H70" s="110"/>
      <c r="I70" s="110"/>
      <c r="J70" s="110"/>
      <c r="K70" s="109">
        <v>1215651</v>
      </c>
      <c r="L70" s="110"/>
      <c r="M70" s="110"/>
      <c r="N70" s="110"/>
      <c r="O70" s="109">
        <v>711291</v>
      </c>
      <c r="P70" s="110"/>
      <c r="Q70" s="110"/>
      <c r="R70" s="110"/>
      <c r="S70" s="109">
        <v>5195163</v>
      </c>
      <c r="T70" s="64">
        <f>SUM(D$9:D70)+SUM(H$9:H70)</f>
        <v>1469155291</v>
      </c>
      <c r="U70" s="64">
        <f>SUM(E$9:E70)+SUM(I$9:I70)</f>
        <v>977992357</v>
      </c>
      <c r="V70" s="64">
        <f>SUM(F$9:F70)+SUM(J$9:J70)</f>
        <v>670106687</v>
      </c>
      <c r="W70" s="64">
        <f>SUM(G$9:G70)+SUM(K$9:K70)</f>
        <v>290212204</v>
      </c>
      <c r="X70" s="64">
        <f>SUM(L$9:L70)+SUM(P$9:P70)</f>
        <v>225412994</v>
      </c>
      <c r="Y70" s="64">
        <f>SUM(M$9:M70)+SUM(Q$9:Q70)</f>
        <v>141240396</v>
      </c>
      <c r="Z70" s="64">
        <f>SUM(N$9:N70)+SUM(R$9:R70)</f>
        <v>141879776</v>
      </c>
      <c r="AA70" s="64">
        <f>SUM(O$9:O70)+SUM(S$9:S70)</f>
        <v>97034500</v>
      </c>
      <c r="AB70" s="64">
        <f t="shared" si="5"/>
        <v>4013034205</v>
      </c>
      <c r="AC70" s="118">
        <f t="shared" si="1"/>
        <v>76.126936475987506</v>
      </c>
      <c r="AD70" s="118">
        <f t="shared" si="2"/>
        <v>56.789138014336963</v>
      </c>
      <c r="AE70" s="56">
        <f t="shared" si="3"/>
        <v>0.34051931650676814</v>
      </c>
      <c r="AF70" s="147">
        <f t="shared" si="4"/>
        <v>49.972764437476307</v>
      </c>
      <c r="AG70" s="242">
        <f t="shared" ref="AG70:AG81" si="8">AC70-AD70</f>
        <v>19.337798461650543</v>
      </c>
      <c r="AH70" s="240">
        <f t="shared" si="7"/>
        <v>11</v>
      </c>
      <c r="AI70" s="240">
        <v>3860.0000000000005</v>
      </c>
      <c r="AJ70" s="240"/>
      <c r="AK70" s="240"/>
      <c r="AL70" s="240"/>
      <c r="AM70" s="240"/>
      <c r="AN70" s="240"/>
      <c r="AO70" s="240"/>
      <c r="AP70" s="240"/>
      <c r="AQ70" s="240"/>
      <c r="AR70" s="159"/>
      <c r="AS70" s="159"/>
      <c r="AT70" s="159"/>
      <c r="AU70" s="159"/>
      <c r="AV70" s="159"/>
      <c r="AW70" s="159"/>
      <c r="AX70" s="159"/>
    </row>
    <row r="71" spans="2:50">
      <c r="B71" s="111" t="s">
        <v>224</v>
      </c>
      <c r="C71" s="112">
        <v>303.8</v>
      </c>
      <c r="D71" s="110"/>
      <c r="E71" s="110"/>
      <c r="F71" s="110"/>
      <c r="G71" s="109">
        <v>11092423</v>
      </c>
      <c r="H71" s="110"/>
      <c r="I71" s="110"/>
      <c r="J71" s="110"/>
      <c r="K71" s="109">
        <v>989465</v>
      </c>
      <c r="L71" s="110"/>
      <c r="M71" s="110"/>
      <c r="N71" s="110"/>
      <c r="O71" s="109">
        <v>720186</v>
      </c>
      <c r="P71" s="110"/>
      <c r="Q71" s="110"/>
      <c r="R71" s="110"/>
      <c r="S71" s="109">
        <v>5149310</v>
      </c>
      <c r="T71" s="64">
        <f>SUM(D$9:D71)+SUM(H$9:H71)</f>
        <v>1469155291</v>
      </c>
      <c r="U71" s="64">
        <f>SUM(E$9:E71)+SUM(I$9:I71)</f>
        <v>977992357</v>
      </c>
      <c r="V71" s="64">
        <f>SUM(F$9:F71)+SUM(J$9:J71)</f>
        <v>670106687</v>
      </c>
      <c r="W71" s="64">
        <f>SUM(G$9:G71)+SUM(K$9:K71)</f>
        <v>302294092</v>
      </c>
      <c r="X71" s="64">
        <f>SUM(L$9:L71)+SUM(P$9:P71)</f>
        <v>225412994</v>
      </c>
      <c r="Y71" s="64">
        <f>SUM(M$9:M71)+SUM(Q$9:Q71)</f>
        <v>141240396</v>
      </c>
      <c r="Z71" s="64">
        <f>SUM(N$9:N71)+SUM(R$9:R71)</f>
        <v>141879776</v>
      </c>
      <c r="AA71" s="64">
        <f>SUM(O$9:O71)+SUM(S$9:S71)</f>
        <v>102903996</v>
      </c>
      <c r="AB71" s="64">
        <f t="shared" si="5"/>
        <v>4030985589</v>
      </c>
      <c r="AC71" s="118">
        <f t="shared" si="1"/>
        <v>75.366183602597843</v>
      </c>
      <c r="AD71" s="118">
        <f t="shared" si="2"/>
        <v>56.695365825084821</v>
      </c>
      <c r="AE71" s="56">
        <f t="shared" si="3"/>
        <v>0.32931823449408149</v>
      </c>
      <c r="AF71" s="147">
        <f t="shared" si="4"/>
        <v>49.914992195225139</v>
      </c>
      <c r="AG71" s="242">
        <f t="shared" si="8"/>
        <v>18.670817777513022</v>
      </c>
      <c r="AH71" s="240">
        <f t="shared" si="7"/>
        <v>12</v>
      </c>
      <c r="AI71" s="240">
        <v>3850.3</v>
      </c>
      <c r="AJ71" s="240"/>
      <c r="AK71" s="243" t="s">
        <v>108</v>
      </c>
      <c r="AL71" s="243"/>
      <c r="AM71" s="240"/>
      <c r="AN71" s="240"/>
      <c r="AO71" s="240"/>
      <c r="AP71" s="240"/>
      <c r="AQ71" s="240"/>
      <c r="AR71" s="230" t="s">
        <v>108</v>
      </c>
      <c r="AS71" s="230"/>
      <c r="AT71" s="159"/>
      <c r="AU71" s="159"/>
      <c r="AV71" s="159"/>
      <c r="AW71" s="159"/>
      <c r="AX71" s="159"/>
    </row>
    <row r="72" spans="2:50">
      <c r="B72" s="111" t="s">
        <v>225</v>
      </c>
      <c r="C72" s="112">
        <v>272.89999999999998</v>
      </c>
      <c r="D72" s="110"/>
      <c r="E72" s="110"/>
      <c r="F72" s="110"/>
      <c r="G72" s="109">
        <v>13437610</v>
      </c>
      <c r="H72" s="110"/>
      <c r="I72" s="110"/>
      <c r="J72" s="110"/>
      <c r="K72" s="109">
        <v>1296406</v>
      </c>
      <c r="L72" s="110"/>
      <c r="M72" s="110"/>
      <c r="N72" s="110"/>
      <c r="O72" s="109">
        <v>723455</v>
      </c>
      <c r="P72" s="110"/>
      <c r="Q72" s="110"/>
      <c r="R72" s="110"/>
      <c r="S72" s="109">
        <v>7721662</v>
      </c>
      <c r="T72" s="64">
        <f>SUM(D$9:D72)+SUM(H$9:H72)</f>
        <v>1469155291</v>
      </c>
      <c r="U72" s="64">
        <f>SUM(E$9:E72)+SUM(I$9:I72)</f>
        <v>977992357</v>
      </c>
      <c r="V72" s="64">
        <f>SUM(F$9:F72)+SUM(J$9:J72)</f>
        <v>670106687</v>
      </c>
      <c r="W72" s="64">
        <f>SUM(G$9:G72)+SUM(K$9:K72)</f>
        <v>317028108</v>
      </c>
      <c r="X72" s="64">
        <f>SUM(L$9:L72)+SUM(P$9:P72)</f>
        <v>225412994</v>
      </c>
      <c r="Y72" s="64">
        <f>SUM(M$9:M72)+SUM(Q$9:Q72)</f>
        <v>141240396</v>
      </c>
      <c r="Z72" s="64">
        <f>SUM(N$9:N72)+SUM(R$9:R72)</f>
        <v>141879776</v>
      </c>
      <c r="AA72" s="64">
        <f>SUM(O$9:O72)+SUM(S$9:S72)</f>
        <v>111349113</v>
      </c>
      <c r="AB72" s="64">
        <f t="shared" si="5"/>
        <v>4054164722</v>
      </c>
      <c r="AC72" s="118">
        <f t="shared" si="1"/>
        <v>67.31349580324229</v>
      </c>
      <c r="AD72" s="118">
        <f t="shared" si="2"/>
        <v>56.584488834195916</v>
      </c>
      <c r="AE72" s="56">
        <f t="shared" si="3"/>
        <v>0.18961038952714682</v>
      </c>
      <c r="AF72" s="147">
        <f t="shared" si="4"/>
        <v>49.84115249153411</v>
      </c>
      <c r="AG72" s="242">
        <f t="shared" si="8"/>
        <v>10.729006969046374</v>
      </c>
      <c r="AH72" s="240">
        <f t="shared" si="7"/>
        <v>13</v>
      </c>
      <c r="AI72" s="240">
        <v>3517.3</v>
      </c>
      <c r="AJ72" s="240"/>
      <c r="AK72" s="244" t="s">
        <v>109</v>
      </c>
      <c r="AL72" s="244">
        <v>0.63022412761583868</v>
      </c>
      <c r="AM72" s="240"/>
      <c r="AN72" s="240"/>
      <c r="AO72" s="240"/>
      <c r="AP72" s="240"/>
      <c r="AQ72" s="240"/>
      <c r="AR72" s="231" t="s">
        <v>109</v>
      </c>
      <c r="AS72" s="231">
        <v>0.8551222137386808</v>
      </c>
      <c r="AT72" s="159"/>
      <c r="AU72" s="159"/>
      <c r="AV72" s="159"/>
      <c r="AW72" s="159"/>
      <c r="AX72" s="159"/>
    </row>
    <row r="73" spans="2:50">
      <c r="B73" s="111" t="s">
        <v>226</v>
      </c>
      <c r="C73" s="112">
        <v>285.3</v>
      </c>
      <c r="D73" s="110"/>
      <c r="E73" s="110"/>
      <c r="F73" s="110"/>
      <c r="G73" s="109">
        <v>15345162</v>
      </c>
      <c r="H73" s="110"/>
      <c r="I73" s="110"/>
      <c r="J73" s="110"/>
      <c r="K73" s="109">
        <v>1583457</v>
      </c>
      <c r="L73" s="110"/>
      <c r="M73" s="110"/>
      <c r="N73" s="110"/>
      <c r="O73" s="109">
        <v>1173980</v>
      </c>
      <c r="P73" s="110"/>
      <c r="Q73" s="110"/>
      <c r="R73" s="110"/>
      <c r="S73" s="109">
        <v>12760680</v>
      </c>
      <c r="T73" s="64">
        <f>SUM(D$9:D73)+SUM(H$9:H73)</f>
        <v>1469155291</v>
      </c>
      <c r="U73" s="64">
        <f>SUM(E$9:E73)+SUM(I$9:I73)</f>
        <v>977992357</v>
      </c>
      <c r="V73" s="64">
        <f>SUM(F$9:F73)+SUM(J$9:J73)</f>
        <v>670106687</v>
      </c>
      <c r="W73" s="64">
        <f>SUM(G$9:G73)+SUM(K$9:K73)</f>
        <v>333956727</v>
      </c>
      <c r="X73" s="64">
        <f>SUM(L$9:L73)+SUM(P$9:P73)</f>
        <v>225412994</v>
      </c>
      <c r="Y73" s="64">
        <f>SUM(M$9:M73)+SUM(Q$9:Q73)</f>
        <v>141240396</v>
      </c>
      <c r="Z73" s="64">
        <f>SUM(N$9:N73)+SUM(R$9:R73)</f>
        <v>141879776</v>
      </c>
      <c r="AA73" s="64">
        <f>SUM(O$9:O73)+SUM(S$9:S73)</f>
        <v>125283773</v>
      </c>
      <c r="AB73" s="64">
        <f t="shared" ref="AB73:AB81" si="9">SUM(T73:AA73)</f>
        <v>4085028001</v>
      </c>
      <c r="AC73" s="118">
        <f t="shared" si="1"/>
        <v>69.840402545627498</v>
      </c>
      <c r="AD73" s="118">
        <f t="shared" si="2"/>
        <v>56.466463937464695</v>
      </c>
      <c r="AE73" s="56">
        <f t="shared" si="3"/>
        <v>0.23684746087472619</v>
      </c>
      <c r="AF73" s="147">
        <f t="shared" si="4"/>
        <v>49.744134779065377</v>
      </c>
      <c r="AG73" s="242">
        <f t="shared" si="8"/>
        <v>13.373938608162803</v>
      </c>
      <c r="AH73" s="240">
        <f t="shared" si="7"/>
        <v>14</v>
      </c>
      <c r="AI73" s="240">
        <v>4254.5</v>
      </c>
      <c r="AJ73" s="240"/>
      <c r="AK73" s="244" t="s">
        <v>110</v>
      </c>
      <c r="AL73" s="244">
        <v>0.3971824510291449</v>
      </c>
      <c r="AM73" s="240"/>
      <c r="AN73" s="240"/>
      <c r="AO73" s="240"/>
      <c r="AP73" s="240"/>
      <c r="AQ73" s="240"/>
      <c r="AR73" s="231" t="s">
        <v>110</v>
      </c>
      <c r="AS73" s="231">
        <v>0.73123400042934217</v>
      </c>
      <c r="AT73" s="159"/>
      <c r="AU73" s="159"/>
      <c r="AV73" s="159"/>
      <c r="AW73" s="159"/>
      <c r="AX73" s="159"/>
    </row>
    <row r="74" spans="2:50">
      <c r="B74" s="111" t="s">
        <v>227</v>
      </c>
      <c r="C74" s="112">
        <v>304.10000000000002</v>
      </c>
      <c r="D74" s="110"/>
      <c r="E74" s="110"/>
      <c r="F74" s="110"/>
      <c r="G74" s="109">
        <v>15899536</v>
      </c>
      <c r="H74" s="110"/>
      <c r="I74" s="110"/>
      <c r="J74" s="110"/>
      <c r="K74" s="109">
        <v>1531377</v>
      </c>
      <c r="L74" s="110"/>
      <c r="M74" s="110"/>
      <c r="N74" s="110"/>
      <c r="O74" s="109">
        <v>957706</v>
      </c>
      <c r="P74" s="110"/>
      <c r="Q74" s="110"/>
      <c r="R74" s="110"/>
      <c r="S74" s="109">
        <v>9197865</v>
      </c>
      <c r="T74" s="64">
        <f>SUM(D$9:D74)+SUM(H$9:H74)</f>
        <v>1469155291</v>
      </c>
      <c r="U74" s="64">
        <f>SUM(E$9:E74)+SUM(I$9:I74)</f>
        <v>977992357</v>
      </c>
      <c r="V74" s="64">
        <f>SUM(F$9:F74)+SUM(J$9:J74)</f>
        <v>670106687</v>
      </c>
      <c r="W74" s="64">
        <f>SUM(G$9:G74)+SUM(K$9:K74)</f>
        <v>351387640</v>
      </c>
      <c r="X74" s="64">
        <f>SUM(L$9:L74)+SUM(P$9:P74)</f>
        <v>225412994</v>
      </c>
      <c r="Y74" s="64">
        <f>SUM(M$9:M74)+SUM(Q$9:Q74)</f>
        <v>141240396</v>
      </c>
      <c r="Z74" s="64">
        <f>SUM(N$9:N74)+SUM(R$9:R74)</f>
        <v>141879776</v>
      </c>
      <c r="AA74" s="64">
        <f>SUM(O$9:O74)+SUM(S$9:S74)</f>
        <v>135439344</v>
      </c>
      <c r="AB74" s="64">
        <f t="shared" si="9"/>
        <v>4112614485</v>
      </c>
      <c r="AC74" s="118">
        <f t="shared" si="1"/>
        <v>73.943230300128647</v>
      </c>
      <c r="AD74" s="118">
        <f t="shared" si="2"/>
        <v>56.338984307205251</v>
      </c>
      <c r="AE74" s="56">
        <f t="shared" si="3"/>
        <v>0.3124700633034303</v>
      </c>
      <c r="AF74" s="147">
        <f t="shared" si="4"/>
        <v>49.658650017131379</v>
      </c>
      <c r="AG74" s="242">
        <f t="shared" si="8"/>
        <v>17.604245992923396</v>
      </c>
      <c r="AH74" s="240">
        <f t="shared" si="7"/>
        <v>15</v>
      </c>
      <c r="AI74" s="240">
        <v>4397.6000000000004</v>
      </c>
      <c r="AJ74" s="240"/>
      <c r="AK74" s="244" t="s">
        <v>111</v>
      </c>
      <c r="AL74" s="244">
        <v>0.27661894123497388</v>
      </c>
      <c r="AM74" s="240"/>
      <c r="AN74" s="240"/>
      <c r="AO74" s="240"/>
      <c r="AP74" s="240"/>
      <c r="AQ74" s="240"/>
      <c r="AR74" s="231" t="s">
        <v>111</v>
      </c>
      <c r="AS74" s="231">
        <v>0.70294284257979922</v>
      </c>
      <c r="AT74" s="159"/>
      <c r="AU74" s="159"/>
      <c r="AV74" s="159"/>
      <c r="AW74" s="159"/>
      <c r="AX74" s="159"/>
    </row>
    <row r="75" spans="2:50">
      <c r="B75" s="111" t="s">
        <v>228</v>
      </c>
      <c r="C75" s="112">
        <v>303.2</v>
      </c>
      <c r="D75" s="110"/>
      <c r="E75" s="110"/>
      <c r="F75" s="110"/>
      <c r="G75" s="109">
        <v>15378419</v>
      </c>
      <c r="H75" s="110"/>
      <c r="I75" s="110"/>
      <c r="J75" s="110"/>
      <c r="K75" s="109">
        <v>1866435</v>
      </c>
      <c r="L75" s="110"/>
      <c r="M75" s="110"/>
      <c r="N75" s="110"/>
      <c r="O75" s="109">
        <v>1330995</v>
      </c>
      <c r="P75" s="110"/>
      <c r="Q75" s="110"/>
      <c r="R75" s="110"/>
      <c r="S75" s="109">
        <v>10259429</v>
      </c>
      <c r="T75" s="64">
        <f>SUM(D$9:D75)+SUM(H$9:H75)</f>
        <v>1469155291</v>
      </c>
      <c r="U75" s="64">
        <f>SUM(E$9:E75)+SUM(I$9:I75)</f>
        <v>977992357</v>
      </c>
      <c r="V75" s="64">
        <f>SUM(F$9:F75)+SUM(J$9:J75)</f>
        <v>670106687</v>
      </c>
      <c r="W75" s="64">
        <f>SUM(G$9:G75)+SUM(K$9:K75)</f>
        <v>368632494</v>
      </c>
      <c r="X75" s="64">
        <f>SUM(L$9:L75)+SUM(P$9:P75)</f>
        <v>225412994</v>
      </c>
      <c r="Y75" s="64">
        <f>SUM(M$9:M75)+SUM(Q$9:Q75)</f>
        <v>141240396</v>
      </c>
      <c r="Z75" s="64">
        <f>SUM(N$9:N75)+SUM(R$9:R75)</f>
        <v>141879776</v>
      </c>
      <c r="AA75" s="64">
        <f>SUM(O$9:O75)+SUM(S$9:S75)</f>
        <v>147029768</v>
      </c>
      <c r="AB75" s="64">
        <f t="shared" si="9"/>
        <v>4141449763</v>
      </c>
      <c r="AC75" s="118">
        <f t="shared" si="1"/>
        <v>73.211077605917112</v>
      </c>
      <c r="AD75" s="118">
        <f t="shared" si="2"/>
        <v>56.217438380164651</v>
      </c>
      <c r="AE75" s="56">
        <f t="shared" si="3"/>
        <v>0.30228412598302179</v>
      </c>
      <c r="AF75" s="147">
        <f t="shared" si="4"/>
        <v>49.570512839756979</v>
      </c>
      <c r="AG75" s="242">
        <f t="shared" si="8"/>
        <v>16.99363922575246</v>
      </c>
      <c r="AH75" s="240">
        <f t="shared" si="7"/>
        <v>16</v>
      </c>
      <c r="AI75" s="240">
        <v>4396.4999999999991</v>
      </c>
      <c r="AJ75" s="240"/>
      <c r="AK75" s="244" t="s">
        <v>112</v>
      </c>
      <c r="AL75" s="244">
        <v>3.2802829845761954</v>
      </c>
      <c r="AM75" s="240"/>
      <c r="AN75" s="240"/>
      <c r="AO75" s="240"/>
      <c r="AP75" s="240"/>
      <c r="AQ75" s="240"/>
      <c r="AR75" s="231" t="s">
        <v>112</v>
      </c>
      <c r="AS75" s="231">
        <v>3.6700819444104065</v>
      </c>
      <c r="AT75" s="159"/>
      <c r="AU75" s="159"/>
      <c r="AV75" s="159"/>
      <c r="AW75" s="159"/>
      <c r="AX75" s="159"/>
    </row>
    <row r="76" spans="2:50" ht="15.75" thickBot="1">
      <c r="B76" s="111" t="s">
        <v>229</v>
      </c>
      <c r="C76" s="112">
        <v>267.7</v>
      </c>
      <c r="D76" s="110"/>
      <c r="E76" s="110"/>
      <c r="F76" s="110"/>
      <c r="G76" s="109">
        <v>17795013</v>
      </c>
      <c r="H76" s="110"/>
      <c r="I76" s="110"/>
      <c r="J76" s="110"/>
      <c r="K76" s="109">
        <v>2614271</v>
      </c>
      <c r="L76" s="110"/>
      <c r="M76" s="110"/>
      <c r="N76" s="110"/>
      <c r="O76" s="109">
        <v>1498679</v>
      </c>
      <c r="P76" s="110"/>
      <c r="Q76" s="110"/>
      <c r="R76" s="110"/>
      <c r="S76" s="109">
        <v>10680559</v>
      </c>
      <c r="T76" s="64">
        <f>SUM(D$9:D76)+SUM(H$9:H76)</f>
        <v>1469155291</v>
      </c>
      <c r="U76" s="64">
        <f>SUM(E$9:E76)+SUM(I$9:I76)</f>
        <v>977992357</v>
      </c>
      <c r="V76" s="64">
        <f>SUM(F$9:F76)+SUM(J$9:J76)</f>
        <v>670106687</v>
      </c>
      <c r="W76" s="64">
        <f>SUM(G$9:G76)+SUM(K$9:K76)</f>
        <v>389041778</v>
      </c>
      <c r="X76" s="64">
        <f>SUM(L$9:L76)+SUM(P$9:P76)</f>
        <v>225412994</v>
      </c>
      <c r="Y76" s="64">
        <f>SUM(M$9:M76)+SUM(Q$9:Q76)</f>
        <v>141240396</v>
      </c>
      <c r="Z76" s="64">
        <f>SUM(N$9:N76)+SUM(R$9:R76)</f>
        <v>141879776</v>
      </c>
      <c r="AA76" s="64">
        <f>SUM(O$9:O76)+SUM(S$9:S76)</f>
        <v>159209006</v>
      </c>
      <c r="AB76" s="64">
        <f t="shared" si="9"/>
        <v>4174038285</v>
      </c>
      <c r="AC76" s="118">
        <f t="shared" si="1"/>
        <v>64.134533926537756</v>
      </c>
      <c r="AD76" s="118">
        <f t="shared" si="2"/>
        <v>56.072837946190518</v>
      </c>
      <c r="AE76" s="56">
        <f t="shared" si="3"/>
        <v>0.14377185595784403</v>
      </c>
      <c r="AF76" s="147">
        <f t="shared" si="4"/>
        <v>49.472369409759736</v>
      </c>
      <c r="AG76" s="242">
        <f t="shared" si="8"/>
        <v>8.0616959803472383</v>
      </c>
      <c r="AH76" s="240">
        <f t="shared" si="7"/>
        <v>17</v>
      </c>
      <c r="AI76" s="240">
        <v>3923.1000000000004</v>
      </c>
      <c r="AJ76" s="240"/>
      <c r="AK76" s="245" t="s">
        <v>113</v>
      </c>
      <c r="AL76" s="245">
        <v>13</v>
      </c>
      <c r="AM76" s="240"/>
      <c r="AN76" s="240"/>
      <c r="AO76" s="240"/>
      <c r="AP76" s="240"/>
      <c r="AQ76" s="240"/>
      <c r="AR76" s="232" t="s">
        <v>113</v>
      </c>
      <c r="AS76" s="232">
        <v>22</v>
      </c>
      <c r="AT76" s="159"/>
      <c r="AU76" s="159"/>
      <c r="AV76" s="159"/>
      <c r="AW76" s="159"/>
      <c r="AX76" s="159"/>
    </row>
    <row r="77" spans="2:50">
      <c r="B77" s="111" t="s">
        <v>230</v>
      </c>
      <c r="C77" s="112">
        <v>283.5</v>
      </c>
      <c r="D77" s="110"/>
      <c r="E77" s="110"/>
      <c r="F77" s="110"/>
      <c r="G77" s="109">
        <v>17672017</v>
      </c>
      <c r="H77" s="110"/>
      <c r="I77" s="110"/>
      <c r="J77" s="110"/>
      <c r="K77" s="109">
        <v>2561134</v>
      </c>
      <c r="L77" s="110"/>
      <c r="M77" s="110"/>
      <c r="N77" s="110"/>
      <c r="O77" s="109">
        <v>1252818</v>
      </c>
      <c r="P77" s="110"/>
      <c r="Q77" s="110"/>
      <c r="R77" s="110"/>
      <c r="S77" s="109">
        <v>11157850</v>
      </c>
      <c r="T77" s="64">
        <f>SUM(D$9:D77)+SUM(H$9:H77)</f>
        <v>1469155291</v>
      </c>
      <c r="U77" s="64">
        <f>SUM(E$9:E77)+SUM(I$9:I77)</f>
        <v>977992357</v>
      </c>
      <c r="V77" s="64">
        <f>SUM(F$9:F77)+SUM(J$9:J77)</f>
        <v>670106687</v>
      </c>
      <c r="W77" s="64">
        <f>SUM(G$9:G77)+SUM(K$9:K77)</f>
        <v>409274929</v>
      </c>
      <c r="X77" s="64">
        <f>SUM(L$9:L77)+SUM(P$9:P77)</f>
        <v>225412994</v>
      </c>
      <c r="Y77" s="64">
        <f>SUM(M$9:M77)+SUM(Q$9:Q77)</f>
        <v>141240396</v>
      </c>
      <c r="Z77" s="64">
        <f>SUM(N$9:N77)+SUM(R$9:R77)</f>
        <v>141879776</v>
      </c>
      <c r="AA77" s="64">
        <f>SUM(O$9:O77)+SUM(S$9:S77)</f>
        <v>171619674</v>
      </c>
      <c r="AB77" s="64">
        <f t="shared" si="9"/>
        <v>4206682104</v>
      </c>
      <c r="AC77" s="118">
        <f t="shared" si="1"/>
        <v>67.392779628018218</v>
      </c>
      <c r="AD77" s="118">
        <f t="shared" si="2"/>
        <v>55.932342542896365</v>
      </c>
      <c r="AE77" s="56">
        <f t="shared" si="3"/>
        <v>0.20489821387925011</v>
      </c>
      <c r="AF77" s="147">
        <f t="shared" si="4"/>
        <v>49.375583924323081</v>
      </c>
      <c r="AG77" s="242">
        <f t="shared" si="8"/>
        <v>11.460437085121853</v>
      </c>
      <c r="AH77" s="240">
        <f t="shared" si="7"/>
        <v>18</v>
      </c>
      <c r="AI77" s="240">
        <v>4068.6000000000004</v>
      </c>
      <c r="AJ77" s="240"/>
      <c r="AK77" s="240"/>
      <c r="AL77" s="240"/>
      <c r="AM77" s="240"/>
      <c r="AN77" s="240"/>
      <c r="AO77" s="240"/>
      <c r="AP77" s="240"/>
      <c r="AQ77" s="240"/>
      <c r="AR77" s="159"/>
      <c r="AS77" s="159"/>
      <c r="AT77" s="159"/>
      <c r="AU77" s="159"/>
      <c r="AV77" s="159"/>
      <c r="AW77" s="159"/>
      <c r="AX77" s="159"/>
    </row>
    <row r="78" spans="2:50" ht="15.75" thickBot="1">
      <c r="B78" s="111" t="s">
        <v>231</v>
      </c>
      <c r="C78" s="112">
        <v>304.2</v>
      </c>
      <c r="D78" s="110"/>
      <c r="E78" s="110"/>
      <c r="F78" s="110"/>
      <c r="G78" s="109">
        <v>16338922</v>
      </c>
      <c r="H78" s="110"/>
      <c r="I78" s="110"/>
      <c r="J78" s="110"/>
      <c r="K78" s="109">
        <v>2428810</v>
      </c>
      <c r="L78" s="110"/>
      <c r="M78" s="110"/>
      <c r="N78" s="110"/>
      <c r="O78" s="109">
        <v>1937553</v>
      </c>
      <c r="P78" s="110"/>
      <c r="Q78" s="110"/>
      <c r="R78" s="110"/>
      <c r="S78" s="109">
        <v>14441199</v>
      </c>
      <c r="T78" s="64">
        <f>SUM(D$9:D78)+SUM(H$9:H78)</f>
        <v>1469155291</v>
      </c>
      <c r="U78" s="64">
        <f>SUM(E$9:E78)+SUM(I$9:I78)</f>
        <v>977992357</v>
      </c>
      <c r="V78" s="64">
        <f>SUM(F$9:F78)+SUM(J$9:J78)</f>
        <v>670106687</v>
      </c>
      <c r="W78" s="64">
        <f>SUM(G$9:G78)+SUM(K$9:K78)</f>
        <v>428042661</v>
      </c>
      <c r="X78" s="64">
        <f>SUM(L$9:L78)+SUM(P$9:P78)</f>
        <v>225412994</v>
      </c>
      <c r="Y78" s="64">
        <f>SUM(M$9:M78)+SUM(Q$9:Q78)</f>
        <v>141240396</v>
      </c>
      <c r="Z78" s="64">
        <f>SUM(N$9:N78)+SUM(R$9:R78)</f>
        <v>141879776</v>
      </c>
      <c r="AA78" s="64">
        <f>SUM(O$9:O78)+SUM(S$9:S78)</f>
        <v>187998426</v>
      </c>
      <c r="AB78" s="64">
        <f t="shared" si="9"/>
        <v>4241828588</v>
      </c>
      <c r="AC78" s="118">
        <f t="shared" si="1"/>
        <v>71.714354714985944</v>
      </c>
      <c r="AD78" s="118">
        <f t="shared" si="2"/>
        <v>55.813362027819878</v>
      </c>
      <c r="AE78" s="56">
        <f t="shared" si="3"/>
        <v>0.28489580468634546</v>
      </c>
      <c r="AF78" s="147">
        <f t="shared" si="4"/>
        <v>49.273043651098142</v>
      </c>
      <c r="AG78" s="242">
        <f t="shared" si="8"/>
        <v>15.900992687166067</v>
      </c>
      <c r="AH78" s="240">
        <f t="shared" si="7"/>
        <v>19</v>
      </c>
      <c r="AI78" s="240">
        <v>4135.2</v>
      </c>
      <c r="AJ78" s="240"/>
      <c r="AK78" s="240" t="s">
        <v>114</v>
      </c>
      <c r="AL78" s="240"/>
      <c r="AM78" s="240"/>
      <c r="AN78" s="240"/>
      <c r="AO78" s="240"/>
      <c r="AP78" s="240"/>
      <c r="AQ78" s="240"/>
      <c r="AR78" s="159" t="s">
        <v>114</v>
      </c>
      <c r="AS78" s="159"/>
      <c r="AT78" s="159"/>
      <c r="AU78" s="159"/>
      <c r="AV78" s="159"/>
      <c r="AW78" s="159"/>
      <c r="AX78" s="159"/>
    </row>
    <row r="79" spans="2:50">
      <c r="B79" s="111" t="s">
        <v>232</v>
      </c>
      <c r="C79" s="112">
        <v>308.89999999999998</v>
      </c>
      <c r="D79" s="110"/>
      <c r="E79" s="110"/>
      <c r="F79" s="110"/>
      <c r="G79" s="109">
        <v>15138955</v>
      </c>
      <c r="H79" s="110"/>
      <c r="I79" s="110"/>
      <c r="J79" s="110"/>
      <c r="K79" s="109">
        <v>1982862</v>
      </c>
      <c r="L79" s="110"/>
      <c r="M79" s="110"/>
      <c r="N79" s="110"/>
      <c r="O79" s="109">
        <v>1490950</v>
      </c>
      <c r="P79" s="110"/>
      <c r="Q79" s="110"/>
      <c r="R79" s="110"/>
      <c r="S79" s="109">
        <v>13529621</v>
      </c>
      <c r="T79" s="64">
        <f>SUM(D$9:D79)+SUM(H$9:H79)</f>
        <v>1469155291</v>
      </c>
      <c r="U79" s="64">
        <f>SUM(E$9:E79)+SUM(I$9:I79)</f>
        <v>977992357</v>
      </c>
      <c r="V79" s="64">
        <f>SUM(F$9:F79)+SUM(J$9:J79)</f>
        <v>670106687</v>
      </c>
      <c r="W79" s="64">
        <f>SUM(G$9:G79)+SUM(K$9:K79)</f>
        <v>445164478</v>
      </c>
      <c r="X79" s="64">
        <f>SUM(L$9:L79)+SUM(P$9:P79)</f>
        <v>225412994</v>
      </c>
      <c r="Y79" s="64">
        <f>SUM(M$9:M79)+SUM(Q$9:Q79)</f>
        <v>141240396</v>
      </c>
      <c r="Z79" s="64">
        <f>SUM(N$9:N79)+SUM(R$9:R79)</f>
        <v>141879776</v>
      </c>
      <c r="AA79" s="64">
        <f>SUM(O$9:O79)+SUM(S$9:S79)</f>
        <v>203018997</v>
      </c>
      <c r="AB79" s="64">
        <f t="shared" si="9"/>
        <v>4273970976</v>
      </c>
      <c r="AC79" s="118">
        <f t="shared" si="1"/>
        <v>72.274706996044884</v>
      </c>
      <c r="AD79" s="118">
        <f t="shared" si="2"/>
        <v>55.706674775509754</v>
      </c>
      <c r="AE79" s="56">
        <f t="shared" si="3"/>
        <v>0.29741556621898591</v>
      </c>
      <c r="AF79" s="147">
        <f t="shared" si="4"/>
        <v>49.180744257117766</v>
      </c>
      <c r="AG79" s="242">
        <f t="shared" si="8"/>
        <v>16.56803222053513</v>
      </c>
      <c r="AH79" s="240">
        <f t="shared" si="7"/>
        <v>20</v>
      </c>
      <c r="AI79" s="240">
        <v>3904.1000000000004</v>
      </c>
      <c r="AJ79" s="240"/>
      <c r="AK79" s="246"/>
      <c r="AL79" s="246" t="s">
        <v>115</v>
      </c>
      <c r="AM79" s="246" t="s">
        <v>116</v>
      </c>
      <c r="AN79" s="246" t="s">
        <v>117</v>
      </c>
      <c r="AO79" s="246" t="s">
        <v>118</v>
      </c>
      <c r="AP79" s="246" t="s">
        <v>119</v>
      </c>
      <c r="AQ79" s="240"/>
      <c r="AR79" s="233"/>
      <c r="AS79" s="233" t="s">
        <v>115</v>
      </c>
      <c r="AT79" s="233" t="s">
        <v>116</v>
      </c>
      <c r="AU79" s="233" t="s">
        <v>117</v>
      </c>
      <c r="AV79" s="233" t="s">
        <v>118</v>
      </c>
      <c r="AW79" s="233" t="s">
        <v>119</v>
      </c>
      <c r="AX79" s="159"/>
    </row>
    <row r="80" spans="2:50" ht="15.75">
      <c r="B80" s="111" t="s">
        <v>233</v>
      </c>
      <c r="C80" s="112">
        <v>285.8</v>
      </c>
      <c r="D80" s="110"/>
      <c r="E80" s="110"/>
      <c r="F80" s="110"/>
      <c r="G80" s="109">
        <v>13536133</v>
      </c>
      <c r="H80" s="110"/>
      <c r="I80" s="110"/>
      <c r="J80" s="110"/>
      <c r="K80" s="109">
        <v>1819674</v>
      </c>
      <c r="L80" s="110"/>
      <c r="M80" s="110"/>
      <c r="N80" s="110"/>
      <c r="O80" s="109">
        <v>1817791</v>
      </c>
      <c r="P80" s="110"/>
      <c r="Q80" s="110"/>
      <c r="R80" s="110"/>
      <c r="S80" s="109">
        <v>15486956</v>
      </c>
      <c r="T80" s="64">
        <f>SUM(D$9:D80)+SUM(H$9:H80)</f>
        <v>1469155291</v>
      </c>
      <c r="U80" s="64">
        <f>SUM(E$9:E80)+SUM(I$9:I80)</f>
        <v>977992357</v>
      </c>
      <c r="V80" s="64">
        <f>SUM(F$9:F80)+SUM(J$9:J80)</f>
        <v>670106687</v>
      </c>
      <c r="W80" s="64">
        <f>SUM(G$9:G80)+SUM(K$9:K80)</f>
        <v>460520285</v>
      </c>
      <c r="X80" s="64">
        <f>SUM(L$9:L80)+SUM(P$9:P80)</f>
        <v>225412994</v>
      </c>
      <c r="Y80" s="64">
        <f>SUM(M$9:M80)+SUM(Q$9:Q80)</f>
        <v>141240396</v>
      </c>
      <c r="Z80" s="64">
        <f>SUM(N$9:N80)+SUM(R$9:R80)</f>
        <v>141879776</v>
      </c>
      <c r="AA80" s="64">
        <f>SUM(O$9:O80)+SUM(S$9:S80)</f>
        <v>220323744</v>
      </c>
      <c r="AB80" s="64">
        <f t="shared" si="9"/>
        <v>4306631530</v>
      </c>
      <c r="AC80" s="118">
        <f t="shared" si="1"/>
        <v>66.362770534028016</v>
      </c>
      <c r="AD80" s="118">
        <f t="shared" si="2"/>
        <v>55.619813548803883</v>
      </c>
      <c r="AE80" s="56">
        <f t="shared" si="3"/>
        <v>0.1931498201768993</v>
      </c>
      <c r="AF80" s="147">
        <f t="shared" si="4"/>
        <v>49.088368149991233</v>
      </c>
      <c r="AG80" s="242">
        <f t="shared" si="8"/>
        <v>10.742956985224133</v>
      </c>
      <c r="AH80" s="240">
        <f t="shared" si="7"/>
        <v>21</v>
      </c>
      <c r="AI80" s="240">
        <v>3730.6</v>
      </c>
      <c r="AJ80" s="240"/>
      <c r="AK80" s="244" t="s">
        <v>120</v>
      </c>
      <c r="AL80" s="244">
        <v>2</v>
      </c>
      <c r="AM80" s="244">
        <v>70.896825106442975</v>
      </c>
      <c r="AN80" s="244">
        <v>35.448412553221488</v>
      </c>
      <c r="AO80" s="244">
        <v>3.2943836133107318</v>
      </c>
      <c r="AP80" s="244">
        <v>7.9602999782352635E-2</v>
      </c>
      <c r="AQ80" s="240"/>
      <c r="AR80" s="231" t="s">
        <v>120</v>
      </c>
      <c r="AS80" s="231">
        <v>2</v>
      </c>
      <c r="AT80" s="231">
        <v>696.2852140891473</v>
      </c>
      <c r="AU80" s="231">
        <v>348.14260704457365</v>
      </c>
      <c r="AV80" s="231">
        <v>25.846732902137326</v>
      </c>
      <c r="AW80" s="248">
        <v>3.7936399293183449E-6</v>
      </c>
      <c r="AX80" s="159"/>
    </row>
    <row r="81" spans="2:52">
      <c r="B81" s="111" t="s">
        <v>234</v>
      </c>
      <c r="C81" s="112">
        <v>292.3</v>
      </c>
      <c r="D81" s="110"/>
      <c r="E81" s="110"/>
      <c r="F81" s="110"/>
      <c r="G81" s="109">
        <v>11848959</v>
      </c>
      <c r="H81" s="110"/>
      <c r="I81" s="110"/>
      <c r="J81" s="110"/>
      <c r="K81" s="109">
        <v>1718277</v>
      </c>
      <c r="L81" s="110"/>
      <c r="M81" s="110"/>
      <c r="N81" s="110"/>
      <c r="O81" s="109">
        <v>1213544</v>
      </c>
      <c r="P81" s="110"/>
      <c r="Q81" s="110"/>
      <c r="R81" s="110"/>
      <c r="S81" s="109">
        <v>7680062</v>
      </c>
      <c r="T81" s="64">
        <f>SUM(D$9:D81)+SUM(H$9:H81)</f>
        <v>1469155291</v>
      </c>
      <c r="U81" s="64">
        <f>SUM(E$9:E81)+SUM(I$9:I81)</f>
        <v>977992357</v>
      </c>
      <c r="V81" s="64">
        <f>SUM(F$9:F81)+SUM(J$9:J81)</f>
        <v>670106687</v>
      </c>
      <c r="W81" s="64">
        <f>SUM(G$9:G81)+SUM(K$9:K81)</f>
        <v>474087521</v>
      </c>
      <c r="X81" s="64">
        <f>SUM(L$9:L81)+SUM(P$9:P81)</f>
        <v>225412994</v>
      </c>
      <c r="Y81" s="64">
        <f>SUM(M$9:M81)+SUM(Q$9:Q81)</f>
        <v>141240396</v>
      </c>
      <c r="Z81" s="64">
        <f>SUM(N$9:N81)+SUM(R$9:R81)</f>
        <v>141879776</v>
      </c>
      <c r="AA81" s="64">
        <f>SUM(O$9:O81)+SUM(S$9:S81)</f>
        <v>229217350</v>
      </c>
      <c r="AB81" s="64">
        <f t="shared" si="9"/>
        <v>4329092372</v>
      </c>
      <c r="AC81" s="118">
        <f t="shared" si="1"/>
        <v>67.519926784320418</v>
      </c>
      <c r="AD81" s="118">
        <f t="shared" si="2"/>
        <v>55.531666233986286</v>
      </c>
      <c r="AE81" s="56">
        <f t="shared" si="3"/>
        <v>0.21588152064122879</v>
      </c>
      <c r="AF81" s="147">
        <f t="shared" si="4"/>
        <v>49.025649477409672</v>
      </c>
      <c r="AG81" s="242">
        <f t="shared" si="8"/>
        <v>11.988260550334132</v>
      </c>
      <c r="AH81" s="240">
        <f t="shared" si="7"/>
        <v>22</v>
      </c>
      <c r="AI81" s="240">
        <v>3695</v>
      </c>
      <c r="AJ81" s="240"/>
      <c r="AK81" s="244" t="s">
        <v>121</v>
      </c>
      <c r="AL81" s="244">
        <v>10</v>
      </c>
      <c r="AM81" s="244">
        <v>107.6025645890011</v>
      </c>
      <c r="AN81" s="244">
        <v>10.760256458900111</v>
      </c>
      <c r="AO81" s="244"/>
      <c r="AP81" s="244"/>
      <c r="AQ81" s="240"/>
      <c r="AR81" s="231" t="s">
        <v>121</v>
      </c>
      <c r="AS81" s="231">
        <v>19</v>
      </c>
      <c r="AT81" s="231">
        <v>255.92052809505813</v>
      </c>
      <c r="AU81" s="231">
        <v>13.46950147868727</v>
      </c>
      <c r="AV81" s="231"/>
      <c r="AW81" s="231"/>
      <c r="AX81" s="159"/>
    </row>
    <row r="82" spans="2:52" ht="15.75" thickBot="1">
      <c r="AB82" s="64">
        <f>AB81/2821000</f>
        <v>1534.5949563984402</v>
      </c>
      <c r="AF82" s="147"/>
      <c r="AG82" s="240"/>
      <c r="AH82" s="240"/>
      <c r="AI82" s="240"/>
      <c r="AJ82" s="240"/>
      <c r="AK82" s="245" t="s">
        <v>10</v>
      </c>
      <c r="AL82" s="245">
        <v>12</v>
      </c>
      <c r="AM82" s="245">
        <v>178.49938969544408</v>
      </c>
      <c r="AN82" s="245"/>
      <c r="AO82" s="245"/>
      <c r="AP82" s="245"/>
      <c r="AQ82" s="240"/>
      <c r="AR82" s="232" t="s">
        <v>10</v>
      </c>
      <c r="AS82" s="232">
        <v>21</v>
      </c>
      <c r="AT82" s="232">
        <v>952.20574218420541</v>
      </c>
      <c r="AU82" s="232"/>
      <c r="AV82" s="232"/>
      <c r="AW82" s="232"/>
      <c r="AX82" s="159"/>
    </row>
    <row r="83" spans="2:52" ht="15.75" thickBot="1">
      <c r="AG83" s="240"/>
      <c r="AH83" s="240"/>
      <c r="AI83" s="240"/>
      <c r="AJ83" s="240"/>
      <c r="AK83" s="240"/>
      <c r="AL83" s="240"/>
      <c r="AM83" s="240"/>
      <c r="AN83" s="240"/>
      <c r="AO83" s="240"/>
      <c r="AP83" s="240"/>
      <c r="AQ83" s="240"/>
      <c r="AR83" s="159"/>
      <c r="AS83" s="159"/>
      <c r="AT83" s="159"/>
      <c r="AU83" s="159"/>
      <c r="AV83" s="159"/>
      <c r="AW83" s="159"/>
      <c r="AX83" s="159"/>
    </row>
    <row r="84" spans="2:52">
      <c r="AG84" s="240"/>
      <c r="AH84" s="240"/>
      <c r="AI84" s="240"/>
      <c r="AJ84" s="240"/>
      <c r="AK84" s="246"/>
      <c r="AL84" s="246" t="s">
        <v>122</v>
      </c>
      <c r="AM84" s="246" t="s">
        <v>112</v>
      </c>
      <c r="AN84" s="246" t="s">
        <v>123</v>
      </c>
      <c r="AO84" s="246" t="s">
        <v>124</v>
      </c>
      <c r="AP84" s="246" t="s">
        <v>125</v>
      </c>
      <c r="AQ84" s="246" t="s">
        <v>126</v>
      </c>
      <c r="AR84" s="233"/>
      <c r="AS84" s="233" t="s">
        <v>122</v>
      </c>
      <c r="AT84" s="233" t="s">
        <v>112</v>
      </c>
      <c r="AU84" s="233" t="s">
        <v>123</v>
      </c>
      <c r="AV84" s="233" t="s">
        <v>124</v>
      </c>
      <c r="AW84" s="233" t="s">
        <v>125</v>
      </c>
      <c r="AX84" s="233" t="s">
        <v>126</v>
      </c>
      <c r="AY84" s="136"/>
      <c r="AZ84" s="136"/>
    </row>
    <row r="85" spans="2:52">
      <c r="AG85" s="240"/>
      <c r="AH85" s="240"/>
      <c r="AI85" s="240"/>
      <c r="AJ85" s="240"/>
      <c r="AK85" s="244" t="s">
        <v>129</v>
      </c>
      <c r="AL85" s="244">
        <v>-4.6806140881959983</v>
      </c>
      <c r="AM85" s="244">
        <v>18.036072101798457</v>
      </c>
      <c r="AN85" s="244">
        <v>-0.25951404839024089</v>
      </c>
      <c r="AO85" s="244">
        <v>0.80050304545344209</v>
      </c>
      <c r="AP85" s="244">
        <v>-44.867487075438888</v>
      </c>
      <c r="AQ85" s="244">
        <v>35.506258899046884</v>
      </c>
      <c r="AR85" s="231" t="s">
        <v>129</v>
      </c>
      <c r="AS85" s="231">
        <v>0.88904690408460141</v>
      </c>
      <c r="AT85" s="231">
        <v>12.309509433785738</v>
      </c>
      <c r="AU85" s="231">
        <v>7.2224397638824406E-2</v>
      </c>
      <c r="AV85" s="231">
        <v>0.9431782046936934</v>
      </c>
      <c r="AW85" s="231">
        <v>-24.87505243879496</v>
      </c>
      <c r="AX85" s="231">
        <v>26.653146246964162</v>
      </c>
      <c r="AY85" s="134"/>
      <c r="AZ85" s="134"/>
    </row>
    <row r="86" spans="2:52" ht="39">
      <c r="B86" s="139" t="s">
        <v>50</v>
      </c>
      <c r="C86" s="143" t="s">
        <v>25</v>
      </c>
      <c r="D86" s="141" t="s">
        <v>25</v>
      </c>
      <c r="E86" s="145" t="s">
        <v>25</v>
      </c>
      <c r="F86" s="145" t="s">
        <v>25</v>
      </c>
      <c r="G86" s="145" t="s">
        <v>25</v>
      </c>
      <c r="H86" s="143" t="s">
        <v>25</v>
      </c>
      <c r="I86" s="141" t="s">
        <v>25</v>
      </c>
      <c r="J86" s="141" t="s">
        <v>25</v>
      </c>
      <c r="K86" s="143" t="s">
        <v>25</v>
      </c>
      <c r="T86" s="64" t="s">
        <v>317</v>
      </c>
      <c r="AC86" s="138"/>
      <c r="AD86" s="138"/>
      <c r="AE86" s="138"/>
      <c r="AF86" s="138"/>
      <c r="AG86" s="247"/>
      <c r="AH86" s="240"/>
      <c r="AI86" s="240"/>
      <c r="AJ86" s="240"/>
      <c r="AK86" s="244" t="s">
        <v>166</v>
      </c>
      <c r="AL86" s="244">
        <v>-0.45626378381857086</v>
      </c>
      <c r="AM86" s="244">
        <v>0.25393001462325149</v>
      </c>
      <c r="AN86" s="244">
        <v>-1.7968091897112519</v>
      </c>
      <c r="AO86" s="244">
        <v>0.10258392753979639</v>
      </c>
      <c r="AP86" s="244">
        <v>-1.0220551150860804</v>
      </c>
      <c r="AQ86" s="244">
        <v>0.10952754744893861</v>
      </c>
      <c r="AR86" s="248" t="s">
        <v>166</v>
      </c>
      <c r="AS86" s="249">
        <v>-0.71768915390547128</v>
      </c>
      <c r="AT86" s="231">
        <v>0.13699403955713341</v>
      </c>
      <c r="AU86" s="231">
        <v>-5.2388348881862035</v>
      </c>
      <c r="AV86" s="248">
        <v>4.676401577303708E-5</v>
      </c>
      <c r="AW86" s="231">
        <v>-1.004420974009115</v>
      </c>
      <c r="AX86" s="231">
        <v>-0.43095733380182755</v>
      </c>
      <c r="AY86" s="134"/>
      <c r="AZ86" s="134"/>
    </row>
    <row r="87" spans="2:52" ht="27" thickBot="1">
      <c r="B87" s="140" t="s">
        <v>51</v>
      </c>
      <c r="C87" s="144">
        <v>7.15</v>
      </c>
      <c r="D87" s="142">
        <v>668</v>
      </c>
      <c r="E87" s="146">
        <v>93.5</v>
      </c>
      <c r="F87" s="146">
        <v>40.1</v>
      </c>
      <c r="G87" s="146">
        <v>54.6</v>
      </c>
      <c r="H87" s="144">
        <v>16.2</v>
      </c>
      <c r="I87" s="142">
        <v>2266</v>
      </c>
      <c r="J87" s="142">
        <v>973</v>
      </c>
      <c r="K87" s="144">
        <v>1.32</v>
      </c>
      <c r="T87" s="148">
        <v>54.6</v>
      </c>
      <c r="AC87" s="138"/>
      <c r="AD87" s="138"/>
      <c r="AE87" s="138"/>
      <c r="AF87" s="138"/>
      <c r="AG87" s="247"/>
      <c r="AH87" s="240"/>
      <c r="AI87" s="240"/>
      <c r="AJ87" s="240"/>
      <c r="AK87" s="245" t="s">
        <v>315</v>
      </c>
      <c r="AL87" s="245">
        <v>3.9634506159313184E-3</v>
      </c>
      <c r="AM87" s="245">
        <v>3.2032473266970902E-3</v>
      </c>
      <c r="AN87" s="245">
        <v>1.2373226952843768</v>
      </c>
      <c r="AO87" s="245">
        <v>0.24423375085543975</v>
      </c>
      <c r="AP87" s="245">
        <v>-3.1738292052036383E-3</v>
      </c>
      <c r="AQ87" s="245">
        <v>1.1100730437066275E-2</v>
      </c>
      <c r="AR87" s="232" t="s">
        <v>475</v>
      </c>
      <c r="AS87" s="232">
        <v>6.0391997222227628E-3</v>
      </c>
      <c r="AT87" s="232">
        <v>2.8053589655017458E-3</v>
      </c>
      <c r="AU87" s="232">
        <v>2.1527368855424305</v>
      </c>
      <c r="AV87" s="232">
        <v>4.4401052103477501E-2</v>
      </c>
      <c r="AW87" s="232">
        <v>1.6751592617759731E-4</v>
      </c>
      <c r="AX87" s="232">
        <v>1.1910883518267929E-2</v>
      </c>
      <c r="AY87" s="135"/>
      <c r="AZ87" s="135"/>
    </row>
    <row r="88" spans="2:52" ht="26.25">
      <c r="B88" s="140" t="s">
        <v>52</v>
      </c>
      <c r="C88" s="144">
        <v>3.02</v>
      </c>
      <c r="D88" s="142">
        <v>291</v>
      </c>
      <c r="E88" s="146">
        <v>96.5</v>
      </c>
      <c r="F88" s="146">
        <v>39.700000000000003</v>
      </c>
      <c r="G88" s="146">
        <v>53.8</v>
      </c>
      <c r="H88" s="144">
        <v>7.32</v>
      </c>
      <c r="I88" s="142">
        <v>2422</v>
      </c>
      <c r="J88" s="142">
        <v>996</v>
      </c>
      <c r="K88" s="144">
        <v>1.35</v>
      </c>
      <c r="T88" s="148">
        <v>53.8</v>
      </c>
      <c r="AC88" s="138"/>
      <c r="AD88" s="138"/>
      <c r="AE88" s="138"/>
      <c r="AF88" s="138"/>
      <c r="AG88" s="247"/>
      <c r="AH88" s="240"/>
      <c r="AI88" s="240"/>
      <c r="AJ88" s="240"/>
      <c r="AK88" s="240"/>
      <c r="AL88" s="251">
        <f>+AL86/AVERAGE(AC60:AC81)</f>
        <v>-6.0766815062072224E-3</v>
      </c>
      <c r="AM88" s="242">
        <f>AL88*12</f>
        <v>-7.2920178074486669E-2</v>
      </c>
      <c r="AN88" s="240">
        <f>AM88*AG69</f>
        <v>-1.4000306896460766</v>
      </c>
      <c r="AO88" s="240"/>
      <c r="AP88" s="240"/>
      <c r="AQ88" s="240"/>
      <c r="AR88" s="159"/>
      <c r="AS88" s="159" t="s">
        <v>482</v>
      </c>
      <c r="AT88" s="159"/>
      <c r="AU88" s="159"/>
      <c r="AV88" s="250">
        <f>AS86/AVERAGE($AC$60:$AC$81)</f>
        <v>-9.5584365084673585E-3</v>
      </c>
      <c r="AW88" s="250">
        <f>AW86/AVERAGE($AC$60:$AC$81)</f>
        <v>-1.3377231710406483E-2</v>
      </c>
      <c r="AX88" s="250">
        <f>AX86/AVERAGE($AC$60:$AC$81)</f>
        <v>-5.7396413065282344E-3</v>
      </c>
    </row>
    <row r="89" spans="2:52" ht="26.25">
      <c r="B89" s="140" t="s">
        <v>53</v>
      </c>
      <c r="C89" s="144">
        <v>2.56</v>
      </c>
      <c r="D89" s="142">
        <v>231</v>
      </c>
      <c r="E89" s="146">
        <v>90.3</v>
      </c>
      <c r="F89" s="146">
        <v>37.4</v>
      </c>
      <c r="G89" s="146">
        <v>51.1</v>
      </c>
      <c r="H89" s="144">
        <v>5.93</v>
      </c>
      <c r="I89" s="142">
        <v>2315</v>
      </c>
      <c r="J89" s="142">
        <v>960</v>
      </c>
      <c r="K89" s="144">
        <v>1.31</v>
      </c>
      <c r="T89" s="148">
        <v>51.1</v>
      </c>
      <c r="AC89" s="138"/>
      <c r="AD89" s="138"/>
      <c r="AE89" s="138"/>
      <c r="AF89" s="138"/>
      <c r="AG89" s="247"/>
      <c r="AH89" s="240"/>
      <c r="AI89" s="240"/>
      <c r="AJ89" s="240"/>
      <c r="AK89" s="240"/>
      <c r="AL89" s="240"/>
      <c r="AM89" s="240"/>
      <c r="AN89" s="240"/>
      <c r="AO89" s="240"/>
      <c r="AP89" s="240"/>
      <c r="AQ89" s="240"/>
      <c r="AR89" s="159"/>
      <c r="AS89" s="159"/>
      <c r="AT89" s="159"/>
      <c r="AU89" s="159"/>
      <c r="AV89" s="159"/>
      <c r="AW89" s="159"/>
      <c r="AX89" s="159"/>
    </row>
    <row r="90" spans="2:52" ht="26.25">
      <c r="B90" s="140" t="s">
        <v>54</v>
      </c>
      <c r="C90" s="144">
        <v>2.62</v>
      </c>
      <c r="D90" s="142">
        <v>217</v>
      </c>
      <c r="E90" s="146">
        <v>83.1</v>
      </c>
      <c r="F90" s="146">
        <v>34.200000000000003</v>
      </c>
      <c r="G90" s="146">
        <v>48.5</v>
      </c>
      <c r="H90" s="144">
        <v>5.59</v>
      </c>
      <c r="I90" s="142">
        <v>2134</v>
      </c>
      <c r="J90" s="142">
        <v>878</v>
      </c>
      <c r="K90" s="144">
        <v>1.25</v>
      </c>
      <c r="T90" s="148">
        <v>48.5</v>
      </c>
      <c r="U90" s="64">
        <f>SUM(T88:T90)/3</f>
        <v>51.133333333333333</v>
      </c>
      <c r="AC90" s="138"/>
      <c r="AD90" s="138"/>
      <c r="AE90" s="138"/>
      <c r="AF90" s="138"/>
      <c r="AG90" s="247"/>
      <c r="AH90" s="240"/>
      <c r="AI90" s="240"/>
      <c r="AJ90" s="240"/>
      <c r="AK90" s="240"/>
      <c r="AL90" s="240"/>
      <c r="AM90" s="240"/>
      <c r="AN90" s="240"/>
      <c r="AO90" s="240"/>
      <c r="AP90" s="240"/>
      <c r="AQ90" s="240"/>
      <c r="AR90" s="159"/>
      <c r="AS90" s="159"/>
      <c r="AT90" s="159"/>
      <c r="AU90" s="159"/>
      <c r="AV90" s="159"/>
      <c r="AW90" s="159"/>
      <c r="AX90" s="159"/>
    </row>
    <row r="91" spans="2:52" ht="26.25">
      <c r="B91" s="140" t="s">
        <v>55</v>
      </c>
      <c r="C91" s="144">
        <v>2.2000000000000002</v>
      </c>
      <c r="D91" s="142">
        <v>176</v>
      </c>
      <c r="E91" s="146">
        <v>79.7</v>
      </c>
      <c r="F91" s="146">
        <v>33.6</v>
      </c>
      <c r="G91" s="146">
        <v>43.5</v>
      </c>
      <c r="H91" s="144">
        <v>4.79</v>
      </c>
      <c r="I91" s="142">
        <v>2174</v>
      </c>
      <c r="J91" s="142">
        <v>916</v>
      </c>
      <c r="K91" s="144">
        <v>1.19</v>
      </c>
      <c r="T91" s="148">
        <v>43.5</v>
      </c>
      <c r="AC91" s="138"/>
      <c r="AD91" s="138"/>
      <c r="AE91" s="138"/>
      <c r="AF91" s="138"/>
      <c r="AG91" s="247"/>
      <c r="AH91" s="240"/>
      <c r="AI91" s="240"/>
      <c r="AJ91" s="240"/>
      <c r="AK91" s="240" t="s">
        <v>131</v>
      </c>
      <c r="AL91" s="240"/>
      <c r="AM91" s="240"/>
      <c r="AN91" s="240"/>
      <c r="AO91" s="240"/>
      <c r="AP91" s="240"/>
      <c r="AQ91" s="240"/>
      <c r="AR91" s="159" t="s">
        <v>131</v>
      </c>
      <c r="AS91" s="159"/>
      <c r="AT91" s="159"/>
      <c r="AU91" s="159"/>
      <c r="AV91" s="159"/>
      <c r="AW91" s="159"/>
      <c r="AX91" s="159"/>
    </row>
    <row r="92" spans="2:52" ht="27" thickBot="1">
      <c r="B92" s="140" t="s">
        <v>56</v>
      </c>
      <c r="C92" s="144">
        <v>1.8</v>
      </c>
      <c r="D92" s="142">
        <v>160</v>
      </c>
      <c r="E92" s="146">
        <v>88.8</v>
      </c>
      <c r="F92" s="146">
        <v>32.799999999999997</v>
      </c>
      <c r="G92" s="146">
        <v>42.2</v>
      </c>
      <c r="H92" s="144">
        <v>4.07</v>
      </c>
      <c r="I92" s="142">
        <v>2262</v>
      </c>
      <c r="J92" s="142">
        <v>836</v>
      </c>
      <c r="K92" s="144">
        <v>1.07</v>
      </c>
      <c r="T92" s="148">
        <v>42.2</v>
      </c>
      <c r="U92" s="64">
        <f>SUM(T91:T92)/2</f>
        <v>42.85</v>
      </c>
      <c r="AC92" s="138"/>
      <c r="AD92" s="138"/>
      <c r="AE92" s="138"/>
      <c r="AF92" s="138"/>
      <c r="AG92" s="247"/>
      <c r="AH92" s="240"/>
      <c r="AI92" s="240"/>
      <c r="AJ92" s="240"/>
      <c r="AK92" s="240"/>
      <c r="AL92" s="240"/>
      <c r="AM92" s="240"/>
      <c r="AN92" s="240"/>
      <c r="AO92" s="240"/>
      <c r="AP92" s="240"/>
      <c r="AQ92" s="240"/>
      <c r="AR92" s="159"/>
      <c r="AS92" s="159"/>
      <c r="AT92" s="159"/>
      <c r="AU92" s="159"/>
      <c r="AV92" s="159"/>
      <c r="AW92" s="159"/>
      <c r="AX92" s="159"/>
    </row>
    <row r="93" spans="2:52" ht="26.25">
      <c r="B93" s="140" t="s">
        <v>57</v>
      </c>
      <c r="C93" s="144">
        <v>1.58</v>
      </c>
      <c r="D93" s="142">
        <v>145</v>
      </c>
      <c r="E93" s="146">
        <v>91.8</v>
      </c>
      <c r="F93" s="146">
        <v>34.700000000000003</v>
      </c>
      <c r="G93" s="146">
        <v>40.299999999999997</v>
      </c>
      <c r="H93" s="144">
        <v>3.76</v>
      </c>
      <c r="I93" s="142">
        <v>2385</v>
      </c>
      <c r="J93" s="142">
        <v>901</v>
      </c>
      <c r="K93" s="144">
        <v>1.05</v>
      </c>
      <c r="T93" s="148">
        <v>40.299999999999997</v>
      </c>
      <c r="U93" s="64">
        <f>SUM(T93,T95)/2</f>
        <v>37</v>
      </c>
      <c r="AC93" s="138"/>
      <c r="AD93" s="138"/>
      <c r="AE93" s="138"/>
      <c r="AF93" s="138"/>
      <c r="AG93" s="247"/>
      <c r="AH93" s="240"/>
      <c r="AI93" s="240"/>
      <c r="AJ93" s="240"/>
      <c r="AK93" s="246" t="s">
        <v>132</v>
      </c>
      <c r="AL93" s="246" t="s">
        <v>473</v>
      </c>
      <c r="AM93" s="246" t="s">
        <v>134</v>
      </c>
      <c r="AN93" s="240"/>
      <c r="AO93" s="240"/>
      <c r="AP93" s="240"/>
      <c r="AQ93" s="240"/>
      <c r="AR93" s="233" t="s">
        <v>132</v>
      </c>
      <c r="AS93" s="233" t="s">
        <v>478</v>
      </c>
      <c r="AT93" s="233" t="s">
        <v>134</v>
      </c>
      <c r="AU93" s="159"/>
      <c r="AV93" s="159"/>
      <c r="AW93" s="159"/>
      <c r="AX93" s="159"/>
    </row>
    <row r="94" spans="2:52" ht="26.25">
      <c r="B94" s="140" t="s">
        <v>58</v>
      </c>
      <c r="C94" s="144">
        <v>0.56000000000000005</v>
      </c>
      <c r="D94" s="142">
        <v>36</v>
      </c>
      <c r="E94" s="146">
        <v>64.599999999999994</v>
      </c>
      <c r="F94" s="146">
        <v>27</v>
      </c>
      <c r="G94" s="146">
        <v>34.5</v>
      </c>
      <c r="H94" s="144">
        <v>1.07</v>
      </c>
      <c r="I94" s="142">
        <v>1893</v>
      </c>
      <c r="J94" s="142">
        <v>793</v>
      </c>
      <c r="K94" s="144">
        <v>1.01</v>
      </c>
      <c r="T94" s="148">
        <v>34.5</v>
      </c>
      <c r="AC94" s="138"/>
      <c r="AD94" s="138"/>
      <c r="AE94" s="138"/>
      <c r="AF94" s="138"/>
      <c r="AG94" s="247"/>
      <c r="AH94" s="240"/>
      <c r="AI94" s="240"/>
      <c r="AJ94" s="240"/>
      <c r="AK94" s="244">
        <v>1</v>
      </c>
      <c r="AL94" s="244">
        <v>17.977173429973693</v>
      </c>
      <c r="AM94" s="244">
        <v>0.45998720158035056</v>
      </c>
      <c r="AN94" s="240"/>
      <c r="AO94" s="240"/>
      <c r="AP94" s="240"/>
      <c r="AQ94" s="240"/>
      <c r="AR94" s="231">
        <v>1</v>
      </c>
      <c r="AS94" s="231">
        <v>26.905083160542635</v>
      </c>
      <c r="AT94" s="231">
        <v>1.1283136693091542</v>
      </c>
      <c r="AU94" s="159"/>
      <c r="AV94" s="159"/>
      <c r="AW94" s="159"/>
      <c r="AX94" s="159"/>
    </row>
    <row r="95" spans="2:52" ht="26.25">
      <c r="B95" s="140" t="s">
        <v>59</v>
      </c>
      <c r="C95" s="144">
        <v>0.43</v>
      </c>
      <c r="D95" s="142">
        <v>31</v>
      </c>
      <c r="E95" s="146">
        <v>71.7</v>
      </c>
      <c r="F95" s="146">
        <v>28.9</v>
      </c>
      <c r="G95" s="146">
        <v>33.700000000000003</v>
      </c>
      <c r="H95" s="144">
        <v>0.88</v>
      </c>
      <c r="I95" s="142">
        <v>2049</v>
      </c>
      <c r="J95" s="142">
        <v>825</v>
      </c>
      <c r="K95" s="144">
        <v>0.96</v>
      </c>
      <c r="T95" s="148">
        <v>33.700000000000003</v>
      </c>
      <c r="AC95" s="138"/>
      <c r="AD95" s="138"/>
      <c r="AE95" s="138"/>
      <c r="AF95" s="138"/>
      <c r="AG95" s="247"/>
      <c r="AH95" s="240"/>
      <c r="AI95" s="240"/>
      <c r="AJ95" s="240"/>
      <c r="AK95" s="244">
        <v>2</v>
      </c>
      <c r="AL95" s="244">
        <v>15.24549264754895</v>
      </c>
      <c r="AM95" s="244">
        <v>3.2968144026347943</v>
      </c>
      <c r="AN95" s="240"/>
      <c r="AO95" s="240"/>
      <c r="AP95" s="240"/>
      <c r="AQ95" s="240"/>
      <c r="AR95" s="231">
        <v>2</v>
      </c>
      <c r="AS95" s="231">
        <v>23.576647966720259</v>
      </c>
      <c r="AT95" s="231">
        <v>4.1029127453967789</v>
      </c>
      <c r="AU95" s="159"/>
      <c r="AV95" s="159"/>
      <c r="AW95" s="159"/>
      <c r="AX95" s="159"/>
    </row>
    <row r="96" spans="2:52">
      <c r="AG96" s="240"/>
      <c r="AH96" s="240"/>
      <c r="AI96" s="240"/>
      <c r="AJ96" s="240"/>
      <c r="AK96" s="244">
        <v>3</v>
      </c>
      <c r="AL96" s="244">
        <v>14.828863369889699</v>
      </c>
      <c r="AM96" s="244">
        <v>3.0170358018426207</v>
      </c>
      <c r="AN96" s="240"/>
      <c r="AO96" s="240"/>
      <c r="AP96" s="240"/>
      <c r="AQ96" s="240"/>
      <c r="AR96" s="231">
        <v>3</v>
      </c>
      <c r="AS96" s="231">
        <v>22.993632966620357</v>
      </c>
      <c r="AT96" s="231">
        <v>4.4052185989856447</v>
      </c>
      <c r="AU96" s="159"/>
      <c r="AV96" s="159"/>
      <c r="AW96" s="159"/>
      <c r="AX96" s="159"/>
    </row>
    <row r="97" spans="33:50">
      <c r="AG97" s="240"/>
      <c r="AH97" s="240"/>
      <c r="AI97" s="240"/>
      <c r="AJ97" s="240"/>
      <c r="AK97" s="244">
        <v>4</v>
      </c>
      <c r="AL97" s="244">
        <v>13.147893345748344</v>
      </c>
      <c r="AM97" s="244">
        <v>-3.279065828483013</v>
      </c>
      <c r="AN97" s="240"/>
      <c r="AO97" s="240"/>
      <c r="AP97" s="240"/>
      <c r="AQ97" s="240"/>
      <c r="AR97" s="231">
        <v>4</v>
      </c>
      <c r="AS97" s="231">
        <v>26.491909138798597</v>
      </c>
      <c r="AT97" s="231">
        <v>4.1659561103121803</v>
      </c>
      <c r="AU97" s="159"/>
      <c r="AV97" s="159"/>
      <c r="AW97" s="159"/>
      <c r="AX97" s="159"/>
    </row>
    <row r="98" spans="33:50">
      <c r="AG98" s="240"/>
      <c r="AH98" s="240"/>
      <c r="AI98" s="240"/>
      <c r="AJ98" s="240"/>
      <c r="AK98" s="244">
        <v>5</v>
      </c>
      <c r="AL98" s="244">
        <v>15.724065628178831</v>
      </c>
      <c r="AM98" s="244">
        <v>-3.249392336214779</v>
      </c>
      <c r="AN98" s="240"/>
      <c r="AO98" s="240"/>
      <c r="AP98" s="240"/>
      <c r="AQ98" s="240"/>
      <c r="AR98" s="231">
        <v>5</v>
      </c>
      <c r="AS98" s="231">
        <v>24.240263255448546</v>
      </c>
      <c r="AT98" s="231">
        <v>-0.2058444966321531</v>
      </c>
      <c r="AU98" s="159"/>
      <c r="AV98" s="159"/>
      <c r="AW98" s="159"/>
      <c r="AX98" s="159"/>
    </row>
    <row r="99" spans="33:50">
      <c r="AG99" s="240"/>
      <c r="AH99" s="240"/>
      <c r="AI99" s="240"/>
      <c r="AJ99" s="240"/>
      <c r="AK99" s="244">
        <v>6</v>
      </c>
      <c r="AL99" s="244">
        <v>15.885307450322358</v>
      </c>
      <c r="AM99" s="244">
        <v>0.77908287314847513</v>
      </c>
      <c r="AN99" s="240"/>
      <c r="AO99" s="240"/>
      <c r="AP99" s="240"/>
      <c r="AQ99" s="240"/>
      <c r="AR99" s="231">
        <v>6</v>
      </c>
      <c r="AS99" s="231">
        <v>23.840839926904216</v>
      </c>
      <c r="AT99" s="231">
        <v>-2.154777838064085</v>
      </c>
      <c r="AU99" s="159"/>
      <c r="AV99" s="159"/>
      <c r="AW99" s="159"/>
      <c r="AX99" s="159"/>
    </row>
    <row r="100" spans="33:50">
      <c r="AG100" s="240"/>
      <c r="AH100" s="240"/>
      <c r="AI100" s="240"/>
      <c r="AJ100" s="240"/>
      <c r="AK100" s="244">
        <v>7</v>
      </c>
      <c r="AL100" s="244">
        <v>15.206694086950037</v>
      </c>
      <c r="AM100" s="244">
        <v>0.80782969226790868</v>
      </c>
      <c r="AN100" s="240"/>
      <c r="AO100" s="240"/>
      <c r="AP100" s="240"/>
      <c r="AQ100" s="240"/>
      <c r="AR100" s="231">
        <v>7</v>
      </c>
      <c r="AS100" s="231">
        <v>18.161948201192743</v>
      </c>
      <c r="AT100" s="231">
        <v>-6.2617100048153702</v>
      </c>
      <c r="AU100" s="159"/>
      <c r="AV100" s="159"/>
      <c r="AW100" s="159"/>
      <c r="AX100" s="159"/>
    </row>
    <row r="101" spans="33:50">
      <c r="AG101" s="240"/>
      <c r="AH101" s="240"/>
      <c r="AI101" s="240"/>
      <c r="AJ101" s="240"/>
      <c r="AK101" s="244">
        <v>8</v>
      </c>
      <c r="AL101" s="244">
        <v>12.942700477205193</v>
      </c>
      <c r="AM101" s="244">
        <v>-5.9062609190088651</v>
      </c>
      <c r="AN101" s="240"/>
      <c r="AO101" s="240"/>
      <c r="AP101" s="240"/>
      <c r="AQ101" s="240"/>
      <c r="AR101" s="231">
        <v>8</v>
      </c>
      <c r="AS101" s="231">
        <v>21.576279497232086</v>
      </c>
      <c r="AT101" s="231">
        <v>-6.2857336268223349</v>
      </c>
      <c r="AU101" s="159"/>
      <c r="AV101" s="159"/>
      <c r="AW101" s="159"/>
      <c r="AX101" s="159"/>
    </row>
    <row r="102" spans="33:50">
      <c r="AG102" s="240"/>
      <c r="AH102" s="240"/>
      <c r="AI102" s="240"/>
      <c r="AJ102" s="240"/>
      <c r="AK102" s="244">
        <v>9</v>
      </c>
      <c r="AL102" s="244">
        <v>12.999307203088136</v>
      </c>
      <c r="AM102" s="244">
        <v>-2.6090779700688174</v>
      </c>
      <c r="AN102" s="240"/>
      <c r="AO102" s="240"/>
      <c r="AP102" s="240"/>
      <c r="AQ102" s="240"/>
      <c r="AR102" s="231">
        <v>9</v>
      </c>
      <c r="AS102" s="231">
        <v>19.2207593786598</v>
      </c>
      <c r="AT102" s="231">
        <v>-0.32395047131320354</v>
      </c>
      <c r="AU102" s="159"/>
      <c r="AV102" s="159"/>
      <c r="AW102" s="159"/>
      <c r="AX102" s="159"/>
    </row>
    <row r="103" spans="33:50">
      <c r="AG103" s="240"/>
      <c r="AH103" s="240"/>
      <c r="AI103" s="240"/>
      <c r="AJ103" s="240"/>
      <c r="AK103" s="244">
        <v>10</v>
      </c>
      <c r="AL103" s="244">
        <v>12.770941829685615</v>
      </c>
      <c r="AM103" s="244">
        <v>2.0200415364248805</v>
      </c>
      <c r="AN103" s="240"/>
      <c r="AO103" s="240"/>
      <c r="AP103" s="240"/>
      <c r="AQ103" s="240"/>
      <c r="AR103" s="231">
        <v>10</v>
      </c>
      <c r="AS103" s="231">
        <v>19.57442425547665</v>
      </c>
      <c r="AT103" s="231">
        <v>-1.1372636239226068</v>
      </c>
      <c r="AU103" s="159"/>
      <c r="AV103" s="159"/>
      <c r="AW103" s="159"/>
      <c r="AX103" s="159"/>
    </row>
    <row r="104" spans="33:50">
      <c r="AG104" s="240"/>
      <c r="AH104" s="240"/>
      <c r="AI104" s="240"/>
      <c r="AJ104" s="240"/>
      <c r="AK104" s="244">
        <v>11</v>
      </c>
      <c r="AL104" s="244">
        <v>11.414974756050633</v>
      </c>
      <c r="AM104" s="244">
        <v>4.0073292212424434</v>
      </c>
      <c r="AN104" s="240"/>
      <c r="AO104" s="240"/>
      <c r="AP104" s="240"/>
      <c r="AQ104" s="240"/>
      <c r="AR104" s="231">
        <v>11</v>
      </c>
      <c r="AS104" s="231">
        <v>16.305777138904286</v>
      </c>
      <c r="AT104" s="231">
        <v>2.2365299112794581</v>
      </c>
      <c r="AU104" s="159"/>
      <c r="AV104" s="159"/>
      <c r="AW104" s="159"/>
      <c r="AX104" s="159"/>
    </row>
    <row r="105" spans="33:50">
      <c r="AG105" s="240"/>
      <c r="AH105" s="240"/>
      <c r="AI105" s="240"/>
      <c r="AJ105" s="240"/>
      <c r="AK105" s="244">
        <v>12</v>
      </c>
      <c r="AL105" s="244">
        <v>10.422852448958153</v>
      </c>
      <c r="AM105" s="244">
        <v>-0.85615656239365023</v>
      </c>
      <c r="AN105" s="240"/>
      <c r="AO105" s="240"/>
      <c r="AP105" s="240"/>
      <c r="AQ105" s="240"/>
      <c r="AR105" s="231">
        <v>12</v>
      </c>
      <c r="AS105" s="231">
        <v>15.529507747693252</v>
      </c>
      <c r="AT105" s="231">
        <v>2.3163914240390682</v>
      </c>
      <c r="AU105" s="159"/>
      <c r="AV105" s="159"/>
      <c r="AW105" s="159"/>
      <c r="AX105" s="159"/>
    </row>
    <row r="106" spans="33:50" ht="15.75" thickBot="1">
      <c r="AG106" s="240"/>
      <c r="AH106" s="240"/>
      <c r="AI106" s="240"/>
      <c r="AJ106" s="240"/>
      <c r="AK106" s="245">
        <v>13</v>
      </c>
      <c r="AL106" s="245">
        <v>9.2717957721668185</v>
      </c>
      <c r="AM106" s="245">
        <v>1.5118328870278006</v>
      </c>
      <c r="AN106" s="240"/>
      <c r="AO106" s="240"/>
      <c r="AP106" s="240"/>
      <c r="AQ106" s="240"/>
      <c r="AR106" s="231">
        <v>13</v>
      </c>
      <c r="AS106" s="231">
        <v>12.800765086287601</v>
      </c>
      <c r="AT106" s="231">
        <v>-2.9319375690222707</v>
      </c>
      <c r="AU106" s="159"/>
      <c r="AV106" s="159"/>
      <c r="AW106" s="159"/>
      <c r="AX106" s="159"/>
    </row>
    <row r="107" spans="33:50">
      <c r="AG107" s="240"/>
      <c r="AH107" s="240"/>
      <c r="AI107" s="240"/>
      <c r="AJ107" s="240"/>
      <c r="AK107" s="240"/>
      <c r="AL107" s="240"/>
      <c r="AM107" s="240"/>
      <c r="AN107" s="240"/>
      <c r="AO107" s="240"/>
      <c r="AP107" s="240"/>
      <c r="AQ107" s="240"/>
      <c r="AR107" s="231">
        <v>14</v>
      </c>
      <c r="AS107" s="231">
        <v>16.535173967604749</v>
      </c>
      <c r="AT107" s="231">
        <v>-4.0605006756406965</v>
      </c>
      <c r="AU107" s="159"/>
      <c r="AV107" s="159"/>
      <c r="AW107" s="159"/>
      <c r="AX107" s="159"/>
    </row>
    <row r="108" spans="33:50">
      <c r="AR108" s="231">
        <v>15</v>
      </c>
      <c r="AS108" s="231">
        <v>16.681694293949356</v>
      </c>
      <c r="AT108" s="231">
        <v>-1.7303970478522501E-2</v>
      </c>
      <c r="AU108" s="159"/>
      <c r="AV108" s="159"/>
      <c r="AW108" s="159"/>
      <c r="AX108" s="159"/>
    </row>
    <row r="109" spans="33:50">
      <c r="AR109" s="231">
        <v>16</v>
      </c>
      <c r="AS109" s="231">
        <v>15.957362020349432</v>
      </c>
      <c r="AT109" s="231">
        <v>5.7161758868513601E-2</v>
      </c>
      <c r="AU109" s="159"/>
      <c r="AV109" s="159"/>
      <c r="AW109" s="159"/>
      <c r="AX109" s="159"/>
    </row>
    <row r="110" spans="33:50">
      <c r="AR110" s="231">
        <v>17</v>
      </c>
      <c r="AS110" s="231">
        <v>12.380715717943712</v>
      </c>
      <c r="AT110" s="231">
        <v>-5.344276159747384</v>
      </c>
      <c r="AU110" s="159"/>
      <c r="AV110" s="159"/>
      <c r="AW110" s="159"/>
      <c r="AX110" s="159"/>
    </row>
    <row r="111" spans="33:50">
      <c r="AR111" s="231">
        <v>18</v>
      </c>
      <c r="AS111" s="231">
        <v>12.541730123621655</v>
      </c>
      <c r="AT111" s="231">
        <v>-2.1515008906023354</v>
      </c>
      <c r="AU111" s="159"/>
      <c r="AV111" s="159"/>
      <c r="AW111" s="159"/>
      <c r="AX111" s="159"/>
    </row>
    <row r="112" spans="33:50">
      <c r="AR112" s="231">
        <v>19</v>
      </c>
      <c r="AS112" s="231">
        <v>12.226251671216215</v>
      </c>
      <c r="AT112" s="231">
        <v>2.5647316948942809</v>
      </c>
      <c r="AU112" s="159"/>
      <c r="AV112" s="159"/>
      <c r="AW112" s="159"/>
      <c r="AX112" s="159"/>
    </row>
    <row r="113" spans="44:50">
      <c r="AR113" s="231">
        <v>20</v>
      </c>
      <c r="AS113" s="231">
        <v>10.112903461505066</v>
      </c>
      <c r="AT113" s="231">
        <v>5.3094005157880098</v>
      </c>
      <c r="AU113" s="159"/>
      <c r="AV113" s="159"/>
      <c r="AW113" s="159"/>
      <c r="AX113" s="159"/>
    </row>
    <row r="114" spans="44:50">
      <c r="AR114" s="231">
        <v>21</v>
      </c>
      <c r="AS114" s="231">
        <v>8.3474131557939426</v>
      </c>
      <c r="AT114" s="231">
        <v>1.2192827307705603</v>
      </c>
      <c r="AU114" s="159"/>
      <c r="AV114" s="159"/>
      <c r="AW114" s="159"/>
      <c r="AX114" s="159"/>
    </row>
    <row r="115" spans="44:50" ht="15.75" thickBot="1">
      <c r="AR115" s="232">
        <v>22</v>
      </c>
      <c r="AS115" s="232">
        <v>7.4147284917773408</v>
      </c>
      <c r="AT115" s="232">
        <v>3.3689001674172783</v>
      </c>
      <c r="AU115" s="159"/>
      <c r="AV115" s="159"/>
      <c r="AW115" s="159"/>
      <c r="AX115" s="159"/>
    </row>
    <row r="116" spans="44:50">
      <c r="AR116" s="159"/>
      <c r="AS116" s="159"/>
      <c r="AT116" s="159"/>
      <c r="AU116" s="159"/>
      <c r="AV116" s="159"/>
      <c r="AW116" s="159"/>
      <c r="AX116" s="159"/>
    </row>
  </sheetData>
  <mergeCells count="5">
    <mergeCell ref="T7:W7"/>
    <mergeCell ref="X7:AA7"/>
    <mergeCell ref="T6:AB6"/>
    <mergeCell ref="T2:AB2"/>
    <mergeCell ref="T4:AB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75F6B-440A-4379-87A4-B459665D6B36}">
  <dimension ref="A1:I288"/>
  <sheetViews>
    <sheetView workbookViewId="0">
      <selection sqref="A1:XFD1"/>
    </sheetView>
  </sheetViews>
  <sheetFormatPr defaultRowHeight="15"/>
  <cols>
    <col min="1" max="1" width="23.28515625" customWidth="1"/>
  </cols>
  <sheetData>
    <row r="1" spans="1:9">
      <c r="A1" s="6" t="s">
        <v>190</v>
      </c>
      <c r="B1" s="6" t="s">
        <v>191</v>
      </c>
      <c r="C1" s="6"/>
      <c r="D1" s="6"/>
      <c r="E1" s="6"/>
      <c r="F1" s="6"/>
      <c r="G1" s="6"/>
      <c r="H1" s="6"/>
    </row>
    <row r="2" spans="1:9">
      <c r="A2" s="6" t="s">
        <v>192</v>
      </c>
      <c r="B2" s="6" t="s">
        <v>193</v>
      </c>
      <c r="C2" s="6"/>
      <c r="D2" s="6"/>
      <c r="E2" s="6"/>
      <c r="F2" s="6"/>
      <c r="G2" s="6"/>
      <c r="H2" s="6"/>
    </row>
    <row r="3" spans="1:9">
      <c r="A3" s="6" t="s">
        <v>194</v>
      </c>
      <c r="B3" s="6" t="s">
        <v>195</v>
      </c>
      <c r="C3" s="6"/>
      <c r="D3" s="6"/>
      <c r="E3" s="6"/>
      <c r="F3" s="6"/>
      <c r="G3" s="6"/>
      <c r="H3" s="6"/>
    </row>
    <row r="4" spans="1:9">
      <c r="A4" s="6" t="s">
        <v>196</v>
      </c>
      <c r="B4" s="6" t="s">
        <v>197</v>
      </c>
      <c r="C4" s="6"/>
      <c r="D4" s="6"/>
      <c r="E4" s="6"/>
      <c r="F4" s="6"/>
      <c r="G4" s="6"/>
      <c r="H4" s="6"/>
    </row>
    <row r="5" spans="1:9">
      <c r="A5" s="6" t="s">
        <v>198</v>
      </c>
      <c r="B5" s="6" t="s">
        <v>199</v>
      </c>
      <c r="C5" s="6"/>
      <c r="D5" s="6"/>
      <c r="E5" s="6"/>
      <c r="F5" s="6"/>
      <c r="G5" s="6"/>
      <c r="H5" s="6"/>
    </row>
    <row r="6" spans="1:9">
      <c r="A6" s="6"/>
      <c r="B6" s="6" t="s">
        <v>200</v>
      </c>
      <c r="C6" s="6"/>
      <c r="D6" s="6"/>
      <c r="E6" s="6"/>
      <c r="F6" s="6"/>
      <c r="G6" s="6"/>
      <c r="H6" s="6"/>
      <c r="I6" s="61" t="s">
        <v>201</v>
      </c>
    </row>
    <row r="7" spans="1:9">
      <c r="A7" s="6" t="s">
        <v>202</v>
      </c>
      <c r="B7" s="6" t="s">
        <v>203</v>
      </c>
      <c r="C7" s="6" t="s">
        <v>204</v>
      </c>
      <c r="D7" s="6" t="s">
        <v>205</v>
      </c>
      <c r="E7" s="6" t="s">
        <v>206</v>
      </c>
      <c r="F7" s="6" t="s">
        <v>207</v>
      </c>
      <c r="G7" s="6" t="s">
        <v>208</v>
      </c>
      <c r="H7" s="6" t="s">
        <v>209</v>
      </c>
      <c r="I7" t="s">
        <v>210</v>
      </c>
    </row>
    <row r="8" spans="1:9">
      <c r="A8" s="7">
        <v>36526</v>
      </c>
      <c r="B8" s="6">
        <v>982.5</v>
      </c>
      <c r="C8" s="6">
        <v>1012.9</v>
      </c>
      <c r="D8" s="6">
        <v>1043.5</v>
      </c>
      <c r="E8" s="6">
        <v>1074.2</v>
      </c>
      <c r="F8" s="6">
        <v>1105.0999999999999</v>
      </c>
      <c r="G8" s="6">
        <v>1136</v>
      </c>
      <c r="H8" s="6">
        <v>1167</v>
      </c>
      <c r="I8">
        <v>1404.45</v>
      </c>
    </row>
    <row r="9" spans="1:9">
      <c r="A9" s="7">
        <v>36557</v>
      </c>
      <c r="B9" s="6">
        <v>721.6</v>
      </c>
      <c r="C9" s="6">
        <v>750.5</v>
      </c>
      <c r="D9" s="6">
        <v>779.5</v>
      </c>
      <c r="E9" s="6">
        <v>808.5</v>
      </c>
      <c r="F9" s="6">
        <v>837.5</v>
      </c>
      <c r="G9" s="6">
        <v>866.5</v>
      </c>
      <c r="H9" s="6">
        <v>895.5</v>
      </c>
      <c r="I9">
        <v>1113.2</v>
      </c>
    </row>
    <row r="10" spans="1:9">
      <c r="A10" s="7">
        <v>36586</v>
      </c>
      <c r="B10" s="6">
        <v>508.1</v>
      </c>
      <c r="C10" s="6">
        <v>537.9</v>
      </c>
      <c r="D10" s="6">
        <v>568</v>
      </c>
      <c r="E10" s="6">
        <v>598.20000000000005</v>
      </c>
      <c r="F10" s="6">
        <v>628.6</v>
      </c>
      <c r="G10" s="6">
        <v>659.1</v>
      </c>
      <c r="H10" s="6">
        <v>689.6</v>
      </c>
      <c r="I10">
        <v>896.55</v>
      </c>
    </row>
    <row r="11" spans="1:9">
      <c r="A11" s="7">
        <v>36617</v>
      </c>
      <c r="B11" s="6">
        <v>373</v>
      </c>
      <c r="C11" s="6">
        <v>400.3</v>
      </c>
      <c r="D11" s="6">
        <v>428.2</v>
      </c>
      <c r="E11" s="6">
        <v>456.6</v>
      </c>
      <c r="F11" s="6">
        <v>485.3</v>
      </c>
      <c r="G11" s="6">
        <v>514.1</v>
      </c>
      <c r="H11" s="6">
        <v>543.1</v>
      </c>
      <c r="I11">
        <v>728.55</v>
      </c>
    </row>
    <row r="12" spans="1:9">
      <c r="A12" s="7">
        <v>36647</v>
      </c>
      <c r="B12" s="6">
        <v>150.6</v>
      </c>
      <c r="C12" s="6">
        <v>172.6</v>
      </c>
      <c r="D12" s="6">
        <v>195.8</v>
      </c>
      <c r="E12" s="6">
        <v>219.7</v>
      </c>
      <c r="F12" s="6">
        <v>244.7</v>
      </c>
      <c r="G12" s="6">
        <v>270.39999999999998</v>
      </c>
      <c r="H12" s="6">
        <v>297</v>
      </c>
      <c r="I12">
        <v>468.95000000000005</v>
      </c>
    </row>
    <row r="13" spans="1:9">
      <c r="A13" s="7">
        <v>36678</v>
      </c>
      <c r="B13" s="6">
        <v>35.6</v>
      </c>
      <c r="C13" s="6">
        <v>43.7</v>
      </c>
      <c r="D13" s="6">
        <v>52.4</v>
      </c>
      <c r="E13" s="6">
        <v>61.5</v>
      </c>
      <c r="F13" s="6">
        <v>71.3</v>
      </c>
      <c r="G13" s="6">
        <v>81.7</v>
      </c>
      <c r="H13" s="6">
        <v>93.7</v>
      </c>
      <c r="I13">
        <v>212.05</v>
      </c>
    </row>
    <row r="14" spans="1:9">
      <c r="A14" s="7">
        <v>36708</v>
      </c>
      <c r="B14" s="6">
        <v>0.5</v>
      </c>
      <c r="C14" s="6">
        <v>1</v>
      </c>
      <c r="D14" s="6">
        <v>2</v>
      </c>
      <c r="E14" s="6">
        <v>3.3</v>
      </c>
      <c r="F14" s="6">
        <v>6.4</v>
      </c>
      <c r="G14" s="6">
        <v>10.6</v>
      </c>
      <c r="H14" s="6">
        <v>17.7</v>
      </c>
      <c r="I14">
        <v>134.25</v>
      </c>
    </row>
    <row r="15" spans="1:9">
      <c r="A15" s="7">
        <v>36739</v>
      </c>
      <c r="B15" s="6">
        <v>0.9</v>
      </c>
      <c r="C15" s="6">
        <v>1.8</v>
      </c>
      <c r="D15" s="6">
        <v>2.6</v>
      </c>
      <c r="E15" s="6">
        <v>4</v>
      </c>
      <c r="F15" s="6">
        <v>6.7</v>
      </c>
      <c r="G15" s="6">
        <v>11.1</v>
      </c>
      <c r="H15" s="6">
        <v>17.8</v>
      </c>
      <c r="I15">
        <v>132.6</v>
      </c>
    </row>
    <row r="16" spans="1:9">
      <c r="A16" s="7">
        <v>36770</v>
      </c>
      <c r="B16" s="6">
        <v>53.9</v>
      </c>
      <c r="C16" s="6">
        <v>63.3</v>
      </c>
      <c r="D16" s="6">
        <v>73.400000000000006</v>
      </c>
      <c r="E16" s="6">
        <v>85.6</v>
      </c>
      <c r="F16" s="6">
        <v>99.3</v>
      </c>
      <c r="G16" s="6">
        <v>114</v>
      </c>
      <c r="H16" s="6">
        <v>130.5</v>
      </c>
      <c r="I16">
        <v>297.7</v>
      </c>
    </row>
    <row r="17" spans="1:9">
      <c r="A17" s="7">
        <v>36800</v>
      </c>
      <c r="B17" s="6">
        <v>223.3</v>
      </c>
      <c r="C17" s="6">
        <v>246.7</v>
      </c>
      <c r="D17" s="6">
        <v>271.39999999999998</v>
      </c>
      <c r="E17" s="6">
        <v>296.3</v>
      </c>
      <c r="F17" s="6">
        <v>322.39999999999998</v>
      </c>
      <c r="G17" s="6">
        <v>348.8</v>
      </c>
      <c r="H17" s="6">
        <v>375.4</v>
      </c>
      <c r="I17">
        <v>602.20000000000005</v>
      </c>
    </row>
    <row r="18" spans="1:9">
      <c r="A18" s="7">
        <v>36831</v>
      </c>
      <c r="B18" s="6">
        <v>464.5</v>
      </c>
      <c r="C18" s="6">
        <v>494.2</v>
      </c>
      <c r="D18" s="6">
        <v>523.9</v>
      </c>
      <c r="E18" s="6">
        <v>553.79999999999995</v>
      </c>
      <c r="F18" s="6">
        <v>583.79999999999995</v>
      </c>
      <c r="G18" s="6">
        <v>613.79999999999995</v>
      </c>
      <c r="H18" s="6">
        <v>643.79999999999995</v>
      </c>
      <c r="I18">
        <v>867.15</v>
      </c>
    </row>
    <row r="19" spans="1:9">
      <c r="A19" s="7">
        <v>36861</v>
      </c>
      <c r="B19" s="6">
        <v>912.2</v>
      </c>
      <c r="C19" s="6">
        <v>942.8</v>
      </c>
      <c r="D19" s="6">
        <v>973.5</v>
      </c>
      <c r="E19" s="6">
        <v>1004.2</v>
      </c>
      <c r="F19" s="6">
        <v>1035.0999999999999</v>
      </c>
      <c r="G19" s="6">
        <v>1066.0999999999999</v>
      </c>
      <c r="H19" s="6">
        <v>1097.0999999999999</v>
      </c>
      <c r="I19">
        <v>1341.15</v>
      </c>
    </row>
    <row r="20" spans="1:9">
      <c r="A20" s="7">
        <v>36892</v>
      </c>
      <c r="B20" s="6">
        <v>893.2</v>
      </c>
      <c r="C20" s="6">
        <v>924.2</v>
      </c>
      <c r="D20" s="6">
        <v>955.2</v>
      </c>
      <c r="E20" s="6">
        <v>986.2</v>
      </c>
      <c r="F20" s="6">
        <v>1017.2</v>
      </c>
      <c r="G20" s="6">
        <v>1048.2</v>
      </c>
      <c r="H20" s="6">
        <v>1079.2</v>
      </c>
      <c r="I20">
        <v>1342.3000000000002</v>
      </c>
    </row>
    <row r="21" spans="1:9">
      <c r="A21" s="7">
        <v>36923</v>
      </c>
      <c r="B21" s="6">
        <v>760.5</v>
      </c>
      <c r="C21" s="6">
        <v>788.5</v>
      </c>
      <c r="D21" s="6">
        <v>816.5</v>
      </c>
      <c r="E21" s="6">
        <v>844.5</v>
      </c>
      <c r="F21" s="6">
        <v>872.5</v>
      </c>
      <c r="G21" s="6">
        <v>900.5</v>
      </c>
      <c r="H21" s="6">
        <v>928.5</v>
      </c>
      <c r="I21">
        <v>1143</v>
      </c>
    </row>
    <row r="22" spans="1:9">
      <c r="A22" s="7">
        <v>36951</v>
      </c>
      <c r="B22" s="6">
        <v>726.1</v>
      </c>
      <c r="C22" s="6">
        <v>757.1</v>
      </c>
      <c r="D22" s="6">
        <v>788.1</v>
      </c>
      <c r="E22" s="6">
        <v>819.1</v>
      </c>
      <c r="F22" s="6">
        <v>850.1</v>
      </c>
      <c r="G22" s="6">
        <v>881.1</v>
      </c>
      <c r="H22" s="6">
        <v>912.1</v>
      </c>
      <c r="I22">
        <v>1134.3499999999999</v>
      </c>
    </row>
    <row r="23" spans="1:9">
      <c r="A23" s="7">
        <v>36982</v>
      </c>
      <c r="B23" s="6">
        <v>364.5</v>
      </c>
      <c r="C23" s="6">
        <v>391.7</v>
      </c>
      <c r="D23" s="6">
        <v>419</v>
      </c>
      <c r="E23" s="6">
        <v>446.8</v>
      </c>
      <c r="F23" s="6">
        <v>474.5</v>
      </c>
      <c r="G23" s="6">
        <v>502.7</v>
      </c>
      <c r="H23" s="6">
        <v>531</v>
      </c>
      <c r="I23">
        <v>713.05</v>
      </c>
    </row>
    <row r="24" spans="1:9">
      <c r="A24" s="7">
        <v>37012</v>
      </c>
      <c r="B24" s="6">
        <v>114</v>
      </c>
      <c r="C24" s="6">
        <v>133.69999999999999</v>
      </c>
      <c r="D24" s="6">
        <v>154.6</v>
      </c>
      <c r="E24" s="6">
        <v>175.9</v>
      </c>
      <c r="F24" s="6">
        <v>198.3</v>
      </c>
      <c r="G24" s="6">
        <v>221.1</v>
      </c>
      <c r="H24" s="6">
        <v>244.7</v>
      </c>
      <c r="I24">
        <v>420.54999999999995</v>
      </c>
    </row>
    <row r="25" spans="1:9">
      <c r="A25" s="7">
        <v>37043</v>
      </c>
      <c r="B25" s="6">
        <v>9.1999999999999993</v>
      </c>
      <c r="C25" s="6">
        <v>12.1</v>
      </c>
      <c r="D25" s="6">
        <v>15.6</v>
      </c>
      <c r="E25" s="6">
        <v>20</v>
      </c>
      <c r="F25" s="6">
        <v>25.5</v>
      </c>
      <c r="G25" s="6">
        <v>31.5</v>
      </c>
      <c r="H25" s="6">
        <v>39.4</v>
      </c>
      <c r="I25">
        <v>136.5</v>
      </c>
    </row>
    <row r="26" spans="1:9">
      <c r="A26" s="7">
        <v>37073</v>
      </c>
      <c r="B26" s="6">
        <v>1</v>
      </c>
      <c r="C26" s="6">
        <v>2</v>
      </c>
      <c r="D26" s="6">
        <v>4.3</v>
      </c>
      <c r="E26" s="6">
        <v>7.3</v>
      </c>
      <c r="F26" s="6">
        <v>11.7</v>
      </c>
      <c r="G26" s="6">
        <v>18.100000000000001</v>
      </c>
      <c r="H26" s="6">
        <v>25.9</v>
      </c>
      <c r="I26">
        <v>142.69999999999999</v>
      </c>
    </row>
    <row r="27" spans="1:9">
      <c r="A27" s="7">
        <v>37104</v>
      </c>
      <c r="B27" s="6">
        <v>0</v>
      </c>
      <c r="C27" s="6">
        <v>0.1</v>
      </c>
      <c r="D27" s="6">
        <v>0.3</v>
      </c>
      <c r="E27" s="6">
        <v>1</v>
      </c>
      <c r="F27" s="6">
        <v>1.9</v>
      </c>
      <c r="G27" s="6">
        <v>3.2</v>
      </c>
      <c r="H27" s="6">
        <v>5.5</v>
      </c>
      <c r="I27">
        <v>68.349999999999994</v>
      </c>
    </row>
    <row r="28" spans="1:9">
      <c r="A28" s="7">
        <v>37135</v>
      </c>
      <c r="B28" s="6">
        <v>26.7</v>
      </c>
      <c r="C28" s="6">
        <v>34.5</v>
      </c>
      <c r="D28" s="6">
        <v>43.6</v>
      </c>
      <c r="E28" s="6">
        <v>53.5</v>
      </c>
      <c r="F28" s="6">
        <v>65.099999999999994</v>
      </c>
      <c r="G28" s="6">
        <v>78.7</v>
      </c>
      <c r="H28" s="6">
        <v>94.3</v>
      </c>
      <c r="I28">
        <v>256.55</v>
      </c>
    </row>
    <row r="29" spans="1:9">
      <c r="A29" s="7">
        <v>37165</v>
      </c>
      <c r="B29" s="6">
        <v>169.2</v>
      </c>
      <c r="C29" s="6">
        <v>189.9</v>
      </c>
      <c r="D29" s="6">
        <v>211.6</v>
      </c>
      <c r="E29" s="6">
        <v>234.1</v>
      </c>
      <c r="F29" s="6">
        <v>257.3</v>
      </c>
      <c r="G29" s="6">
        <v>281.60000000000002</v>
      </c>
      <c r="H29" s="6">
        <v>307.5</v>
      </c>
      <c r="I29">
        <v>522.35</v>
      </c>
    </row>
    <row r="30" spans="1:9">
      <c r="A30" s="7">
        <v>37196</v>
      </c>
      <c r="B30" s="6">
        <v>340.2</v>
      </c>
      <c r="C30" s="6">
        <v>367.3</v>
      </c>
      <c r="D30" s="6">
        <v>394.5</v>
      </c>
      <c r="E30" s="6">
        <v>422.4</v>
      </c>
      <c r="F30" s="6">
        <v>450.7</v>
      </c>
      <c r="G30" s="6">
        <v>479.6</v>
      </c>
      <c r="H30" s="6">
        <v>508.7</v>
      </c>
      <c r="I30">
        <v>732.8</v>
      </c>
    </row>
    <row r="31" spans="1:9">
      <c r="A31" s="7">
        <v>37226</v>
      </c>
      <c r="B31" s="6">
        <v>589.79999999999995</v>
      </c>
      <c r="C31" s="6">
        <v>619.20000000000005</v>
      </c>
      <c r="D31" s="6">
        <v>648.70000000000005</v>
      </c>
      <c r="E31" s="6">
        <v>678.6</v>
      </c>
      <c r="F31" s="6">
        <v>708.4</v>
      </c>
      <c r="G31" s="6">
        <v>738.4</v>
      </c>
      <c r="H31" s="6">
        <v>768.7</v>
      </c>
      <c r="I31">
        <v>1016.1</v>
      </c>
    </row>
    <row r="32" spans="1:9">
      <c r="A32" s="7">
        <v>37257</v>
      </c>
      <c r="B32" s="6">
        <v>704.1</v>
      </c>
      <c r="C32" s="6">
        <v>734.8</v>
      </c>
      <c r="D32" s="6">
        <v>765.5</v>
      </c>
      <c r="E32" s="6">
        <v>796.3</v>
      </c>
      <c r="F32" s="6">
        <v>827.2</v>
      </c>
      <c r="G32" s="6">
        <v>858.1</v>
      </c>
      <c r="H32" s="6">
        <v>889.1</v>
      </c>
      <c r="I32">
        <v>1120.5</v>
      </c>
    </row>
    <row r="33" spans="1:9">
      <c r="A33" s="7">
        <v>37288</v>
      </c>
      <c r="B33" s="6">
        <v>639.6</v>
      </c>
      <c r="C33" s="6">
        <v>667.6</v>
      </c>
      <c r="D33" s="6">
        <v>695.6</v>
      </c>
      <c r="E33" s="6">
        <v>723.6</v>
      </c>
      <c r="F33" s="6">
        <v>751.6</v>
      </c>
      <c r="G33" s="6">
        <v>779.6</v>
      </c>
      <c r="H33" s="6">
        <v>807.6</v>
      </c>
      <c r="I33">
        <v>1017.6500000000001</v>
      </c>
    </row>
    <row r="34" spans="1:9">
      <c r="A34" s="7">
        <v>37316</v>
      </c>
      <c r="B34" s="6">
        <v>593.1</v>
      </c>
      <c r="C34" s="6">
        <v>623.5</v>
      </c>
      <c r="D34" s="6">
        <v>654.29999999999995</v>
      </c>
      <c r="E34" s="6">
        <v>685.2</v>
      </c>
      <c r="F34" s="6">
        <v>716.1</v>
      </c>
      <c r="G34" s="6">
        <v>747.1</v>
      </c>
      <c r="H34" s="6">
        <v>778.1</v>
      </c>
      <c r="I34">
        <v>996.3</v>
      </c>
    </row>
    <row r="35" spans="1:9">
      <c r="A35" s="7">
        <v>37347</v>
      </c>
      <c r="B35" s="6">
        <v>336.8</v>
      </c>
      <c r="C35" s="6">
        <v>361.9</v>
      </c>
      <c r="D35" s="6">
        <v>387.6</v>
      </c>
      <c r="E35" s="6">
        <v>413.7</v>
      </c>
      <c r="F35" s="6">
        <v>439.9</v>
      </c>
      <c r="G35" s="6">
        <v>466.6</v>
      </c>
      <c r="H35" s="6">
        <v>493.8</v>
      </c>
      <c r="I35">
        <v>671.9</v>
      </c>
    </row>
    <row r="36" spans="1:9">
      <c r="A36" s="7">
        <v>37377</v>
      </c>
      <c r="B36" s="6">
        <v>153.5</v>
      </c>
      <c r="C36" s="6">
        <v>172.6</v>
      </c>
      <c r="D36" s="6">
        <v>192.9</v>
      </c>
      <c r="E36" s="6">
        <v>214.3</v>
      </c>
      <c r="F36" s="6">
        <v>236.3</v>
      </c>
      <c r="G36" s="6">
        <v>259.39999999999998</v>
      </c>
      <c r="H36" s="6">
        <v>283.3</v>
      </c>
      <c r="I36">
        <v>464.45000000000005</v>
      </c>
    </row>
    <row r="37" spans="1:9">
      <c r="A37" s="7">
        <v>37408</v>
      </c>
      <c r="B37" s="6">
        <v>40</v>
      </c>
      <c r="C37" s="6">
        <v>49.2</v>
      </c>
      <c r="D37" s="6">
        <v>58.9</v>
      </c>
      <c r="E37" s="6">
        <v>70.099999999999994</v>
      </c>
      <c r="F37" s="6">
        <v>82.3</v>
      </c>
      <c r="G37" s="6">
        <v>95.9</v>
      </c>
      <c r="H37" s="6">
        <v>110.1</v>
      </c>
      <c r="I37">
        <v>236</v>
      </c>
    </row>
    <row r="38" spans="1:9">
      <c r="A38" s="7">
        <v>37438</v>
      </c>
      <c r="B38" s="6">
        <v>0.2</v>
      </c>
      <c r="C38" s="6">
        <v>0.5</v>
      </c>
      <c r="D38" s="6">
        <v>1.1000000000000001</v>
      </c>
      <c r="E38" s="6">
        <v>2</v>
      </c>
      <c r="F38" s="6">
        <v>3.5</v>
      </c>
      <c r="G38" s="6">
        <v>5.9</v>
      </c>
      <c r="H38" s="6">
        <v>9.1999999999999993</v>
      </c>
      <c r="I38">
        <v>81.45</v>
      </c>
    </row>
    <row r="39" spans="1:9">
      <c r="A39" s="7">
        <v>37469</v>
      </c>
      <c r="B39" s="6">
        <v>0.1</v>
      </c>
      <c r="C39" s="6">
        <v>0.7</v>
      </c>
      <c r="D39" s="6">
        <v>1.5</v>
      </c>
      <c r="E39" s="6">
        <v>3.3</v>
      </c>
      <c r="F39" s="6">
        <v>5.0999999999999996</v>
      </c>
      <c r="G39" s="6">
        <v>7.6</v>
      </c>
      <c r="H39" s="6">
        <v>11.7</v>
      </c>
      <c r="I39">
        <v>90.85</v>
      </c>
    </row>
    <row r="40" spans="1:9">
      <c r="A40" s="7">
        <v>37500</v>
      </c>
      <c r="B40" s="6">
        <v>6.8</v>
      </c>
      <c r="C40" s="6">
        <v>10.1</v>
      </c>
      <c r="D40" s="6">
        <v>15.2</v>
      </c>
      <c r="E40" s="6">
        <v>21.7</v>
      </c>
      <c r="F40" s="6">
        <v>29.9</v>
      </c>
      <c r="G40" s="6">
        <v>40.1</v>
      </c>
      <c r="H40" s="6">
        <v>51.4</v>
      </c>
      <c r="I40">
        <v>185.1</v>
      </c>
    </row>
    <row r="41" spans="1:9">
      <c r="A41" s="7">
        <v>37530</v>
      </c>
      <c r="B41" s="6">
        <v>249.7</v>
      </c>
      <c r="C41" s="6">
        <v>275.60000000000002</v>
      </c>
      <c r="D41" s="6">
        <v>301.89999999999998</v>
      </c>
      <c r="E41" s="6">
        <v>328.9</v>
      </c>
      <c r="F41" s="6">
        <v>356.3</v>
      </c>
      <c r="G41" s="6">
        <v>383.8</v>
      </c>
      <c r="H41" s="6">
        <v>411.7</v>
      </c>
      <c r="I41">
        <v>642.29999999999995</v>
      </c>
    </row>
    <row r="42" spans="1:9">
      <c r="A42" s="7">
        <v>37561</v>
      </c>
      <c r="B42" s="6">
        <v>496.7</v>
      </c>
      <c r="C42" s="6">
        <v>524.9</v>
      </c>
      <c r="D42" s="6">
        <v>553.29999999999995</v>
      </c>
      <c r="E42" s="6">
        <v>581.79999999999995</v>
      </c>
      <c r="F42" s="6">
        <v>610.29999999999995</v>
      </c>
      <c r="G42" s="6">
        <v>639.1</v>
      </c>
      <c r="H42" s="6">
        <v>668.2</v>
      </c>
      <c r="I42">
        <v>892.65</v>
      </c>
    </row>
    <row r="43" spans="1:9">
      <c r="A43" s="7">
        <v>37591</v>
      </c>
      <c r="B43" s="6">
        <v>796.1</v>
      </c>
      <c r="C43" s="6">
        <v>826.8</v>
      </c>
      <c r="D43" s="6">
        <v>857.8</v>
      </c>
      <c r="E43" s="6">
        <v>888.8</v>
      </c>
      <c r="F43" s="6">
        <v>919.8</v>
      </c>
      <c r="G43" s="6">
        <v>950.8</v>
      </c>
      <c r="H43" s="6">
        <v>981.8</v>
      </c>
      <c r="I43">
        <v>1223.0999999999999</v>
      </c>
    </row>
    <row r="44" spans="1:9">
      <c r="A44" s="7">
        <v>37622</v>
      </c>
      <c r="B44" s="6">
        <v>1076.7</v>
      </c>
      <c r="C44" s="6">
        <v>1107.7</v>
      </c>
      <c r="D44" s="6">
        <v>1138.7</v>
      </c>
      <c r="E44" s="6">
        <v>1169.7</v>
      </c>
      <c r="F44" s="6">
        <v>1200.7</v>
      </c>
      <c r="G44" s="6">
        <v>1231.7</v>
      </c>
      <c r="H44" s="6">
        <v>1262.7</v>
      </c>
      <c r="I44">
        <v>1521.65</v>
      </c>
    </row>
    <row r="45" spans="1:9">
      <c r="A45" s="7">
        <v>37653</v>
      </c>
      <c r="B45" s="6">
        <v>909.8</v>
      </c>
      <c r="C45" s="6">
        <v>937.8</v>
      </c>
      <c r="D45" s="6">
        <v>965.8</v>
      </c>
      <c r="E45" s="6">
        <v>993.8</v>
      </c>
      <c r="F45" s="6">
        <v>1021.8</v>
      </c>
      <c r="G45" s="6">
        <v>1049.8</v>
      </c>
      <c r="H45" s="6">
        <v>1077.8</v>
      </c>
      <c r="I45">
        <v>1280.5999999999999</v>
      </c>
    </row>
    <row r="46" spans="1:9">
      <c r="A46" s="7">
        <v>37681</v>
      </c>
      <c r="B46" s="6">
        <v>683.9</v>
      </c>
      <c r="C46" s="6">
        <v>713.9</v>
      </c>
      <c r="D46" s="6">
        <v>743.9</v>
      </c>
      <c r="E46" s="6">
        <v>774.2</v>
      </c>
      <c r="F46" s="6">
        <v>804.7</v>
      </c>
      <c r="G46" s="6">
        <v>835.4</v>
      </c>
      <c r="H46" s="6">
        <v>866</v>
      </c>
      <c r="I46">
        <v>1081.05</v>
      </c>
    </row>
    <row r="47" spans="1:9">
      <c r="A47" s="7">
        <v>37712</v>
      </c>
      <c r="B47" s="6">
        <v>477.9</v>
      </c>
      <c r="C47" s="6">
        <v>505.2</v>
      </c>
      <c r="D47" s="6">
        <v>532.4</v>
      </c>
      <c r="E47" s="6">
        <v>559.9</v>
      </c>
      <c r="F47" s="6">
        <v>587.4</v>
      </c>
      <c r="G47" s="6">
        <v>615.20000000000005</v>
      </c>
      <c r="H47" s="6">
        <v>643.20000000000005</v>
      </c>
      <c r="I47">
        <v>820.15000000000009</v>
      </c>
    </row>
    <row r="48" spans="1:9">
      <c r="A48" s="7">
        <v>37742</v>
      </c>
      <c r="B48" s="6">
        <v>189</v>
      </c>
      <c r="C48" s="6">
        <v>213.3</v>
      </c>
      <c r="D48" s="6">
        <v>238.6</v>
      </c>
      <c r="E48" s="6">
        <v>264.60000000000002</v>
      </c>
      <c r="F48" s="6">
        <v>291.3</v>
      </c>
      <c r="G48" s="6">
        <v>318.60000000000002</v>
      </c>
      <c r="H48" s="6">
        <v>346.6</v>
      </c>
      <c r="I48">
        <v>522.6</v>
      </c>
    </row>
    <row r="49" spans="1:9">
      <c r="A49" s="7">
        <v>37773</v>
      </c>
      <c r="B49" s="6">
        <v>25.1</v>
      </c>
      <c r="C49" s="6">
        <v>35.299999999999997</v>
      </c>
      <c r="D49" s="6">
        <v>47.2</v>
      </c>
      <c r="E49" s="6">
        <v>60.9</v>
      </c>
      <c r="F49" s="6">
        <v>75.099999999999994</v>
      </c>
      <c r="G49" s="6">
        <v>90.8</v>
      </c>
      <c r="H49" s="6">
        <v>108</v>
      </c>
      <c r="I49">
        <v>232.3</v>
      </c>
    </row>
    <row r="50" spans="1:9">
      <c r="A50" s="7">
        <v>37803</v>
      </c>
      <c r="B50" s="6">
        <v>0</v>
      </c>
      <c r="C50" s="6">
        <v>0.4</v>
      </c>
      <c r="D50" s="6">
        <v>0.9</v>
      </c>
      <c r="E50" s="6">
        <v>1.5</v>
      </c>
      <c r="F50" s="6">
        <v>2.5</v>
      </c>
      <c r="G50" s="6">
        <v>4.0999999999999996</v>
      </c>
      <c r="H50" s="6">
        <v>6.2</v>
      </c>
      <c r="I50">
        <v>62.650000000000006</v>
      </c>
    </row>
    <row r="51" spans="1:9">
      <c r="A51" s="7">
        <v>37834</v>
      </c>
      <c r="B51" s="6">
        <v>0.6</v>
      </c>
      <c r="C51" s="6">
        <v>0.9</v>
      </c>
      <c r="D51" s="6">
        <v>1.4</v>
      </c>
      <c r="E51" s="6">
        <v>2.5</v>
      </c>
      <c r="F51" s="6">
        <v>4.2</v>
      </c>
      <c r="G51" s="6">
        <v>6.1</v>
      </c>
      <c r="H51" s="6">
        <v>8.8000000000000007</v>
      </c>
      <c r="I51">
        <v>64.55</v>
      </c>
    </row>
    <row r="52" spans="1:9">
      <c r="A52" s="7">
        <v>37865</v>
      </c>
      <c r="B52" s="6">
        <v>6.5</v>
      </c>
      <c r="C52" s="6">
        <v>10</v>
      </c>
      <c r="D52" s="6">
        <v>15</v>
      </c>
      <c r="E52" s="6">
        <v>21.3</v>
      </c>
      <c r="F52" s="6">
        <v>29.8</v>
      </c>
      <c r="G52" s="6">
        <v>40.799999999999997</v>
      </c>
      <c r="H52" s="6">
        <v>54.9</v>
      </c>
      <c r="I52">
        <v>217.89999999999998</v>
      </c>
    </row>
    <row r="53" spans="1:9">
      <c r="A53" s="7">
        <v>37895</v>
      </c>
      <c r="B53" s="6">
        <v>213</v>
      </c>
      <c r="C53" s="6">
        <v>237.7</v>
      </c>
      <c r="D53" s="6">
        <v>263.60000000000002</v>
      </c>
      <c r="E53" s="6">
        <v>290.8</v>
      </c>
      <c r="F53" s="6">
        <v>319.3</v>
      </c>
      <c r="G53" s="6">
        <v>348.2</v>
      </c>
      <c r="H53" s="6">
        <v>377.7</v>
      </c>
      <c r="I53">
        <v>615.45000000000005</v>
      </c>
    </row>
    <row r="54" spans="1:9">
      <c r="A54" s="7">
        <v>37926</v>
      </c>
      <c r="B54" s="6">
        <v>415.5</v>
      </c>
      <c r="C54" s="6">
        <v>444.1</v>
      </c>
      <c r="D54" s="6">
        <v>473</v>
      </c>
      <c r="E54" s="6">
        <v>501.9</v>
      </c>
      <c r="F54" s="6">
        <v>531.20000000000005</v>
      </c>
      <c r="G54" s="6">
        <v>560.6</v>
      </c>
      <c r="H54" s="6">
        <v>589.9</v>
      </c>
      <c r="I54">
        <v>809.5</v>
      </c>
    </row>
    <row r="55" spans="1:9">
      <c r="A55" s="7">
        <v>37956</v>
      </c>
      <c r="B55" s="6">
        <v>716.8</v>
      </c>
      <c r="C55" s="6">
        <v>747.8</v>
      </c>
      <c r="D55" s="6">
        <v>778.8</v>
      </c>
      <c r="E55" s="6">
        <v>809.8</v>
      </c>
      <c r="F55" s="6">
        <v>840.8</v>
      </c>
      <c r="G55" s="6">
        <v>871.8</v>
      </c>
      <c r="H55" s="6">
        <v>902.8</v>
      </c>
      <c r="I55">
        <v>1136.6999999999998</v>
      </c>
    </row>
    <row r="56" spans="1:9">
      <c r="A56" s="7">
        <v>37987</v>
      </c>
      <c r="B56" s="6">
        <v>1174.7</v>
      </c>
      <c r="C56" s="6">
        <v>1205.7</v>
      </c>
      <c r="D56" s="6">
        <v>1236.7</v>
      </c>
      <c r="E56" s="6">
        <v>1267.7</v>
      </c>
      <c r="F56" s="6">
        <v>1298.7</v>
      </c>
      <c r="G56" s="6">
        <v>1329.7</v>
      </c>
      <c r="H56" s="6">
        <v>1360.7</v>
      </c>
      <c r="I56">
        <v>1592.4</v>
      </c>
    </row>
    <row r="57" spans="1:9">
      <c r="A57" s="7">
        <v>38018</v>
      </c>
      <c r="B57" s="6">
        <v>759.5</v>
      </c>
      <c r="C57" s="6">
        <v>788.5</v>
      </c>
      <c r="D57" s="6">
        <v>817.5</v>
      </c>
      <c r="E57" s="6">
        <v>846.5</v>
      </c>
      <c r="F57" s="6">
        <v>875.5</v>
      </c>
      <c r="G57" s="6">
        <v>904.5</v>
      </c>
      <c r="H57" s="6">
        <v>933.5</v>
      </c>
      <c r="I57">
        <v>1153</v>
      </c>
    </row>
    <row r="58" spans="1:9">
      <c r="A58" s="7">
        <v>38047</v>
      </c>
      <c r="B58" s="6">
        <v>629.1</v>
      </c>
      <c r="C58" s="6">
        <v>659.7</v>
      </c>
      <c r="D58" s="6">
        <v>690.3</v>
      </c>
      <c r="E58" s="6">
        <v>721</v>
      </c>
      <c r="F58" s="6">
        <v>751.8</v>
      </c>
      <c r="G58" s="6">
        <v>782.5</v>
      </c>
      <c r="H58" s="6">
        <v>813.4</v>
      </c>
      <c r="I58">
        <v>1028.55</v>
      </c>
    </row>
    <row r="59" spans="1:9">
      <c r="A59" s="7">
        <v>38078</v>
      </c>
      <c r="B59" s="6">
        <v>349.3</v>
      </c>
      <c r="C59" s="6">
        <v>375</v>
      </c>
      <c r="D59" s="6">
        <v>401.3</v>
      </c>
      <c r="E59" s="6">
        <v>427.7</v>
      </c>
      <c r="F59" s="6">
        <v>454.8</v>
      </c>
      <c r="G59" s="6">
        <v>481.8</v>
      </c>
      <c r="H59" s="6">
        <v>509.4</v>
      </c>
      <c r="I59">
        <v>683.2</v>
      </c>
    </row>
    <row r="60" spans="1:9">
      <c r="A60" s="7">
        <v>38108</v>
      </c>
      <c r="B60" s="6">
        <v>120.4</v>
      </c>
      <c r="C60" s="6">
        <v>139.5</v>
      </c>
      <c r="D60" s="6">
        <v>160</v>
      </c>
      <c r="E60" s="6">
        <v>182.4</v>
      </c>
      <c r="F60" s="6">
        <v>205.8</v>
      </c>
      <c r="G60" s="6">
        <v>230</v>
      </c>
      <c r="H60" s="6">
        <v>254.4</v>
      </c>
      <c r="I60">
        <v>419</v>
      </c>
    </row>
    <row r="61" spans="1:9">
      <c r="A61" s="7">
        <v>38139</v>
      </c>
      <c r="B61" s="6">
        <v>27</v>
      </c>
      <c r="C61" s="6">
        <v>33.799999999999997</v>
      </c>
      <c r="D61" s="6">
        <v>41.8</v>
      </c>
      <c r="E61" s="6">
        <v>50.6</v>
      </c>
      <c r="F61" s="6">
        <v>61.2</v>
      </c>
      <c r="G61" s="6">
        <v>73.599999999999994</v>
      </c>
      <c r="H61" s="6">
        <v>86.5</v>
      </c>
      <c r="I61">
        <v>218.89999999999998</v>
      </c>
    </row>
    <row r="62" spans="1:9">
      <c r="A62" s="7">
        <v>38169</v>
      </c>
      <c r="B62" s="6">
        <v>0</v>
      </c>
      <c r="C62" s="6">
        <v>0.1</v>
      </c>
      <c r="D62" s="6">
        <v>0.3</v>
      </c>
      <c r="E62" s="6">
        <v>0.8</v>
      </c>
      <c r="F62" s="6">
        <v>2.4</v>
      </c>
      <c r="G62" s="6">
        <v>5.8</v>
      </c>
      <c r="H62" s="6">
        <v>11</v>
      </c>
      <c r="I62">
        <v>102.95</v>
      </c>
    </row>
    <row r="63" spans="1:9">
      <c r="A63" s="7">
        <v>38200</v>
      </c>
      <c r="B63" s="6">
        <v>0.6</v>
      </c>
      <c r="C63" s="6">
        <v>1.6</v>
      </c>
      <c r="D63" s="6">
        <v>2.8</v>
      </c>
      <c r="E63" s="6">
        <v>4.9000000000000004</v>
      </c>
      <c r="F63" s="6">
        <v>7.9</v>
      </c>
      <c r="G63" s="6">
        <v>12.3</v>
      </c>
      <c r="H63" s="6">
        <v>18.100000000000001</v>
      </c>
      <c r="I63">
        <v>101.1</v>
      </c>
    </row>
    <row r="64" spans="1:9">
      <c r="A64" s="7">
        <v>38231</v>
      </c>
      <c r="B64" s="6">
        <v>19.7</v>
      </c>
      <c r="C64" s="6">
        <v>25.7</v>
      </c>
      <c r="D64" s="6">
        <v>32.9</v>
      </c>
      <c r="E64" s="6">
        <v>42.6</v>
      </c>
      <c r="F64" s="6">
        <v>54.1</v>
      </c>
      <c r="G64" s="6">
        <v>67.8</v>
      </c>
      <c r="H64" s="6">
        <v>83.2</v>
      </c>
      <c r="I64">
        <v>245.9</v>
      </c>
    </row>
    <row r="65" spans="1:9">
      <c r="A65" s="7">
        <v>38261</v>
      </c>
      <c r="B65" s="6">
        <v>195.6</v>
      </c>
      <c r="C65" s="6">
        <v>220.8</v>
      </c>
      <c r="D65" s="6">
        <v>246.7</v>
      </c>
      <c r="E65" s="6">
        <v>273.89999999999998</v>
      </c>
      <c r="F65" s="6">
        <v>301.7</v>
      </c>
      <c r="G65" s="6">
        <v>330.4</v>
      </c>
      <c r="H65" s="6">
        <v>359.5</v>
      </c>
      <c r="I65">
        <v>596.09999999999991</v>
      </c>
    </row>
    <row r="66" spans="1:9">
      <c r="A66" s="7">
        <v>38292</v>
      </c>
      <c r="B66" s="6">
        <v>435</v>
      </c>
      <c r="C66" s="6">
        <v>463.9</v>
      </c>
      <c r="D66" s="6">
        <v>493.1</v>
      </c>
      <c r="E66" s="6">
        <v>522.79999999999995</v>
      </c>
      <c r="F66" s="6">
        <v>552.6</v>
      </c>
      <c r="G66" s="6">
        <v>582.5</v>
      </c>
      <c r="H66" s="6">
        <v>612.4</v>
      </c>
      <c r="I66">
        <v>842.2</v>
      </c>
    </row>
    <row r="67" spans="1:9">
      <c r="A67" s="7">
        <v>38322</v>
      </c>
      <c r="B67" s="6">
        <v>749.9</v>
      </c>
      <c r="C67" s="6">
        <v>780.8</v>
      </c>
      <c r="D67" s="6">
        <v>811.8</v>
      </c>
      <c r="E67" s="6">
        <v>842.8</v>
      </c>
      <c r="F67" s="6">
        <v>873.8</v>
      </c>
      <c r="G67" s="6">
        <v>904.8</v>
      </c>
      <c r="H67" s="6">
        <v>935.8</v>
      </c>
      <c r="I67">
        <v>1179.8499999999999</v>
      </c>
    </row>
    <row r="68" spans="1:9">
      <c r="A68" s="7">
        <v>38353</v>
      </c>
      <c r="B68" s="6">
        <v>1004.9</v>
      </c>
      <c r="C68" s="6">
        <v>1035.5999999999999</v>
      </c>
      <c r="D68" s="6">
        <v>1066.4000000000001</v>
      </c>
      <c r="E68" s="6">
        <v>1097.3</v>
      </c>
      <c r="F68" s="6">
        <v>1128.3</v>
      </c>
      <c r="G68" s="6">
        <v>1159.3</v>
      </c>
      <c r="H68" s="6">
        <v>1190.3</v>
      </c>
      <c r="I68">
        <v>1421.05</v>
      </c>
    </row>
    <row r="69" spans="1:9">
      <c r="A69" s="7">
        <v>38384</v>
      </c>
      <c r="B69" s="6">
        <v>766</v>
      </c>
      <c r="C69" s="6">
        <v>794</v>
      </c>
      <c r="D69" s="6">
        <v>822</v>
      </c>
      <c r="E69" s="6">
        <v>850</v>
      </c>
      <c r="F69" s="6">
        <v>878</v>
      </c>
      <c r="G69" s="6">
        <v>906</v>
      </c>
      <c r="H69" s="6">
        <v>934</v>
      </c>
      <c r="I69">
        <v>1157.8499999999999</v>
      </c>
    </row>
    <row r="70" spans="1:9">
      <c r="A70" s="7">
        <v>38412</v>
      </c>
      <c r="B70" s="6">
        <v>731.8</v>
      </c>
      <c r="C70" s="6">
        <v>762.8</v>
      </c>
      <c r="D70" s="6">
        <v>793.8</v>
      </c>
      <c r="E70" s="6">
        <v>824.8</v>
      </c>
      <c r="F70" s="6">
        <v>855.8</v>
      </c>
      <c r="G70" s="6">
        <v>886.8</v>
      </c>
      <c r="H70" s="6">
        <v>917.8</v>
      </c>
      <c r="I70">
        <v>1147.1999999999998</v>
      </c>
    </row>
    <row r="71" spans="1:9">
      <c r="A71" s="7">
        <v>38443</v>
      </c>
      <c r="B71" s="6">
        <v>316.89999999999998</v>
      </c>
      <c r="C71" s="6">
        <v>343.5</v>
      </c>
      <c r="D71" s="6">
        <v>370.2</v>
      </c>
      <c r="E71" s="6">
        <v>397.7</v>
      </c>
      <c r="F71" s="6">
        <v>425.4</v>
      </c>
      <c r="G71" s="6">
        <v>453.9</v>
      </c>
      <c r="H71" s="6">
        <v>482.5</v>
      </c>
      <c r="I71">
        <v>660.3</v>
      </c>
    </row>
    <row r="72" spans="1:9">
      <c r="A72" s="7">
        <v>38473</v>
      </c>
      <c r="B72" s="6">
        <v>234.4</v>
      </c>
      <c r="C72" s="6">
        <v>262.7</v>
      </c>
      <c r="D72" s="6">
        <v>291.5</v>
      </c>
      <c r="E72" s="6">
        <v>320.8</v>
      </c>
      <c r="F72" s="6">
        <v>350.4</v>
      </c>
      <c r="G72" s="6">
        <v>380.1</v>
      </c>
      <c r="H72" s="6">
        <v>410</v>
      </c>
      <c r="I72">
        <v>597.45000000000005</v>
      </c>
    </row>
    <row r="73" spans="1:9">
      <c r="A73" s="7">
        <v>38504</v>
      </c>
      <c r="B73" s="6">
        <v>39.700000000000003</v>
      </c>
      <c r="C73" s="6">
        <v>47.9</v>
      </c>
      <c r="D73" s="6">
        <v>57.1</v>
      </c>
      <c r="E73" s="6">
        <v>66.400000000000006</v>
      </c>
      <c r="F73" s="6">
        <v>76.400000000000006</v>
      </c>
      <c r="G73" s="6">
        <v>87</v>
      </c>
      <c r="H73" s="6">
        <v>98.4</v>
      </c>
      <c r="I73">
        <v>184.7</v>
      </c>
    </row>
    <row r="74" spans="1:9">
      <c r="A74" s="7">
        <v>38534</v>
      </c>
      <c r="B74" s="6">
        <v>1.7</v>
      </c>
      <c r="C74" s="6">
        <v>2.9</v>
      </c>
      <c r="D74" s="6">
        <v>4.7</v>
      </c>
      <c r="E74" s="6">
        <v>7</v>
      </c>
      <c r="F74" s="6">
        <v>10.1</v>
      </c>
      <c r="G74" s="6">
        <v>14</v>
      </c>
      <c r="H74" s="6">
        <v>19.3</v>
      </c>
      <c r="I74">
        <v>89.6</v>
      </c>
    </row>
    <row r="75" spans="1:9">
      <c r="A75" s="7">
        <v>38565</v>
      </c>
      <c r="B75" s="6">
        <v>0</v>
      </c>
      <c r="C75" s="6">
        <v>0</v>
      </c>
      <c r="D75" s="6">
        <v>0.1</v>
      </c>
      <c r="E75" s="6">
        <v>0.4</v>
      </c>
      <c r="F75" s="6">
        <v>1</v>
      </c>
      <c r="G75" s="6">
        <v>1.9</v>
      </c>
      <c r="H75" s="6">
        <v>3.8</v>
      </c>
      <c r="I75">
        <v>63.25</v>
      </c>
    </row>
    <row r="76" spans="1:9">
      <c r="A76" s="7">
        <v>38596</v>
      </c>
      <c r="B76" s="6">
        <v>13.1</v>
      </c>
      <c r="C76" s="6">
        <v>17</v>
      </c>
      <c r="D76" s="6">
        <v>21.4</v>
      </c>
      <c r="E76" s="6">
        <v>26.2</v>
      </c>
      <c r="F76" s="6">
        <v>32.6</v>
      </c>
      <c r="G76" s="6">
        <v>40.1</v>
      </c>
      <c r="H76" s="6">
        <v>49.8</v>
      </c>
      <c r="I76">
        <v>185.14999999999998</v>
      </c>
    </row>
    <row r="77" spans="1:9">
      <c r="A77" s="7">
        <v>38626</v>
      </c>
      <c r="B77" s="6">
        <v>194.5</v>
      </c>
      <c r="C77" s="6">
        <v>218.4</v>
      </c>
      <c r="D77" s="6">
        <v>242.6</v>
      </c>
      <c r="E77" s="6">
        <v>268</v>
      </c>
      <c r="F77" s="6">
        <v>293.60000000000002</v>
      </c>
      <c r="G77" s="6">
        <v>319.60000000000002</v>
      </c>
      <c r="H77" s="6">
        <v>346.1</v>
      </c>
      <c r="I77">
        <v>546.75</v>
      </c>
    </row>
    <row r="78" spans="1:9">
      <c r="A78" s="7">
        <v>38657</v>
      </c>
      <c r="B78" s="6">
        <v>390.3</v>
      </c>
      <c r="C78" s="6">
        <v>418.4</v>
      </c>
      <c r="D78" s="6">
        <v>447</v>
      </c>
      <c r="E78" s="6">
        <v>476</v>
      </c>
      <c r="F78" s="6">
        <v>505</v>
      </c>
      <c r="G78" s="6">
        <v>534.20000000000005</v>
      </c>
      <c r="H78" s="6">
        <v>563.79999999999995</v>
      </c>
      <c r="I78">
        <v>791.45</v>
      </c>
    </row>
    <row r="79" spans="1:9">
      <c r="A79" s="7">
        <v>38687</v>
      </c>
      <c r="B79" s="6">
        <v>820.2</v>
      </c>
      <c r="C79" s="6">
        <v>851.2</v>
      </c>
      <c r="D79" s="6">
        <v>882.2</v>
      </c>
      <c r="E79" s="6">
        <v>913.2</v>
      </c>
      <c r="F79" s="6">
        <v>944.2</v>
      </c>
      <c r="G79" s="6">
        <v>975.2</v>
      </c>
      <c r="H79" s="6">
        <v>1006.2</v>
      </c>
      <c r="I79">
        <v>1250.5999999999999</v>
      </c>
    </row>
    <row r="80" spans="1:9">
      <c r="A80" s="7">
        <v>38718</v>
      </c>
      <c r="B80" s="6">
        <v>697.7</v>
      </c>
      <c r="C80" s="6">
        <v>728.6</v>
      </c>
      <c r="D80" s="6">
        <v>759.6</v>
      </c>
      <c r="E80" s="6">
        <v>790.6</v>
      </c>
      <c r="F80" s="6">
        <v>821.6</v>
      </c>
      <c r="G80" s="6">
        <v>852.6</v>
      </c>
      <c r="H80" s="6">
        <v>883.6</v>
      </c>
      <c r="I80">
        <v>1116.3</v>
      </c>
    </row>
    <row r="81" spans="1:9">
      <c r="A81" s="7">
        <v>38749</v>
      </c>
      <c r="B81" s="6">
        <v>778.2</v>
      </c>
      <c r="C81" s="6">
        <v>806.2</v>
      </c>
      <c r="D81" s="6">
        <v>834.2</v>
      </c>
      <c r="E81" s="6">
        <v>862.2</v>
      </c>
      <c r="F81" s="6">
        <v>890.2</v>
      </c>
      <c r="G81" s="6">
        <v>918.2</v>
      </c>
      <c r="H81" s="6">
        <v>946.2</v>
      </c>
      <c r="I81">
        <v>1146.8499999999999</v>
      </c>
    </row>
    <row r="82" spans="1:9">
      <c r="A82" s="7">
        <v>38777</v>
      </c>
      <c r="B82" s="6">
        <v>636.1</v>
      </c>
      <c r="C82" s="6">
        <v>666.4</v>
      </c>
      <c r="D82" s="6">
        <v>696.8</v>
      </c>
      <c r="E82" s="6">
        <v>727.2</v>
      </c>
      <c r="F82" s="6">
        <v>757.8</v>
      </c>
      <c r="G82" s="6">
        <v>788.3</v>
      </c>
      <c r="H82" s="6">
        <v>819</v>
      </c>
      <c r="I82">
        <v>1027</v>
      </c>
    </row>
    <row r="83" spans="1:9">
      <c r="A83" s="7">
        <v>38808</v>
      </c>
      <c r="B83" s="6">
        <v>308.89999999999998</v>
      </c>
      <c r="C83" s="6">
        <v>335.3</v>
      </c>
      <c r="D83" s="6">
        <v>362.3</v>
      </c>
      <c r="E83" s="6">
        <v>389.6</v>
      </c>
      <c r="F83" s="6">
        <v>417.3</v>
      </c>
      <c r="G83" s="6">
        <v>445.4</v>
      </c>
      <c r="H83" s="6">
        <v>473.8</v>
      </c>
      <c r="I83">
        <v>661.8</v>
      </c>
    </row>
    <row r="84" spans="1:9">
      <c r="A84" s="7">
        <v>38838</v>
      </c>
      <c r="B84" s="6">
        <v>164.7</v>
      </c>
      <c r="C84" s="6">
        <v>185</v>
      </c>
      <c r="D84" s="6">
        <v>205.9</v>
      </c>
      <c r="E84" s="6">
        <v>227.4</v>
      </c>
      <c r="F84" s="6">
        <v>250.4</v>
      </c>
      <c r="G84" s="6">
        <v>274</v>
      </c>
      <c r="H84" s="6">
        <v>298.5</v>
      </c>
      <c r="I84">
        <v>469.7</v>
      </c>
    </row>
    <row r="85" spans="1:9">
      <c r="A85" s="7">
        <v>38869</v>
      </c>
      <c r="B85" s="6">
        <v>17.100000000000001</v>
      </c>
      <c r="C85" s="6">
        <v>23.2</v>
      </c>
      <c r="D85" s="6">
        <v>30.3</v>
      </c>
      <c r="E85" s="6">
        <v>38.700000000000003</v>
      </c>
      <c r="F85" s="6">
        <v>47.6</v>
      </c>
      <c r="G85" s="6">
        <v>57.8</v>
      </c>
      <c r="H85" s="6">
        <v>68.900000000000006</v>
      </c>
      <c r="I85">
        <v>172.05</v>
      </c>
    </row>
    <row r="86" spans="1:9">
      <c r="A86" s="7">
        <v>38899</v>
      </c>
      <c r="B86" s="6">
        <v>0</v>
      </c>
      <c r="C86" s="6">
        <v>0</v>
      </c>
      <c r="D86" s="6">
        <v>0</v>
      </c>
      <c r="E86" s="6">
        <v>0</v>
      </c>
      <c r="F86" s="6">
        <v>0</v>
      </c>
      <c r="G86" s="6">
        <v>0.3</v>
      </c>
      <c r="H86" s="6">
        <v>0.9</v>
      </c>
      <c r="I86">
        <v>38.4</v>
      </c>
    </row>
    <row r="87" spans="1:9">
      <c r="A87" s="7">
        <v>38930</v>
      </c>
      <c r="B87" s="6">
        <v>0.9</v>
      </c>
      <c r="C87" s="6">
        <v>2</v>
      </c>
      <c r="D87" s="6">
        <v>4.0999999999999996</v>
      </c>
      <c r="E87" s="6">
        <v>7.7</v>
      </c>
      <c r="F87" s="6">
        <v>12.7</v>
      </c>
      <c r="G87" s="6">
        <v>18.3</v>
      </c>
      <c r="H87" s="6">
        <v>25.3</v>
      </c>
      <c r="I87">
        <v>130.85</v>
      </c>
    </row>
    <row r="88" spans="1:9">
      <c r="A88" s="7">
        <v>38961</v>
      </c>
      <c r="B88" s="6">
        <v>19.8</v>
      </c>
      <c r="C88" s="6">
        <v>25.4</v>
      </c>
      <c r="D88" s="6">
        <v>32.1</v>
      </c>
      <c r="E88" s="6">
        <v>40.5</v>
      </c>
      <c r="F88" s="6">
        <v>50.8</v>
      </c>
      <c r="G88" s="6">
        <v>64.3</v>
      </c>
      <c r="H88" s="6">
        <v>80.400000000000006</v>
      </c>
      <c r="I88">
        <v>267.89999999999998</v>
      </c>
    </row>
    <row r="89" spans="1:9">
      <c r="A89" s="7">
        <v>38991</v>
      </c>
      <c r="B89" s="6">
        <v>193.9</v>
      </c>
      <c r="C89" s="6">
        <v>217.6</v>
      </c>
      <c r="D89" s="6">
        <v>242.6</v>
      </c>
      <c r="E89" s="6">
        <v>268.5</v>
      </c>
      <c r="F89" s="6">
        <v>295.10000000000002</v>
      </c>
      <c r="G89" s="6">
        <v>322.60000000000002</v>
      </c>
      <c r="H89" s="6">
        <v>350.9</v>
      </c>
      <c r="I89">
        <v>574.54999999999995</v>
      </c>
    </row>
    <row r="90" spans="1:9">
      <c r="A90" s="7">
        <v>39022</v>
      </c>
      <c r="B90" s="6">
        <v>315.60000000000002</v>
      </c>
      <c r="C90" s="6">
        <v>341.8</v>
      </c>
      <c r="D90" s="6">
        <v>368.4</v>
      </c>
      <c r="E90" s="6">
        <v>395.8</v>
      </c>
      <c r="F90" s="6">
        <v>423.9</v>
      </c>
      <c r="G90" s="6">
        <v>452.7</v>
      </c>
      <c r="H90" s="6">
        <v>481.6</v>
      </c>
      <c r="I90">
        <v>705.5</v>
      </c>
    </row>
    <row r="91" spans="1:9">
      <c r="A91" s="7">
        <v>39052</v>
      </c>
      <c r="B91" s="6">
        <v>559.1</v>
      </c>
      <c r="C91" s="6">
        <v>589.1</v>
      </c>
      <c r="D91" s="6">
        <v>619.20000000000005</v>
      </c>
      <c r="E91" s="6">
        <v>649.20000000000005</v>
      </c>
      <c r="F91" s="6">
        <v>679.4</v>
      </c>
      <c r="G91" s="6">
        <v>709.9</v>
      </c>
      <c r="H91" s="6">
        <v>740.6</v>
      </c>
      <c r="I91">
        <v>973.9</v>
      </c>
    </row>
    <row r="92" spans="1:9">
      <c r="A92" s="7">
        <v>39083</v>
      </c>
      <c r="B92" s="6">
        <v>808.8</v>
      </c>
      <c r="C92" s="6">
        <v>838.9</v>
      </c>
      <c r="D92" s="6">
        <v>869.2</v>
      </c>
      <c r="E92" s="6">
        <v>899.5</v>
      </c>
      <c r="F92" s="6">
        <v>930</v>
      </c>
      <c r="G92" s="6">
        <v>960.7</v>
      </c>
      <c r="H92" s="6">
        <v>991.5</v>
      </c>
      <c r="I92">
        <v>1217.8</v>
      </c>
    </row>
    <row r="93" spans="1:9">
      <c r="A93" s="7">
        <v>39114</v>
      </c>
      <c r="B93" s="6">
        <v>908.1</v>
      </c>
      <c r="C93" s="6">
        <v>936.1</v>
      </c>
      <c r="D93" s="6">
        <v>964.1</v>
      </c>
      <c r="E93" s="6">
        <v>992.1</v>
      </c>
      <c r="F93" s="6">
        <v>1020.1</v>
      </c>
      <c r="G93" s="6">
        <v>1048.0999999999999</v>
      </c>
      <c r="H93" s="6">
        <v>1076.0999999999999</v>
      </c>
      <c r="I93">
        <v>1284.8</v>
      </c>
    </row>
    <row r="94" spans="1:9">
      <c r="A94" s="7">
        <v>39142</v>
      </c>
      <c r="B94" s="6">
        <v>665.6</v>
      </c>
      <c r="C94" s="6">
        <v>696.1</v>
      </c>
      <c r="D94" s="6">
        <v>726.7</v>
      </c>
      <c r="E94" s="6">
        <v>757.4</v>
      </c>
      <c r="F94" s="6">
        <v>788.1</v>
      </c>
      <c r="G94" s="6">
        <v>818.9</v>
      </c>
      <c r="H94" s="6">
        <v>849.8</v>
      </c>
      <c r="I94">
        <v>1058</v>
      </c>
    </row>
    <row r="95" spans="1:9">
      <c r="A95" s="7">
        <v>39173</v>
      </c>
      <c r="B95" s="6">
        <v>439.9</v>
      </c>
      <c r="C95" s="6">
        <v>467.6</v>
      </c>
      <c r="D95" s="6">
        <v>495.1</v>
      </c>
      <c r="E95" s="6">
        <v>522.79999999999995</v>
      </c>
      <c r="F95" s="6">
        <v>550.79999999999995</v>
      </c>
      <c r="G95" s="6">
        <v>578.9</v>
      </c>
      <c r="H95" s="6">
        <v>607</v>
      </c>
      <c r="I95">
        <v>789.55</v>
      </c>
    </row>
    <row r="96" spans="1:9">
      <c r="A96" s="7">
        <v>39203</v>
      </c>
      <c r="B96" s="6">
        <v>108.3</v>
      </c>
      <c r="C96" s="6">
        <v>123.6</v>
      </c>
      <c r="D96" s="6">
        <v>139.69999999999999</v>
      </c>
      <c r="E96" s="6">
        <v>156.9</v>
      </c>
      <c r="F96" s="6">
        <v>175.2</v>
      </c>
      <c r="G96" s="6">
        <v>194.6</v>
      </c>
      <c r="H96" s="6">
        <v>215.3</v>
      </c>
      <c r="I96">
        <v>371.7</v>
      </c>
    </row>
    <row r="97" spans="1:9">
      <c r="A97" s="7">
        <v>39234</v>
      </c>
      <c r="B97" s="6">
        <v>16.600000000000001</v>
      </c>
      <c r="C97" s="6">
        <v>23</v>
      </c>
      <c r="D97" s="6">
        <v>30.6</v>
      </c>
      <c r="E97" s="6">
        <v>39.1</v>
      </c>
      <c r="F97" s="6">
        <v>47.9</v>
      </c>
      <c r="G97" s="6">
        <v>58.4</v>
      </c>
      <c r="H97" s="6">
        <v>69.5</v>
      </c>
      <c r="I97">
        <v>186.9</v>
      </c>
    </row>
    <row r="98" spans="1:9">
      <c r="A98" s="7">
        <v>39264</v>
      </c>
      <c r="B98" s="6">
        <v>0.5</v>
      </c>
      <c r="C98" s="6">
        <v>0.8</v>
      </c>
      <c r="D98" s="6">
        <v>1.6</v>
      </c>
      <c r="E98" s="6">
        <v>2.6</v>
      </c>
      <c r="F98" s="6">
        <v>4.0999999999999996</v>
      </c>
      <c r="G98" s="6">
        <v>6.2</v>
      </c>
      <c r="H98" s="6">
        <v>10.1</v>
      </c>
      <c r="I98">
        <v>87</v>
      </c>
    </row>
    <row r="99" spans="1:9">
      <c r="A99" s="7">
        <v>39295</v>
      </c>
      <c r="B99" s="6">
        <v>1.6</v>
      </c>
      <c r="C99" s="6">
        <v>3.1</v>
      </c>
      <c r="D99" s="6">
        <v>5</v>
      </c>
      <c r="E99" s="6">
        <v>7.4</v>
      </c>
      <c r="F99" s="6">
        <v>10.199999999999999</v>
      </c>
      <c r="G99" s="6">
        <v>14.8</v>
      </c>
      <c r="H99" s="6">
        <v>20.3</v>
      </c>
      <c r="I99">
        <v>102</v>
      </c>
    </row>
    <row r="100" spans="1:9">
      <c r="A100" s="7">
        <v>39326</v>
      </c>
      <c r="B100" s="6">
        <v>16.7</v>
      </c>
      <c r="C100" s="6">
        <v>21.4</v>
      </c>
      <c r="D100" s="6">
        <v>27.3</v>
      </c>
      <c r="E100" s="6">
        <v>36.200000000000003</v>
      </c>
      <c r="F100" s="6">
        <v>46.6</v>
      </c>
      <c r="G100" s="6">
        <v>59.5</v>
      </c>
      <c r="H100" s="6">
        <v>73.2</v>
      </c>
      <c r="I100">
        <v>220.05</v>
      </c>
    </row>
    <row r="101" spans="1:9">
      <c r="A101" s="7">
        <v>39356</v>
      </c>
      <c r="B101" s="6">
        <v>96.4</v>
      </c>
      <c r="C101" s="6">
        <v>115</v>
      </c>
      <c r="D101" s="6">
        <v>134.4</v>
      </c>
      <c r="E101" s="6">
        <v>155.19999999999999</v>
      </c>
      <c r="F101" s="6">
        <v>177.8</v>
      </c>
      <c r="G101" s="6">
        <v>201.7</v>
      </c>
      <c r="H101" s="6">
        <v>225.9</v>
      </c>
      <c r="I101">
        <v>430.65</v>
      </c>
    </row>
    <row r="102" spans="1:9">
      <c r="A102" s="7">
        <v>39387</v>
      </c>
      <c r="B102" s="6">
        <v>486.3</v>
      </c>
      <c r="C102" s="6">
        <v>515.29999999999995</v>
      </c>
      <c r="D102" s="6">
        <v>544.5</v>
      </c>
      <c r="E102" s="6">
        <v>573.9</v>
      </c>
      <c r="F102" s="6">
        <v>603.5</v>
      </c>
      <c r="G102" s="6">
        <v>633.1</v>
      </c>
      <c r="H102" s="6">
        <v>663</v>
      </c>
      <c r="I102">
        <v>898.3</v>
      </c>
    </row>
    <row r="103" spans="1:9">
      <c r="A103" s="7">
        <v>39417</v>
      </c>
      <c r="B103" s="6">
        <v>827.4</v>
      </c>
      <c r="C103" s="6">
        <v>858.4</v>
      </c>
      <c r="D103" s="6">
        <v>889.4</v>
      </c>
      <c r="E103" s="6">
        <v>920.4</v>
      </c>
      <c r="F103" s="6">
        <v>951.4</v>
      </c>
      <c r="G103" s="6">
        <v>982.4</v>
      </c>
      <c r="H103" s="6">
        <v>1013.4</v>
      </c>
      <c r="I103">
        <v>1261.25</v>
      </c>
    </row>
    <row r="104" spans="1:9">
      <c r="A104" s="7">
        <v>39448</v>
      </c>
      <c r="B104" s="6">
        <v>794</v>
      </c>
      <c r="C104" s="6">
        <v>824.7</v>
      </c>
      <c r="D104" s="6">
        <v>855.4</v>
      </c>
      <c r="E104" s="6">
        <v>886.2</v>
      </c>
      <c r="F104" s="6">
        <v>917</v>
      </c>
      <c r="G104" s="6">
        <v>947.9</v>
      </c>
      <c r="H104" s="6">
        <v>978.7</v>
      </c>
      <c r="I104">
        <v>1224.4000000000001</v>
      </c>
    </row>
    <row r="105" spans="1:9">
      <c r="A105" s="7">
        <v>39479</v>
      </c>
      <c r="B105" s="6">
        <v>761</v>
      </c>
      <c r="C105" s="6">
        <v>789.8</v>
      </c>
      <c r="D105" s="6">
        <v>818.6</v>
      </c>
      <c r="E105" s="6">
        <v>847.6</v>
      </c>
      <c r="F105" s="6">
        <v>876.6</v>
      </c>
      <c r="G105" s="6">
        <v>905.6</v>
      </c>
      <c r="H105" s="6">
        <v>934.6</v>
      </c>
      <c r="I105">
        <v>1155.4000000000001</v>
      </c>
    </row>
    <row r="106" spans="1:9">
      <c r="A106" s="7">
        <v>39508</v>
      </c>
      <c r="B106" s="6">
        <v>655.8</v>
      </c>
      <c r="C106" s="6">
        <v>686.8</v>
      </c>
      <c r="D106" s="6">
        <v>717.7</v>
      </c>
      <c r="E106" s="6">
        <v>748.7</v>
      </c>
      <c r="F106" s="6">
        <v>779.7</v>
      </c>
      <c r="G106" s="6">
        <v>810.6</v>
      </c>
      <c r="H106" s="6">
        <v>841.6</v>
      </c>
      <c r="I106">
        <v>1058.4499999999998</v>
      </c>
    </row>
    <row r="107" spans="1:9">
      <c r="A107" s="7">
        <v>39539</v>
      </c>
      <c r="B107" s="6">
        <v>322.3</v>
      </c>
      <c r="C107" s="6">
        <v>349</v>
      </c>
      <c r="D107" s="6">
        <v>376.1</v>
      </c>
      <c r="E107" s="6">
        <v>403.7</v>
      </c>
      <c r="F107" s="6">
        <v>431.4</v>
      </c>
      <c r="G107" s="6">
        <v>459.3</v>
      </c>
      <c r="H107" s="6">
        <v>487.5</v>
      </c>
      <c r="I107">
        <v>665.59999999999991</v>
      </c>
    </row>
    <row r="108" spans="1:9">
      <c r="A108" s="7">
        <v>39569</v>
      </c>
      <c r="B108" s="6">
        <v>135.19999999999999</v>
      </c>
      <c r="C108" s="6">
        <v>155.19999999999999</v>
      </c>
      <c r="D108" s="6">
        <v>176</v>
      </c>
      <c r="E108" s="6">
        <v>198.4</v>
      </c>
      <c r="F108" s="6">
        <v>220.9</v>
      </c>
      <c r="G108" s="6">
        <v>244.9</v>
      </c>
      <c r="H108" s="6">
        <v>270.39999999999998</v>
      </c>
      <c r="I108">
        <v>458.45</v>
      </c>
    </row>
    <row r="109" spans="1:9">
      <c r="A109" s="7">
        <v>39600</v>
      </c>
      <c r="B109" s="6">
        <v>7.8</v>
      </c>
      <c r="C109" s="6">
        <v>10.9</v>
      </c>
      <c r="D109" s="6">
        <v>15.1</v>
      </c>
      <c r="E109" s="6">
        <v>20.5</v>
      </c>
      <c r="F109" s="6">
        <v>26.3</v>
      </c>
      <c r="G109" s="6">
        <v>33.799999999999997</v>
      </c>
      <c r="H109" s="6">
        <v>42.7</v>
      </c>
      <c r="I109">
        <v>146.69999999999999</v>
      </c>
    </row>
    <row r="110" spans="1:9">
      <c r="A110" s="7">
        <v>39630</v>
      </c>
      <c r="B110" s="6">
        <v>0</v>
      </c>
      <c r="C110" s="6">
        <v>0</v>
      </c>
      <c r="D110" s="6">
        <v>0</v>
      </c>
      <c r="E110" s="6">
        <v>0</v>
      </c>
      <c r="F110" s="6">
        <v>0.3</v>
      </c>
      <c r="G110" s="6">
        <v>1</v>
      </c>
      <c r="H110" s="6">
        <v>2.2000000000000002</v>
      </c>
      <c r="I110">
        <v>49.25</v>
      </c>
    </row>
    <row r="111" spans="1:9">
      <c r="A111" s="7">
        <v>39661</v>
      </c>
      <c r="B111" s="6">
        <v>0.4</v>
      </c>
      <c r="C111" s="6">
        <v>0.8</v>
      </c>
      <c r="D111" s="6">
        <v>1.7</v>
      </c>
      <c r="E111" s="6">
        <v>2.9</v>
      </c>
      <c r="F111" s="6">
        <v>4.8</v>
      </c>
      <c r="G111" s="6">
        <v>7.7</v>
      </c>
      <c r="H111" s="6">
        <v>12.8</v>
      </c>
      <c r="I111">
        <v>125.4</v>
      </c>
    </row>
    <row r="112" spans="1:9">
      <c r="A112" s="7">
        <v>39692</v>
      </c>
      <c r="B112" s="6">
        <v>24</v>
      </c>
      <c r="C112" s="6">
        <v>30.1</v>
      </c>
      <c r="D112" s="6">
        <v>38.200000000000003</v>
      </c>
      <c r="E112" s="6">
        <v>48.2</v>
      </c>
      <c r="F112" s="6">
        <v>59.7</v>
      </c>
      <c r="G112" s="6">
        <v>73.3</v>
      </c>
      <c r="H112" s="6">
        <v>88.4</v>
      </c>
      <c r="I112">
        <v>246.1</v>
      </c>
    </row>
    <row r="113" spans="1:9">
      <c r="A113" s="7">
        <v>39722</v>
      </c>
      <c r="B113" s="6">
        <v>211.9</v>
      </c>
      <c r="C113" s="6">
        <v>234.2</v>
      </c>
      <c r="D113" s="6">
        <v>258.3</v>
      </c>
      <c r="E113" s="6">
        <v>284.3</v>
      </c>
      <c r="F113" s="6">
        <v>310.89999999999998</v>
      </c>
      <c r="G113" s="6">
        <v>339.2</v>
      </c>
      <c r="H113" s="6">
        <v>367.8</v>
      </c>
      <c r="I113">
        <v>603.29999999999995</v>
      </c>
    </row>
    <row r="114" spans="1:9">
      <c r="A114" s="7">
        <v>39753</v>
      </c>
      <c r="B114" s="6">
        <v>476.1</v>
      </c>
      <c r="C114" s="6">
        <v>504.9</v>
      </c>
      <c r="D114" s="6">
        <v>533.9</v>
      </c>
      <c r="E114" s="6">
        <v>563.1</v>
      </c>
      <c r="F114" s="6">
        <v>592.29999999999995</v>
      </c>
      <c r="G114" s="6">
        <v>621.70000000000005</v>
      </c>
      <c r="H114" s="6">
        <v>651.1</v>
      </c>
      <c r="I114">
        <v>870.2</v>
      </c>
    </row>
    <row r="115" spans="1:9">
      <c r="A115" s="7">
        <v>39783</v>
      </c>
      <c r="B115" s="6">
        <v>716.5</v>
      </c>
      <c r="C115" s="6">
        <v>746.2</v>
      </c>
      <c r="D115" s="6">
        <v>776.3</v>
      </c>
      <c r="E115" s="6">
        <v>807</v>
      </c>
      <c r="F115" s="6">
        <v>837.8</v>
      </c>
      <c r="G115" s="6">
        <v>868.8</v>
      </c>
      <c r="H115" s="6">
        <v>899.8</v>
      </c>
      <c r="I115">
        <v>1136</v>
      </c>
    </row>
    <row r="116" spans="1:9">
      <c r="A116" s="7">
        <v>39814</v>
      </c>
      <c r="B116" s="6">
        <v>1045.9000000000001</v>
      </c>
      <c r="C116" s="6">
        <v>1076.9000000000001</v>
      </c>
      <c r="D116" s="6">
        <v>1107.9000000000001</v>
      </c>
      <c r="E116" s="6">
        <v>1138.9000000000001</v>
      </c>
      <c r="F116" s="6">
        <v>1169.9000000000001</v>
      </c>
      <c r="G116" s="6">
        <v>1200.9000000000001</v>
      </c>
      <c r="H116" s="6">
        <v>1231.9000000000001</v>
      </c>
      <c r="I116">
        <v>1473.6</v>
      </c>
    </row>
    <row r="117" spans="1:9">
      <c r="A117" s="7">
        <v>39845</v>
      </c>
      <c r="B117" s="6">
        <v>733.8</v>
      </c>
      <c r="C117" s="6">
        <v>761.8</v>
      </c>
      <c r="D117" s="6">
        <v>789.8</v>
      </c>
      <c r="E117" s="6">
        <v>817.8</v>
      </c>
      <c r="F117" s="6">
        <v>845.8</v>
      </c>
      <c r="G117" s="6">
        <v>873.8</v>
      </c>
      <c r="H117" s="6">
        <v>901.8</v>
      </c>
      <c r="I117">
        <v>1104.8</v>
      </c>
    </row>
    <row r="118" spans="1:9">
      <c r="A118" s="7">
        <v>39873</v>
      </c>
      <c r="B118" s="6">
        <v>673.2</v>
      </c>
      <c r="C118" s="6">
        <v>703.9</v>
      </c>
      <c r="D118" s="6">
        <v>734.9</v>
      </c>
      <c r="E118" s="6">
        <v>765.8</v>
      </c>
      <c r="F118" s="6">
        <v>796.8</v>
      </c>
      <c r="G118" s="6">
        <v>827.7</v>
      </c>
      <c r="H118" s="6">
        <v>858.7</v>
      </c>
      <c r="I118">
        <v>1060.6500000000001</v>
      </c>
    </row>
    <row r="119" spans="1:9">
      <c r="A119" s="7">
        <v>39904</v>
      </c>
      <c r="B119" s="6">
        <v>314.10000000000002</v>
      </c>
      <c r="C119" s="6">
        <v>339.8</v>
      </c>
      <c r="D119" s="6">
        <v>366.1</v>
      </c>
      <c r="E119" s="6">
        <v>392.5</v>
      </c>
      <c r="F119" s="6">
        <v>419.3</v>
      </c>
      <c r="G119" s="6">
        <v>446.4</v>
      </c>
      <c r="H119" s="6">
        <v>473.8</v>
      </c>
      <c r="I119">
        <v>644.29999999999995</v>
      </c>
    </row>
    <row r="120" spans="1:9">
      <c r="A120" s="7">
        <v>39934</v>
      </c>
      <c r="B120" s="6">
        <v>101.9</v>
      </c>
      <c r="C120" s="6">
        <v>119.3</v>
      </c>
      <c r="D120" s="6">
        <v>138</v>
      </c>
      <c r="E120" s="6">
        <v>157.69999999999999</v>
      </c>
      <c r="F120" s="6">
        <v>178.7</v>
      </c>
      <c r="G120" s="6">
        <v>201</v>
      </c>
      <c r="H120" s="6">
        <v>224.5</v>
      </c>
      <c r="I120">
        <v>388.9</v>
      </c>
    </row>
    <row r="121" spans="1:9">
      <c r="A121" s="7">
        <v>39965</v>
      </c>
      <c r="B121" s="6">
        <v>22.7</v>
      </c>
      <c r="C121" s="6">
        <v>31.4</v>
      </c>
      <c r="D121" s="6">
        <v>41.7</v>
      </c>
      <c r="E121" s="6">
        <v>55.6</v>
      </c>
      <c r="F121" s="6">
        <v>71.5</v>
      </c>
      <c r="G121" s="6">
        <v>91</v>
      </c>
      <c r="H121" s="6">
        <v>112.1</v>
      </c>
      <c r="I121">
        <v>259.8</v>
      </c>
    </row>
    <row r="122" spans="1:9">
      <c r="A122" s="7">
        <v>39995</v>
      </c>
      <c r="B122" s="6">
        <v>0.4</v>
      </c>
      <c r="C122" s="6">
        <v>1.8</v>
      </c>
      <c r="D122" s="6">
        <v>3.8</v>
      </c>
      <c r="E122" s="6">
        <v>7.4</v>
      </c>
      <c r="F122" s="6">
        <v>12.3</v>
      </c>
      <c r="G122" s="6">
        <v>19.2</v>
      </c>
      <c r="H122" s="6">
        <v>27.6</v>
      </c>
      <c r="I122">
        <v>130.35</v>
      </c>
    </row>
    <row r="123" spans="1:9">
      <c r="A123" s="7">
        <v>40026</v>
      </c>
      <c r="B123" s="6">
        <v>1.6</v>
      </c>
      <c r="C123" s="6">
        <v>2.4</v>
      </c>
      <c r="D123" s="6">
        <v>3.2</v>
      </c>
      <c r="E123" s="6">
        <v>4.7</v>
      </c>
      <c r="F123" s="6">
        <v>6.6</v>
      </c>
      <c r="G123" s="6">
        <v>8.9</v>
      </c>
      <c r="H123" s="6">
        <v>12.2</v>
      </c>
      <c r="I123">
        <v>80</v>
      </c>
    </row>
    <row r="124" spans="1:9">
      <c r="A124" s="7">
        <v>40057</v>
      </c>
      <c r="B124" s="6">
        <v>25.4</v>
      </c>
      <c r="C124" s="6">
        <v>33.700000000000003</v>
      </c>
      <c r="D124" s="6">
        <v>43.7</v>
      </c>
      <c r="E124" s="6">
        <v>55.6</v>
      </c>
      <c r="F124" s="6">
        <v>69.599999999999994</v>
      </c>
      <c r="G124" s="6">
        <v>86</v>
      </c>
      <c r="H124" s="6">
        <v>104.5</v>
      </c>
      <c r="I124">
        <v>293.5</v>
      </c>
    </row>
    <row r="125" spans="1:9">
      <c r="A125" s="7">
        <v>40087</v>
      </c>
      <c r="B125" s="6">
        <v>247.9</v>
      </c>
      <c r="C125" s="6">
        <v>273</v>
      </c>
      <c r="D125" s="6">
        <v>298.89999999999998</v>
      </c>
      <c r="E125" s="6">
        <v>326.2</v>
      </c>
      <c r="F125" s="6">
        <v>354</v>
      </c>
      <c r="G125" s="6">
        <v>382.4</v>
      </c>
      <c r="H125" s="6">
        <v>411.7</v>
      </c>
      <c r="I125">
        <v>637.84999999999991</v>
      </c>
    </row>
    <row r="126" spans="1:9">
      <c r="A126" s="7">
        <v>40118</v>
      </c>
      <c r="B126" s="6">
        <v>310.8</v>
      </c>
      <c r="C126" s="6">
        <v>339.3</v>
      </c>
      <c r="D126" s="6">
        <v>368.1</v>
      </c>
      <c r="E126" s="6">
        <v>397.1</v>
      </c>
      <c r="F126" s="6">
        <v>426.2</v>
      </c>
      <c r="G126" s="6">
        <v>455.4</v>
      </c>
      <c r="H126" s="6">
        <v>484.9</v>
      </c>
      <c r="I126">
        <v>718</v>
      </c>
    </row>
    <row r="127" spans="1:9">
      <c r="A127" s="7">
        <v>40148</v>
      </c>
      <c r="B127" s="6">
        <v>804.7</v>
      </c>
      <c r="C127" s="6">
        <v>835.2</v>
      </c>
      <c r="D127" s="6">
        <v>865.6</v>
      </c>
      <c r="E127" s="6">
        <v>896.2</v>
      </c>
      <c r="F127" s="6">
        <v>926.8</v>
      </c>
      <c r="G127" s="6">
        <v>957.4</v>
      </c>
      <c r="H127" s="6">
        <v>988.1</v>
      </c>
      <c r="I127">
        <v>1222.6500000000001</v>
      </c>
    </row>
    <row r="128" spans="1:9">
      <c r="A128" s="7">
        <v>40179</v>
      </c>
      <c r="B128" s="6">
        <v>909.8</v>
      </c>
      <c r="C128" s="6">
        <v>940.8</v>
      </c>
      <c r="D128" s="6">
        <v>971.8</v>
      </c>
      <c r="E128" s="6">
        <v>1002.8</v>
      </c>
      <c r="F128" s="6">
        <v>1033.8</v>
      </c>
      <c r="G128" s="6">
        <v>1064.8</v>
      </c>
      <c r="H128" s="6">
        <v>1095.8</v>
      </c>
      <c r="I128">
        <v>1329.35</v>
      </c>
    </row>
    <row r="129" spans="1:9">
      <c r="A129" s="7">
        <v>40210</v>
      </c>
      <c r="B129" s="6">
        <v>733.3</v>
      </c>
      <c r="C129" s="6">
        <v>761.3</v>
      </c>
      <c r="D129" s="6">
        <v>789.3</v>
      </c>
      <c r="E129" s="6">
        <v>817.3</v>
      </c>
      <c r="F129" s="6">
        <v>845.3</v>
      </c>
      <c r="G129" s="6">
        <v>873.3</v>
      </c>
      <c r="H129" s="6">
        <v>901.3</v>
      </c>
      <c r="I129">
        <v>1100.4499999999998</v>
      </c>
    </row>
    <row r="130" spans="1:9">
      <c r="A130" s="7">
        <v>40238</v>
      </c>
      <c r="B130" s="6">
        <v>478.3</v>
      </c>
      <c r="C130" s="6">
        <v>507.7</v>
      </c>
      <c r="D130" s="6">
        <v>537.4</v>
      </c>
      <c r="E130" s="6">
        <v>567.1</v>
      </c>
      <c r="F130" s="6">
        <v>597.1</v>
      </c>
      <c r="G130" s="6">
        <v>627.1</v>
      </c>
      <c r="H130" s="6">
        <v>657.5</v>
      </c>
      <c r="I130">
        <v>865.25</v>
      </c>
    </row>
    <row r="131" spans="1:9">
      <c r="A131" s="7">
        <v>40269</v>
      </c>
      <c r="B131" s="6">
        <v>231</v>
      </c>
      <c r="C131" s="6">
        <v>254.8</v>
      </c>
      <c r="D131" s="6">
        <v>279.60000000000002</v>
      </c>
      <c r="E131" s="6">
        <v>305.3</v>
      </c>
      <c r="F131" s="6">
        <v>331.5</v>
      </c>
      <c r="G131" s="6">
        <v>357.8</v>
      </c>
      <c r="H131" s="6">
        <v>384.5</v>
      </c>
      <c r="I131">
        <v>572.65</v>
      </c>
    </row>
    <row r="132" spans="1:9">
      <c r="A132" s="7">
        <v>40299</v>
      </c>
      <c r="B132" s="6">
        <v>75.900000000000006</v>
      </c>
      <c r="C132" s="6">
        <v>88.9</v>
      </c>
      <c r="D132" s="6">
        <v>103.4</v>
      </c>
      <c r="E132" s="6">
        <v>119.1</v>
      </c>
      <c r="F132" s="6">
        <v>135.4</v>
      </c>
      <c r="G132" s="6">
        <v>152.80000000000001</v>
      </c>
      <c r="H132" s="6">
        <v>171.4</v>
      </c>
      <c r="I132">
        <v>321.39999999999998</v>
      </c>
    </row>
    <row r="133" spans="1:9">
      <c r="A133" s="7">
        <v>40330</v>
      </c>
      <c r="B133" s="6">
        <v>6.1</v>
      </c>
      <c r="C133" s="6">
        <v>9.3000000000000007</v>
      </c>
      <c r="D133" s="6">
        <v>13.5</v>
      </c>
      <c r="E133" s="6">
        <v>19</v>
      </c>
      <c r="F133" s="6">
        <v>25.4</v>
      </c>
      <c r="G133" s="6">
        <v>32.9</v>
      </c>
      <c r="H133" s="6">
        <v>42</v>
      </c>
      <c r="I133">
        <v>136.80000000000001</v>
      </c>
    </row>
    <row r="134" spans="1:9">
      <c r="A134" s="7">
        <v>40360</v>
      </c>
      <c r="B134" s="6">
        <v>0</v>
      </c>
      <c r="C134" s="6">
        <v>0</v>
      </c>
      <c r="D134" s="6">
        <v>0.1</v>
      </c>
      <c r="E134" s="6">
        <v>0.3</v>
      </c>
      <c r="F134" s="6">
        <v>0.9</v>
      </c>
      <c r="G134" s="6">
        <v>1.7</v>
      </c>
      <c r="H134" s="6">
        <v>2.6</v>
      </c>
      <c r="I134">
        <v>42.05</v>
      </c>
    </row>
    <row r="135" spans="1:9">
      <c r="A135" s="7">
        <v>40391</v>
      </c>
      <c r="B135" s="6">
        <v>0</v>
      </c>
      <c r="C135" s="6">
        <v>0</v>
      </c>
      <c r="D135" s="6">
        <v>0</v>
      </c>
      <c r="E135" s="6">
        <v>0.6</v>
      </c>
      <c r="F135" s="6">
        <v>2.1</v>
      </c>
      <c r="G135" s="6">
        <v>5.2</v>
      </c>
      <c r="H135" s="6">
        <v>9.9</v>
      </c>
      <c r="I135">
        <v>89.949999999999989</v>
      </c>
    </row>
    <row r="136" spans="1:9">
      <c r="A136" s="7">
        <v>40422</v>
      </c>
      <c r="B136" s="6">
        <v>5.8</v>
      </c>
      <c r="C136" s="6">
        <v>10.1</v>
      </c>
      <c r="D136" s="6">
        <v>15.8</v>
      </c>
      <c r="E136" s="6">
        <v>23.5</v>
      </c>
      <c r="F136" s="6">
        <v>32.799999999999997</v>
      </c>
      <c r="G136" s="6">
        <v>43.5</v>
      </c>
      <c r="H136" s="6">
        <v>55.1</v>
      </c>
      <c r="I136">
        <v>187.35</v>
      </c>
    </row>
    <row r="137" spans="1:9">
      <c r="A137" s="7">
        <v>40452</v>
      </c>
      <c r="B137" s="6">
        <v>167.3</v>
      </c>
      <c r="C137" s="6">
        <v>191.4</v>
      </c>
      <c r="D137" s="6">
        <v>216.3</v>
      </c>
      <c r="E137" s="6">
        <v>241.6</v>
      </c>
      <c r="F137" s="6">
        <v>266.8</v>
      </c>
      <c r="G137" s="6">
        <v>293</v>
      </c>
      <c r="H137" s="6">
        <v>320.2</v>
      </c>
      <c r="I137">
        <v>555.1</v>
      </c>
    </row>
    <row r="138" spans="1:9">
      <c r="A138" s="7">
        <v>40483</v>
      </c>
      <c r="B138" s="6">
        <v>428.6</v>
      </c>
      <c r="C138" s="6">
        <v>458</v>
      </c>
      <c r="D138" s="6">
        <v>487.7</v>
      </c>
      <c r="E138" s="6">
        <v>517.5</v>
      </c>
      <c r="F138" s="6">
        <v>547.5</v>
      </c>
      <c r="G138" s="6">
        <v>577.5</v>
      </c>
      <c r="H138" s="6">
        <v>607.5</v>
      </c>
      <c r="I138">
        <v>838.95</v>
      </c>
    </row>
    <row r="139" spans="1:9">
      <c r="A139" s="7">
        <v>40513</v>
      </c>
      <c r="B139" s="6">
        <v>823.9</v>
      </c>
      <c r="C139" s="6">
        <v>854.9</v>
      </c>
      <c r="D139" s="6">
        <v>885.9</v>
      </c>
      <c r="E139" s="6">
        <v>916.9</v>
      </c>
      <c r="F139" s="6">
        <v>947.9</v>
      </c>
      <c r="G139" s="6">
        <v>978.9</v>
      </c>
      <c r="H139" s="6">
        <v>1009.9</v>
      </c>
      <c r="I139">
        <v>1245.5</v>
      </c>
    </row>
    <row r="140" spans="1:9">
      <c r="A140" s="7">
        <v>40544</v>
      </c>
      <c r="B140" s="6">
        <v>968.4</v>
      </c>
      <c r="C140" s="6">
        <v>999.4</v>
      </c>
      <c r="D140" s="6">
        <v>1030.4000000000001</v>
      </c>
      <c r="E140" s="6">
        <v>1061.4000000000001</v>
      </c>
      <c r="F140" s="6">
        <v>1092.4000000000001</v>
      </c>
      <c r="G140" s="6">
        <v>1123.4000000000001</v>
      </c>
      <c r="H140" s="6">
        <v>1154.4000000000001</v>
      </c>
      <c r="I140">
        <v>1412.5</v>
      </c>
    </row>
    <row r="141" spans="1:9">
      <c r="A141" s="7">
        <v>40575</v>
      </c>
      <c r="B141" s="6">
        <v>795.7</v>
      </c>
      <c r="C141" s="6">
        <v>823.7</v>
      </c>
      <c r="D141" s="6">
        <v>851.7</v>
      </c>
      <c r="E141" s="6">
        <v>879.7</v>
      </c>
      <c r="F141" s="6">
        <v>907.7</v>
      </c>
      <c r="G141" s="6">
        <v>935.7</v>
      </c>
      <c r="H141" s="6">
        <v>963.7</v>
      </c>
      <c r="I141">
        <v>1184.5999999999999</v>
      </c>
    </row>
    <row r="142" spans="1:9">
      <c r="A142" s="7">
        <v>40603</v>
      </c>
      <c r="B142" s="6">
        <v>629.79999999999995</v>
      </c>
      <c r="C142" s="6">
        <v>660</v>
      </c>
      <c r="D142" s="6">
        <v>690.5</v>
      </c>
      <c r="E142" s="6">
        <v>721.1</v>
      </c>
      <c r="F142" s="6">
        <v>751.5</v>
      </c>
      <c r="G142" s="6">
        <v>782.3</v>
      </c>
      <c r="H142" s="6">
        <v>812.9</v>
      </c>
      <c r="I142">
        <v>1033.7</v>
      </c>
    </row>
    <row r="143" spans="1:9">
      <c r="A143" s="7">
        <v>40634</v>
      </c>
      <c r="B143" s="6">
        <v>308</v>
      </c>
      <c r="C143" s="6">
        <v>333.3</v>
      </c>
      <c r="D143" s="6">
        <v>359.4</v>
      </c>
      <c r="E143" s="6">
        <v>386</v>
      </c>
      <c r="F143" s="6">
        <v>412.9</v>
      </c>
      <c r="G143" s="6">
        <v>440</v>
      </c>
      <c r="H143" s="6">
        <v>467.9</v>
      </c>
      <c r="I143">
        <v>656.75</v>
      </c>
    </row>
    <row r="144" spans="1:9">
      <c r="A144" s="7">
        <v>40664</v>
      </c>
      <c r="B144" s="6">
        <v>125.1</v>
      </c>
      <c r="C144" s="6">
        <v>145</v>
      </c>
      <c r="D144" s="6">
        <v>165.5</v>
      </c>
      <c r="E144" s="6">
        <v>186.6</v>
      </c>
      <c r="F144" s="6">
        <v>208.8</v>
      </c>
      <c r="G144" s="6">
        <v>231.6</v>
      </c>
      <c r="H144" s="6">
        <v>255</v>
      </c>
      <c r="I144">
        <v>413.7</v>
      </c>
    </row>
    <row r="145" spans="1:9">
      <c r="A145" s="7">
        <v>40695</v>
      </c>
      <c r="B145" s="6">
        <v>16.399999999999999</v>
      </c>
      <c r="C145" s="6">
        <v>23.6</v>
      </c>
      <c r="D145" s="6">
        <v>31.5</v>
      </c>
      <c r="E145" s="6">
        <v>40.700000000000003</v>
      </c>
      <c r="F145" s="6">
        <v>51.1</v>
      </c>
      <c r="G145" s="6">
        <v>62.8</v>
      </c>
      <c r="H145" s="6">
        <v>75.2</v>
      </c>
      <c r="I145">
        <v>200.39999999999998</v>
      </c>
    </row>
    <row r="146" spans="1:9">
      <c r="A146" s="7">
        <v>40725</v>
      </c>
      <c r="B146" s="6">
        <v>0</v>
      </c>
      <c r="C146" s="6">
        <v>0</v>
      </c>
      <c r="D146" s="6">
        <v>0</v>
      </c>
      <c r="E146" s="6">
        <v>0</v>
      </c>
      <c r="F146" s="6">
        <v>0</v>
      </c>
      <c r="G146" s="6">
        <v>0</v>
      </c>
      <c r="H146" s="6">
        <v>0.3</v>
      </c>
      <c r="I146">
        <v>45.25</v>
      </c>
    </row>
    <row r="147" spans="1:9">
      <c r="A147" s="7">
        <v>40756</v>
      </c>
      <c r="B147" s="6">
        <v>0</v>
      </c>
      <c r="C147" s="6">
        <v>0</v>
      </c>
      <c r="D147" s="6">
        <v>0</v>
      </c>
      <c r="E147" s="6">
        <v>0</v>
      </c>
      <c r="F147" s="6">
        <v>0.1</v>
      </c>
      <c r="G147" s="6">
        <v>0.8</v>
      </c>
      <c r="H147" s="6">
        <v>2.1</v>
      </c>
      <c r="I147">
        <v>67.45</v>
      </c>
    </row>
    <row r="148" spans="1:9">
      <c r="A148" s="7">
        <v>40787</v>
      </c>
      <c r="B148" s="6">
        <v>11.4</v>
      </c>
      <c r="C148" s="6">
        <v>15.2</v>
      </c>
      <c r="D148" s="6">
        <v>20</v>
      </c>
      <c r="E148" s="6">
        <v>26.6</v>
      </c>
      <c r="F148" s="6">
        <v>35.6</v>
      </c>
      <c r="G148" s="6">
        <v>45.5</v>
      </c>
      <c r="H148" s="6">
        <v>57.1</v>
      </c>
      <c r="I148">
        <v>190.8</v>
      </c>
    </row>
    <row r="149" spans="1:9">
      <c r="A149" s="7">
        <v>40817</v>
      </c>
      <c r="B149" s="6">
        <v>134</v>
      </c>
      <c r="C149" s="6">
        <v>151.5</v>
      </c>
      <c r="D149" s="6">
        <v>171.3</v>
      </c>
      <c r="E149" s="6">
        <v>192.9</v>
      </c>
      <c r="F149" s="6">
        <v>216</v>
      </c>
      <c r="G149" s="6">
        <v>240.8</v>
      </c>
      <c r="H149" s="6">
        <v>266.3</v>
      </c>
      <c r="I149">
        <v>516.35</v>
      </c>
    </row>
    <row r="150" spans="1:9">
      <c r="A150" s="7">
        <v>40848</v>
      </c>
      <c r="B150" s="6">
        <v>282.3</v>
      </c>
      <c r="C150" s="6">
        <v>308.3</v>
      </c>
      <c r="D150" s="6">
        <v>335.1</v>
      </c>
      <c r="E150" s="6">
        <v>362.4</v>
      </c>
      <c r="F150" s="6">
        <v>390.5</v>
      </c>
      <c r="G150" s="6">
        <v>419.4</v>
      </c>
      <c r="H150" s="6">
        <v>448.3</v>
      </c>
      <c r="I150">
        <v>684.75</v>
      </c>
    </row>
    <row r="151" spans="1:9">
      <c r="A151" s="7">
        <v>40878</v>
      </c>
      <c r="B151" s="6">
        <v>579.20000000000005</v>
      </c>
      <c r="C151" s="6">
        <v>609.70000000000005</v>
      </c>
      <c r="D151" s="6">
        <v>640.5</v>
      </c>
      <c r="E151" s="6">
        <v>671.5</v>
      </c>
      <c r="F151" s="6">
        <v>702.5</v>
      </c>
      <c r="G151" s="6">
        <v>733.5</v>
      </c>
      <c r="H151" s="6">
        <v>764.5</v>
      </c>
      <c r="I151">
        <v>1009.15</v>
      </c>
    </row>
    <row r="152" spans="1:9">
      <c r="A152" s="7">
        <v>40909</v>
      </c>
      <c r="B152" s="6">
        <v>773</v>
      </c>
      <c r="C152" s="6">
        <v>804</v>
      </c>
      <c r="D152" s="6">
        <v>835</v>
      </c>
      <c r="E152" s="6">
        <v>866</v>
      </c>
      <c r="F152" s="6">
        <v>897</v>
      </c>
      <c r="G152" s="6">
        <v>928</v>
      </c>
      <c r="H152" s="6">
        <v>959</v>
      </c>
      <c r="I152">
        <v>1191.8499999999999</v>
      </c>
    </row>
    <row r="153" spans="1:9">
      <c r="A153" s="7">
        <v>40940</v>
      </c>
      <c r="B153" s="6">
        <v>627</v>
      </c>
      <c r="C153" s="6">
        <v>656</v>
      </c>
      <c r="D153" s="6">
        <v>685</v>
      </c>
      <c r="E153" s="6">
        <v>714</v>
      </c>
      <c r="F153" s="6">
        <v>743</v>
      </c>
      <c r="G153" s="6">
        <v>772</v>
      </c>
      <c r="H153" s="6">
        <v>801</v>
      </c>
      <c r="I153">
        <v>1022.1</v>
      </c>
    </row>
    <row r="154" spans="1:9">
      <c r="A154" s="7">
        <v>40969</v>
      </c>
      <c r="B154" s="6">
        <v>444.5</v>
      </c>
      <c r="C154" s="6">
        <v>470.6</v>
      </c>
      <c r="D154" s="6">
        <v>497.3</v>
      </c>
      <c r="E154" s="6">
        <v>524.4</v>
      </c>
      <c r="F154" s="6">
        <v>552.1</v>
      </c>
      <c r="G154" s="6">
        <v>579.70000000000005</v>
      </c>
      <c r="H154" s="6">
        <v>607.70000000000005</v>
      </c>
      <c r="I154">
        <v>801.7</v>
      </c>
    </row>
    <row r="155" spans="1:9">
      <c r="A155" s="7">
        <v>41000</v>
      </c>
      <c r="B155" s="6">
        <v>244.3</v>
      </c>
      <c r="C155" s="6">
        <v>268.10000000000002</v>
      </c>
      <c r="D155" s="6">
        <v>292.7</v>
      </c>
      <c r="E155" s="6">
        <v>318.2</v>
      </c>
      <c r="F155" s="6">
        <v>344.1</v>
      </c>
      <c r="G155" s="6">
        <v>370.7</v>
      </c>
      <c r="H155" s="6">
        <v>397.5</v>
      </c>
      <c r="I155">
        <v>595.54999999999995</v>
      </c>
    </row>
    <row r="156" spans="1:9">
      <c r="A156" s="7">
        <v>41030</v>
      </c>
      <c r="B156" s="6">
        <v>89.6</v>
      </c>
      <c r="C156" s="6">
        <v>104.9</v>
      </c>
      <c r="D156" s="6">
        <v>121.2</v>
      </c>
      <c r="E156" s="6">
        <v>140</v>
      </c>
      <c r="F156" s="6">
        <v>160</v>
      </c>
      <c r="G156" s="6">
        <v>181.3</v>
      </c>
      <c r="H156" s="6">
        <v>204</v>
      </c>
      <c r="I156">
        <v>357.04999999999995</v>
      </c>
    </row>
    <row r="157" spans="1:9">
      <c r="A157" s="7">
        <v>41061</v>
      </c>
      <c r="B157" s="6">
        <v>26.6</v>
      </c>
      <c r="C157" s="6">
        <v>33.9</v>
      </c>
      <c r="D157" s="6">
        <v>42.8</v>
      </c>
      <c r="E157" s="6">
        <v>52.9</v>
      </c>
      <c r="F157" s="6">
        <v>65</v>
      </c>
      <c r="G157" s="6">
        <v>78.8</v>
      </c>
      <c r="H157" s="6">
        <v>93.7</v>
      </c>
      <c r="I157">
        <v>221.9</v>
      </c>
    </row>
    <row r="158" spans="1:9">
      <c r="A158" s="7">
        <v>41091</v>
      </c>
      <c r="B158" s="6">
        <v>0</v>
      </c>
      <c r="C158" s="6">
        <v>0</v>
      </c>
      <c r="D158" s="6">
        <v>0</v>
      </c>
      <c r="E158" s="6">
        <v>0</v>
      </c>
      <c r="F158" s="6">
        <v>0.2</v>
      </c>
      <c r="G158" s="6">
        <v>0.6</v>
      </c>
      <c r="H158" s="6">
        <v>1.5</v>
      </c>
      <c r="I158">
        <v>52.849999999999994</v>
      </c>
    </row>
    <row r="159" spans="1:9">
      <c r="A159" s="7">
        <v>41122</v>
      </c>
      <c r="B159" s="6">
        <v>0</v>
      </c>
      <c r="C159" s="6">
        <v>0</v>
      </c>
      <c r="D159" s="6">
        <v>0</v>
      </c>
      <c r="E159" s="6">
        <v>0</v>
      </c>
      <c r="F159" s="6">
        <v>0.1</v>
      </c>
      <c r="G159" s="6">
        <v>0.7</v>
      </c>
      <c r="H159" s="6">
        <v>1.5</v>
      </c>
      <c r="I159">
        <v>54.9</v>
      </c>
    </row>
    <row r="160" spans="1:9">
      <c r="A160" s="7">
        <v>41153</v>
      </c>
      <c r="B160" s="6">
        <v>24.3</v>
      </c>
      <c r="C160" s="6">
        <v>32.1</v>
      </c>
      <c r="D160" s="6">
        <v>41</v>
      </c>
      <c r="E160" s="6">
        <v>51.3</v>
      </c>
      <c r="F160" s="6">
        <v>62.8</v>
      </c>
      <c r="G160" s="6">
        <v>75.5</v>
      </c>
      <c r="H160" s="6">
        <v>90.3</v>
      </c>
      <c r="I160">
        <v>253.2</v>
      </c>
    </row>
    <row r="161" spans="1:9">
      <c r="A161" s="7">
        <v>41183</v>
      </c>
      <c r="B161" s="6">
        <v>130.69999999999999</v>
      </c>
      <c r="C161" s="6">
        <v>151.6</v>
      </c>
      <c r="D161" s="6">
        <v>174.9</v>
      </c>
      <c r="E161" s="6">
        <v>199.9</v>
      </c>
      <c r="F161" s="6">
        <v>225.9</v>
      </c>
      <c r="G161" s="6">
        <v>253.1</v>
      </c>
      <c r="H161" s="6">
        <v>281.10000000000002</v>
      </c>
      <c r="I161">
        <v>496.79999999999995</v>
      </c>
    </row>
    <row r="162" spans="1:9">
      <c r="A162" s="7">
        <v>41214</v>
      </c>
      <c r="B162" s="6">
        <v>520.79999999999995</v>
      </c>
      <c r="C162" s="6">
        <v>550.20000000000005</v>
      </c>
      <c r="D162" s="6">
        <v>579.70000000000005</v>
      </c>
      <c r="E162" s="6">
        <v>609.4</v>
      </c>
      <c r="F162" s="6">
        <v>639.20000000000005</v>
      </c>
      <c r="G162" s="6">
        <v>669.1</v>
      </c>
      <c r="H162" s="6">
        <v>699</v>
      </c>
      <c r="I162">
        <v>931.34999999999991</v>
      </c>
    </row>
    <row r="163" spans="1:9">
      <c r="A163" s="7">
        <v>41244</v>
      </c>
      <c r="B163" s="6">
        <v>636.5</v>
      </c>
      <c r="C163" s="6">
        <v>667.4</v>
      </c>
      <c r="D163" s="6">
        <v>698.4</v>
      </c>
      <c r="E163" s="6">
        <v>729.4</v>
      </c>
      <c r="F163" s="6">
        <v>760.4</v>
      </c>
      <c r="G163" s="6">
        <v>791.4</v>
      </c>
      <c r="H163" s="6">
        <v>822.4</v>
      </c>
      <c r="I163">
        <v>1068</v>
      </c>
    </row>
    <row r="164" spans="1:9">
      <c r="A164" s="7">
        <v>41275</v>
      </c>
      <c r="B164" s="6">
        <v>838</v>
      </c>
      <c r="C164" s="6">
        <v>868.9</v>
      </c>
      <c r="D164" s="6">
        <v>899.9</v>
      </c>
      <c r="E164" s="6">
        <v>930.9</v>
      </c>
      <c r="F164" s="6">
        <v>961.9</v>
      </c>
      <c r="G164" s="6">
        <v>992.9</v>
      </c>
      <c r="H164" s="6">
        <v>1023.9</v>
      </c>
      <c r="I164">
        <v>1253.4000000000001</v>
      </c>
    </row>
    <row r="165" spans="1:9">
      <c r="A165" s="7">
        <v>41306</v>
      </c>
      <c r="B165" s="6">
        <v>783.7</v>
      </c>
      <c r="C165" s="6">
        <v>811.7</v>
      </c>
      <c r="D165" s="6">
        <v>839.7</v>
      </c>
      <c r="E165" s="6">
        <v>867.7</v>
      </c>
      <c r="F165" s="6">
        <v>895.7</v>
      </c>
      <c r="G165" s="6">
        <v>923.7</v>
      </c>
      <c r="H165" s="6">
        <v>951.7</v>
      </c>
      <c r="I165">
        <v>1150.95</v>
      </c>
    </row>
    <row r="166" spans="1:9">
      <c r="A166" s="7">
        <v>41334</v>
      </c>
      <c r="B166" s="6">
        <v>665.2</v>
      </c>
      <c r="C166" s="6">
        <v>696.1</v>
      </c>
      <c r="D166" s="6">
        <v>727.1</v>
      </c>
      <c r="E166" s="6">
        <v>758</v>
      </c>
      <c r="F166" s="6">
        <v>789</v>
      </c>
      <c r="G166" s="6">
        <v>820</v>
      </c>
      <c r="H166" s="6">
        <v>850.9</v>
      </c>
      <c r="I166">
        <v>1069.45</v>
      </c>
    </row>
    <row r="167" spans="1:9">
      <c r="A167" s="7">
        <v>41365</v>
      </c>
      <c r="B167" s="6">
        <v>343.9</v>
      </c>
      <c r="C167" s="6">
        <v>371.2</v>
      </c>
      <c r="D167" s="6">
        <v>398.8</v>
      </c>
      <c r="E167" s="6">
        <v>427.1</v>
      </c>
      <c r="F167" s="6">
        <v>455.6</v>
      </c>
      <c r="G167" s="6">
        <v>484.2</v>
      </c>
      <c r="H167" s="6">
        <v>513.29999999999995</v>
      </c>
      <c r="I167">
        <v>704.7</v>
      </c>
    </row>
    <row r="168" spans="1:9">
      <c r="A168" s="7">
        <v>41395</v>
      </c>
      <c r="B168" s="6">
        <v>123.3</v>
      </c>
      <c r="C168" s="6">
        <v>141.9</v>
      </c>
      <c r="D168" s="6">
        <v>162.30000000000001</v>
      </c>
      <c r="E168" s="6">
        <v>183.4</v>
      </c>
      <c r="F168" s="6">
        <v>206.1</v>
      </c>
      <c r="G168" s="6">
        <v>229.8</v>
      </c>
      <c r="H168" s="6">
        <v>254.4</v>
      </c>
      <c r="I168">
        <v>431.7</v>
      </c>
    </row>
    <row r="169" spans="1:9">
      <c r="A169" s="7">
        <v>41426</v>
      </c>
      <c r="B169" s="6">
        <v>10.5</v>
      </c>
      <c r="C169" s="6">
        <v>14.9</v>
      </c>
      <c r="D169" s="6">
        <v>20.5</v>
      </c>
      <c r="E169" s="6">
        <v>26.5</v>
      </c>
      <c r="F169" s="6">
        <v>33.799999999999997</v>
      </c>
      <c r="G169" s="6">
        <v>42.8</v>
      </c>
      <c r="H169" s="6">
        <v>53.3</v>
      </c>
      <c r="I169">
        <v>165.8</v>
      </c>
    </row>
    <row r="170" spans="1:9">
      <c r="A170" s="7">
        <v>41456</v>
      </c>
      <c r="B170" s="6">
        <v>0</v>
      </c>
      <c r="C170" s="6">
        <v>0</v>
      </c>
      <c r="D170" s="6">
        <v>0</v>
      </c>
      <c r="E170" s="6">
        <v>0.3</v>
      </c>
      <c r="F170" s="6">
        <v>1.1000000000000001</v>
      </c>
      <c r="G170" s="6">
        <v>2.8</v>
      </c>
      <c r="H170" s="6">
        <v>4.8</v>
      </c>
      <c r="I170">
        <v>45.15</v>
      </c>
    </row>
    <row r="171" spans="1:9">
      <c r="A171" s="7">
        <v>41487</v>
      </c>
      <c r="B171" s="6">
        <v>0</v>
      </c>
      <c r="C171" s="6">
        <v>0</v>
      </c>
      <c r="D171" s="6">
        <v>0.2</v>
      </c>
      <c r="E171" s="6">
        <v>0.7</v>
      </c>
      <c r="F171" s="6">
        <v>2</v>
      </c>
      <c r="G171" s="6">
        <v>4.2</v>
      </c>
      <c r="H171" s="6">
        <v>7.5</v>
      </c>
      <c r="I171">
        <v>102.10000000000001</v>
      </c>
    </row>
    <row r="172" spans="1:9">
      <c r="A172" s="7">
        <v>41518</v>
      </c>
      <c r="B172" s="6">
        <v>34.1</v>
      </c>
      <c r="C172" s="6">
        <v>43.5</v>
      </c>
      <c r="D172" s="6">
        <v>54.2</v>
      </c>
      <c r="E172" s="6">
        <v>66.5</v>
      </c>
      <c r="F172" s="6">
        <v>80.7</v>
      </c>
      <c r="G172" s="6">
        <v>95.3</v>
      </c>
      <c r="H172" s="6">
        <v>111.1</v>
      </c>
      <c r="I172">
        <v>280.79999999999995</v>
      </c>
    </row>
    <row r="173" spans="1:9">
      <c r="A173" s="7">
        <v>41548</v>
      </c>
      <c r="B173" s="6">
        <v>150.5</v>
      </c>
      <c r="C173" s="6">
        <v>170.2</v>
      </c>
      <c r="D173" s="6">
        <v>191.5</v>
      </c>
      <c r="E173" s="6">
        <v>214.5</v>
      </c>
      <c r="F173" s="6">
        <v>238.8</v>
      </c>
      <c r="G173" s="6">
        <v>264.5</v>
      </c>
      <c r="H173" s="6">
        <v>290.60000000000002</v>
      </c>
      <c r="I173">
        <v>542.6</v>
      </c>
    </row>
    <row r="174" spans="1:9">
      <c r="A174" s="7">
        <v>41579</v>
      </c>
      <c r="B174" s="6">
        <v>506.2</v>
      </c>
      <c r="C174" s="6">
        <v>533.79999999999995</v>
      </c>
      <c r="D174" s="6">
        <v>561.79999999999995</v>
      </c>
      <c r="E174" s="6">
        <v>590.29999999999995</v>
      </c>
      <c r="F174" s="6">
        <v>619</v>
      </c>
      <c r="G174" s="6">
        <v>648</v>
      </c>
      <c r="H174" s="6">
        <v>677.2</v>
      </c>
      <c r="I174">
        <v>911.65</v>
      </c>
    </row>
    <row r="175" spans="1:9">
      <c r="A175" s="7">
        <v>41609</v>
      </c>
      <c r="B175" s="6">
        <v>799.1</v>
      </c>
      <c r="C175" s="6">
        <v>830.1</v>
      </c>
      <c r="D175" s="6">
        <v>861.1</v>
      </c>
      <c r="E175" s="6">
        <v>892.1</v>
      </c>
      <c r="F175" s="6">
        <v>923.1</v>
      </c>
      <c r="G175" s="6">
        <v>954.1</v>
      </c>
      <c r="H175" s="6">
        <v>985.1</v>
      </c>
      <c r="I175">
        <v>1238.25</v>
      </c>
    </row>
    <row r="176" spans="1:9">
      <c r="A176" s="7">
        <v>41640</v>
      </c>
      <c r="B176" s="6">
        <v>984.5</v>
      </c>
      <c r="C176" s="6">
        <v>1015.5</v>
      </c>
      <c r="D176" s="6">
        <v>1046.5</v>
      </c>
      <c r="E176" s="6">
        <v>1077.5</v>
      </c>
      <c r="F176" s="6">
        <v>1108.5</v>
      </c>
      <c r="G176" s="6">
        <v>1139.5</v>
      </c>
      <c r="H176" s="6">
        <v>1170.5</v>
      </c>
      <c r="I176">
        <v>1406.75</v>
      </c>
    </row>
    <row r="177" spans="1:9">
      <c r="A177" s="7">
        <v>41671</v>
      </c>
      <c r="B177" s="6">
        <v>839.2</v>
      </c>
      <c r="C177" s="6">
        <v>867.2</v>
      </c>
      <c r="D177" s="6">
        <v>895.2</v>
      </c>
      <c r="E177" s="6">
        <v>923.2</v>
      </c>
      <c r="F177" s="6">
        <v>951.2</v>
      </c>
      <c r="G177" s="6">
        <v>979.2</v>
      </c>
      <c r="H177" s="6">
        <v>1007.2</v>
      </c>
      <c r="I177">
        <v>1238.45</v>
      </c>
    </row>
    <row r="178" spans="1:9">
      <c r="A178" s="7">
        <v>41699</v>
      </c>
      <c r="B178" s="6">
        <v>795.8</v>
      </c>
      <c r="C178" s="6">
        <v>826.8</v>
      </c>
      <c r="D178" s="6">
        <v>857.7</v>
      </c>
      <c r="E178" s="6">
        <v>888.7</v>
      </c>
      <c r="F178" s="6">
        <v>919.6</v>
      </c>
      <c r="G178" s="6">
        <v>950.6</v>
      </c>
      <c r="H178" s="6">
        <v>981.6</v>
      </c>
      <c r="I178">
        <v>1219.3499999999999</v>
      </c>
    </row>
    <row r="179" spans="1:9">
      <c r="A179" s="7">
        <v>41730</v>
      </c>
      <c r="B179" s="6">
        <v>356.8</v>
      </c>
      <c r="C179" s="6">
        <v>383.4</v>
      </c>
      <c r="D179" s="6">
        <v>410.2</v>
      </c>
      <c r="E179" s="6">
        <v>437.7</v>
      </c>
      <c r="F179" s="6">
        <v>465.7</v>
      </c>
      <c r="G179" s="6">
        <v>494.1</v>
      </c>
      <c r="H179" s="6">
        <v>522.70000000000005</v>
      </c>
      <c r="I179">
        <v>720</v>
      </c>
    </row>
    <row r="180" spans="1:9">
      <c r="A180" s="7">
        <v>41760</v>
      </c>
      <c r="B180" s="6">
        <v>105.8</v>
      </c>
      <c r="C180" s="6">
        <v>125.6</v>
      </c>
      <c r="D180" s="6">
        <v>146.30000000000001</v>
      </c>
      <c r="E180" s="6">
        <v>168.5</v>
      </c>
      <c r="F180" s="6">
        <v>191.8</v>
      </c>
      <c r="G180" s="6">
        <v>216.8</v>
      </c>
      <c r="H180" s="6">
        <v>242.8</v>
      </c>
      <c r="I180">
        <v>422.75</v>
      </c>
    </row>
    <row r="181" spans="1:9">
      <c r="A181" s="7">
        <v>41791</v>
      </c>
      <c r="B181" s="6">
        <v>4.7</v>
      </c>
      <c r="C181" s="6">
        <v>8.6</v>
      </c>
      <c r="D181" s="6">
        <v>13.8</v>
      </c>
      <c r="E181" s="6">
        <v>20.8</v>
      </c>
      <c r="F181" s="6">
        <v>29.3</v>
      </c>
      <c r="G181" s="6">
        <v>39.5</v>
      </c>
      <c r="H181" s="6">
        <v>50.8</v>
      </c>
      <c r="I181">
        <v>171.55</v>
      </c>
    </row>
    <row r="182" spans="1:9">
      <c r="A182" s="7">
        <v>41821</v>
      </c>
      <c r="B182" s="6">
        <v>0</v>
      </c>
      <c r="C182" s="6">
        <v>0</v>
      </c>
      <c r="D182" s="6">
        <v>0.2</v>
      </c>
      <c r="E182" s="6">
        <v>0.5</v>
      </c>
      <c r="F182" s="6">
        <v>1.1000000000000001</v>
      </c>
      <c r="G182" s="6">
        <v>2.2999999999999998</v>
      </c>
      <c r="H182" s="6">
        <v>4.7</v>
      </c>
      <c r="I182">
        <v>65.150000000000006</v>
      </c>
    </row>
    <row r="183" spans="1:9">
      <c r="A183" s="7">
        <v>41852</v>
      </c>
      <c r="B183" s="6">
        <v>0.1</v>
      </c>
      <c r="C183" s="6">
        <v>0.3</v>
      </c>
      <c r="D183" s="6">
        <v>0.9</v>
      </c>
      <c r="E183" s="6">
        <v>2.1</v>
      </c>
      <c r="F183" s="6">
        <v>3.9</v>
      </c>
      <c r="G183" s="6">
        <v>7.5</v>
      </c>
      <c r="H183" s="6">
        <v>13.2</v>
      </c>
      <c r="I183">
        <v>129.35</v>
      </c>
    </row>
    <row r="184" spans="1:9">
      <c r="A184" s="7">
        <v>41883</v>
      </c>
      <c r="B184" s="6">
        <v>28.6</v>
      </c>
      <c r="C184" s="6">
        <v>36.299999999999997</v>
      </c>
      <c r="D184" s="6">
        <v>45</v>
      </c>
      <c r="E184" s="6">
        <v>55.1</v>
      </c>
      <c r="F184" s="6">
        <v>66.900000000000006</v>
      </c>
      <c r="G184" s="6">
        <v>80.5</v>
      </c>
      <c r="H184" s="6">
        <v>95.1</v>
      </c>
      <c r="I184">
        <v>266.14999999999998</v>
      </c>
    </row>
    <row r="185" spans="1:9">
      <c r="A185" s="7">
        <v>41913</v>
      </c>
      <c r="B185" s="6">
        <v>142.30000000000001</v>
      </c>
      <c r="C185" s="6">
        <v>164.6</v>
      </c>
      <c r="D185" s="6">
        <v>187.6</v>
      </c>
      <c r="E185" s="6">
        <v>211.7</v>
      </c>
      <c r="F185" s="6">
        <v>236.7</v>
      </c>
      <c r="G185" s="6">
        <v>262.8</v>
      </c>
      <c r="H185" s="6">
        <v>289.5</v>
      </c>
      <c r="I185">
        <v>507.65</v>
      </c>
    </row>
    <row r="186" spans="1:9">
      <c r="A186" s="7">
        <v>41944</v>
      </c>
      <c r="B186" s="6">
        <v>495</v>
      </c>
      <c r="C186" s="6">
        <v>523.70000000000005</v>
      </c>
      <c r="D186" s="6">
        <v>552.79999999999995</v>
      </c>
      <c r="E186" s="6">
        <v>581.9</v>
      </c>
      <c r="F186" s="6">
        <v>611.4</v>
      </c>
      <c r="G186" s="6">
        <v>641.20000000000005</v>
      </c>
      <c r="H186" s="6">
        <v>671.1</v>
      </c>
      <c r="I186">
        <v>905.65</v>
      </c>
    </row>
    <row r="187" spans="1:9">
      <c r="A187" s="7">
        <v>41974</v>
      </c>
      <c r="B187" s="6">
        <v>644.79999999999995</v>
      </c>
      <c r="C187" s="6">
        <v>675.6</v>
      </c>
      <c r="D187" s="6">
        <v>706.5</v>
      </c>
      <c r="E187" s="6">
        <v>737.4</v>
      </c>
      <c r="F187" s="6">
        <v>768.4</v>
      </c>
      <c r="G187" s="6">
        <v>799.4</v>
      </c>
      <c r="H187" s="6">
        <v>830.4</v>
      </c>
      <c r="I187">
        <v>1074.6500000000001</v>
      </c>
    </row>
    <row r="188" spans="1:9">
      <c r="A188" s="7">
        <v>42005</v>
      </c>
      <c r="B188" s="6">
        <v>1014.6</v>
      </c>
      <c r="C188" s="6">
        <v>1045.5999999999999</v>
      </c>
      <c r="D188" s="6">
        <v>1076.5999999999999</v>
      </c>
      <c r="E188" s="6">
        <v>1107.5999999999999</v>
      </c>
      <c r="F188" s="6">
        <v>1138.5999999999999</v>
      </c>
      <c r="G188" s="6">
        <v>1169.5999999999999</v>
      </c>
      <c r="H188" s="6">
        <v>1200.5999999999999</v>
      </c>
      <c r="I188">
        <v>1443.6</v>
      </c>
    </row>
    <row r="189" spans="1:9">
      <c r="A189" s="7">
        <v>42036</v>
      </c>
      <c r="B189" s="6">
        <v>1103.4000000000001</v>
      </c>
      <c r="C189" s="6">
        <v>1131.4000000000001</v>
      </c>
      <c r="D189" s="6">
        <v>1159.4000000000001</v>
      </c>
      <c r="E189" s="6">
        <v>1187.4000000000001</v>
      </c>
      <c r="F189" s="6">
        <v>1215.4000000000001</v>
      </c>
      <c r="G189" s="6">
        <v>1243.4000000000001</v>
      </c>
      <c r="H189" s="6">
        <v>1271.4000000000001</v>
      </c>
      <c r="I189">
        <v>1497.85</v>
      </c>
    </row>
    <row r="190" spans="1:9">
      <c r="A190" s="7">
        <v>42064</v>
      </c>
      <c r="B190" s="6">
        <v>805.2</v>
      </c>
      <c r="C190" s="6">
        <v>836.1</v>
      </c>
      <c r="D190" s="6">
        <v>867.1</v>
      </c>
      <c r="E190" s="6">
        <v>898</v>
      </c>
      <c r="F190" s="6">
        <v>929</v>
      </c>
      <c r="G190" s="6">
        <v>960</v>
      </c>
      <c r="H190" s="6">
        <v>990.9</v>
      </c>
      <c r="I190">
        <v>1214.6500000000001</v>
      </c>
    </row>
    <row r="191" spans="1:9">
      <c r="A191" s="7">
        <v>42095</v>
      </c>
      <c r="B191" s="6">
        <v>346.6</v>
      </c>
      <c r="C191" s="6">
        <v>373.7</v>
      </c>
      <c r="D191" s="6">
        <v>401.1</v>
      </c>
      <c r="E191" s="6">
        <v>428.9</v>
      </c>
      <c r="F191" s="6">
        <v>457.3</v>
      </c>
      <c r="G191" s="6">
        <v>485.9</v>
      </c>
      <c r="H191" s="6">
        <v>515.1</v>
      </c>
      <c r="I191">
        <v>712.6</v>
      </c>
    </row>
    <row r="192" spans="1:9">
      <c r="A192" s="7">
        <v>42125</v>
      </c>
      <c r="B192" s="6">
        <v>90.1</v>
      </c>
      <c r="C192" s="6">
        <v>104</v>
      </c>
      <c r="D192" s="6">
        <v>118.7</v>
      </c>
      <c r="E192" s="6">
        <v>134.5</v>
      </c>
      <c r="F192" s="6">
        <v>150.9</v>
      </c>
      <c r="G192" s="6">
        <v>169.1</v>
      </c>
      <c r="H192" s="6">
        <v>188.3</v>
      </c>
      <c r="I192">
        <v>321.29999999999995</v>
      </c>
    </row>
    <row r="193" spans="1:9">
      <c r="A193" s="7">
        <v>42156</v>
      </c>
      <c r="B193" s="6">
        <v>54.2</v>
      </c>
      <c r="C193" s="6">
        <v>63.5</v>
      </c>
      <c r="D193" s="6">
        <v>73.099999999999994</v>
      </c>
      <c r="E193" s="6">
        <v>84.4</v>
      </c>
      <c r="F193" s="6">
        <v>96.3</v>
      </c>
      <c r="G193" s="6">
        <v>110.2</v>
      </c>
      <c r="H193" s="6">
        <v>125.3</v>
      </c>
      <c r="I193">
        <v>246.39999999999998</v>
      </c>
    </row>
    <row r="194" spans="1:9">
      <c r="A194" s="7">
        <v>42186</v>
      </c>
      <c r="B194" s="6">
        <v>0</v>
      </c>
      <c r="C194" s="6">
        <v>0</v>
      </c>
      <c r="D194" s="6">
        <v>0.2</v>
      </c>
      <c r="E194" s="6">
        <v>0.5</v>
      </c>
      <c r="F194" s="6">
        <v>1.6</v>
      </c>
      <c r="G194" s="6">
        <v>3.8</v>
      </c>
      <c r="H194" s="6">
        <v>6.9</v>
      </c>
      <c r="I194">
        <v>72.050000000000011</v>
      </c>
    </row>
    <row r="195" spans="1:9">
      <c r="A195" s="7">
        <v>42217</v>
      </c>
      <c r="B195" s="6">
        <v>0</v>
      </c>
      <c r="C195" s="6">
        <v>0</v>
      </c>
      <c r="D195" s="6">
        <v>0</v>
      </c>
      <c r="E195" s="6">
        <v>0</v>
      </c>
      <c r="F195" s="6">
        <v>0.3</v>
      </c>
      <c r="G195" s="6">
        <v>0.8</v>
      </c>
      <c r="H195" s="6">
        <v>1.8</v>
      </c>
      <c r="I195">
        <v>65.3</v>
      </c>
    </row>
    <row r="196" spans="1:9">
      <c r="A196" s="7">
        <v>42248</v>
      </c>
      <c r="B196" s="6">
        <v>9.5</v>
      </c>
      <c r="C196" s="6">
        <v>12.8</v>
      </c>
      <c r="D196" s="6">
        <v>17.100000000000001</v>
      </c>
      <c r="E196" s="6">
        <v>21.7</v>
      </c>
      <c r="F196" s="6">
        <v>27.9</v>
      </c>
      <c r="G196" s="6">
        <v>35.799999999999997</v>
      </c>
      <c r="H196" s="6">
        <v>45.3</v>
      </c>
      <c r="I196">
        <v>178.95</v>
      </c>
    </row>
    <row r="197" spans="1:9">
      <c r="A197" s="7">
        <v>42278</v>
      </c>
      <c r="B197" s="6">
        <v>197.2</v>
      </c>
      <c r="C197" s="6">
        <v>221.3</v>
      </c>
      <c r="D197" s="6">
        <v>246.4</v>
      </c>
      <c r="E197" s="6">
        <v>272.39999999999998</v>
      </c>
      <c r="F197" s="6">
        <v>298.89999999999998</v>
      </c>
      <c r="G197" s="6">
        <v>325.8</v>
      </c>
      <c r="H197" s="6">
        <v>353.7</v>
      </c>
      <c r="I197">
        <v>591.79999999999995</v>
      </c>
    </row>
    <row r="198" spans="1:9">
      <c r="A198" s="7">
        <v>42309</v>
      </c>
      <c r="B198" s="6">
        <v>333.5</v>
      </c>
      <c r="C198" s="6">
        <v>360.2</v>
      </c>
      <c r="D198" s="6">
        <v>387</v>
      </c>
      <c r="E198" s="6">
        <v>414.3</v>
      </c>
      <c r="F198" s="6">
        <v>442.1</v>
      </c>
      <c r="G198" s="6">
        <v>469.9</v>
      </c>
      <c r="H198" s="6">
        <v>498.3</v>
      </c>
      <c r="I198">
        <v>734.15</v>
      </c>
    </row>
    <row r="199" spans="1:9">
      <c r="A199" s="7">
        <v>42339</v>
      </c>
      <c r="B199" s="6">
        <v>442.2</v>
      </c>
      <c r="C199" s="6">
        <v>472.6</v>
      </c>
      <c r="D199" s="6">
        <v>503.2</v>
      </c>
      <c r="E199" s="6">
        <v>533.9</v>
      </c>
      <c r="F199" s="6">
        <v>564.5</v>
      </c>
      <c r="G199" s="6">
        <v>595.20000000000005</v>
      </c>
      <c r="H199" s="6">
        <v>625.9</v>
      </c>
      <c r="I199">
        <v>866.2</v>
      </c>
    </row>
    <row r="200" spans="1:9">
      <c r="A200" s="7">
        <v>42370</v>
      </c>
      <c r="B200" s="6">
        <v>828.7</v>
      </c>
      <c r="C200" s="6">
        <v>859.7</v>
      </c>
      <c r="D200" s="6">
        <v>890.7</v>
      </c>
      <c r="E200" s="6">
        <v>921.7</v>
      </c>
      <c r="F200" s="6">
        <v>952.7</v>
      </c>
      <c r="G200" s="6">
        <v>983.7</v>
      </c>
      <c r="H200" s="6">
        <v>1014.7</v>
      </c>
      <c r="I200">
        <v>1248.75</v>
      </c>
    </row>
    <row r="201" spans="1:9">
      <c r="A201" s="7">
        <v>42401</v>
      </c>
      <c r="B201" s="6">
        <v>709.5</v>
      </c>
      <c r="C201" s="6">
        <v>738.2</v>
      </c>
      <c r="D201" s="6">
        <v>766.9</v>
      </c>
      <c r="E201" s="6">
        <v>795.8</v>
      </c>
      <c r="F201" s="6">
        <v>824.6</v>
      </c>
      <c r="G201" s="6">
        <v>853.6</v>
      </c>
      <c r="H201" s="6">
        <v>882.6</v>
      </c>
      <c r="I201">
        <v>1085.05</v>
      </c>
    </row>
    <row r="202" spans="1:9">
      <c r="A202" s="7">
        <v>42430</v>
      </c>
      <c r="B202" s="6">
        <v>533</v>
      </c>
      <c r="C202" s="6">
        <v>561.4</v>
      </c>
      <c r="D202" s="6">
        <v>590.29999999999995</v>
      </c>
      <c r="E202" s="6">
        <v>619.6</v>
      </c>
      <c r="F202" s="6">
        <v>649.20000000000005</v>
      </c>
      <c r="G202" s="6">
        <v>679.2</v>
      </c>
      <c r="H202" s="6">
        <v>709.3</v>
      </c>
      <c r="I202">
        <v>901.55</v>
      </c>
    </row>
    <row r="203" spans="1:9">
      <c r="A203" s="7">
        <v>42461</v>
      </c>
      <c r="B203" s="6">
        <v>383.4</v>
      </c>
      <c r="C203" s="6">
        <v>410.4</v>
      </c>
      <c r="D203" s="6">
        <v>437.4</v>
      </c>
      <c r="E203" s="6">
        <v>465</v>
      </c>
      <c r="F203" s="6">
        <v>493.1</v>
      </c>
      <c r="G203" s="6">
        <v>521.5</v>
      </c>
      <c r="H203" s="6">
        <v>550.5</v>
      </c>
      <c r="I203">
        <v>736.65</v>
      </c>
    </row>
    <row r="204" spans="1:9">
      <c r="A204" s="7">
        <v>42491</v>
      </c>
      <c r="B204" s="6">
        <v>143.80000000000001</v>
      </c>
      <c r="C204" s="6">
        <v>162.9</v>
      </c>
      <c r="D204" s="6">
        <v>183.1</v>
      </c>
      <c r="E204" s="6">
        <v>204.1</v>
      </c>
      <c r="F204" s="6">
        <v>226.1</v>
      </c>
      <c r="G204" s="6">
        <v>249.4</v>
      </c>
      <c r="H204" s="6">
        <v>273.39999999999998</v>
      </c>
      <c r="I204">
        <v>432.4</v>
      </c>
    </row>
    <row r="205" spans="1:9">
      <c r="A205" s="7">
        <v>42522</v>
      </c>
      <c r="B205" s="6">
        <v>6.8</v>
      </c>
      <c r="C205" s="6">
        <v>10.6</v>
      </c>
      <c r="D205" s="6">
        <v>15.1</v>
      </c>
      <c r="E205" s="6">
        <v>20.7</v>
      </c>
      <c r="F205" s="6">
        <v>27.5</v>
      </c>
      <c r="G205" s="6">
        <v>36.299999999999997</v>
      </c>
      <c r="H205" s="6">
        <v>46.5</v>
      </c>
      <c r="I205">
        <v>163.75</v>
      </c>
    </row>
    <row r="206" spans="1:9">
      <c r="A206" s="7">
        <v>42552</v>
      </c>
      <c r="B206" s="6">
        <v>0</v>
      </c>
      <c r="C206" s="6">
        <v>0</v>
      </c>
      <c r="D206" s="6">
        <v>0.7</v>
      </c>
      <c r="E206" s="6">
        <v>2.1</v>
      </c>
      <c r="F206" s="6">
        <v>4.5</v>
      </c>
      <c r="G206" s="6">
        <v>7.6</v>
      </c>
      <c r="H206" s="6">
        <v>11.3</v>
      </c>
      <c r="I206">
        <v>66.45</v>
      </c>
    </row>
    <row r="207" spans="1:9">
      <c r="A207" s="7">
        <v>42583</v>
      </c>
      <c r="B207" s="6">
        <v>0</v>
      </c>
      <c r="C207" s="6">
        <v>0</v>
      </c>
      <c r="D207" s="6">
        <v>0</v>
      </c>
      <c r="E207" s="6">
        <v>0.1</v>
      </c>
      <c r="F207" s="6">
        <v>0.2</v>
      </c>
      <c r="G207" s="6">
        <v>0.6</v>
      </c>
      <c r="H207" s="6">
        <v>1.2</v>
      </c>
      <c r="I207">
        <v>46.849999999999994</v>
      </c>
    </row>
    <row r="208" spans="1:9">
      <c r="A208" s="7">
        <v>42614</v>
      </c>
      <c r="B208" s="6">
        <v>13.9</v>
      </c>
      <c r="C208" s="6">
        <v>19.600000000000001</v>
      </c>
      <c r="D208" s="6">
        <v>25.8</v>
      </c>
      <c r="E208" s="6">
        <v>33.700000000000003</v>
      </c>
      <c r="F208" s="6">
        <v>42.6</v>
      </c>
      <c r="G208" s="6">
        <v>52.9</v>
      </c>
      <c r="H208" s="6">
        <v>64.2</v>
      </c>
      <c r="I208">
        <v>195.65</v>
      </c>
    </row>
    <row r="209" spans="1:9">
      <c r="A209" s="7">
        <v>42644</v>
      </c>
      <c r="B209" s="6">
        <v>173.8</v>
      </c>
      <c r="C209" s="6">
        <v>195.7</v>
      </c>
      <c r="D209" s="6">
        <v>219</v>
      </c>
      <c r="E209" s="6">
        <v>243</v>
      </c>
      <c r="F209" s="6">
        <v>268</v>
      </c>
      <c r="G209" s="6">
        <v>294</v>
      </c>
      <c r="H209" s="6">
        <v>321.2</v>
      </c>
      <c r="I209">
        <v>544.35</v>
      </c>
    </row>
    <row r="210" spans="1:9">
      <c r="A210" s="7">
        <v>42675</v>
      </c>
      <c r="B210" s="6">
        <v>396.2</v>
      </c>
      <c r="C210" s="6">
        <v>425</v>
      </c>
      <c r="D210" s="6">
        <v>454</v>
      </c>
      <c r="E210" s="6">
        <v>483.5</v>
      </c>
      <c r="F210" s="6">
        <v>512.9</v>
      </c>
      <c r="G210" s="6">
        <v>542.79999999999995</v>
      </c>
      <c r="H210" s="6">
        <v>572.5</v>
      </c>
      <c r="I210">
        <v>805.8</v>
      </c>
    </row>
    <row r="211" spans="1:9">
      <c r="A211" s="7">
        <v>42705</v>
      </c>
      <c r="B211" s="6">
        <v>734</v>
      </c>
      <c r="C211" s="6">
        <v>765</v>
      </c>
      <c r="D211" s="6">
        <v>796</v>
      </c>
      <c r="E211" s="6">
        <v>827</v>
      </c>
      <c r="F211" s="6">
        <v>858</v>
      </c>
      <c r="G211" s="6">
        <v>889</v>
      </c>
      <c r="H211" s="6">
        <v>920</v>
      </c>
      <c r="I211">
        <v>1157.55</v>
      </c>
    </row>
    <row r="212" spans="1:9">
      <c r="A212" s="7">
        <v>42736</v>
      </c>
      <c r="B212" s="6">
        <v>735.8</v>
      </c>
      <c r="C212" s="6">
        <v>766.7</v>
      </c>
      <c r="D212" s="6">
        <v>797.7</v>
      </c>
      <c r="E212" s="6">
        <v>828.7</v>
      </c>
      <c r="F212" s="6">
        <v>859.7</v>
      </c>
      <c r="G212" s="6">
        <v>890.7</v>
      </c>
      <c r="H212" s="6">
        <v>921.7</v>
      </c>
      <c r="I212">
        <v>1152.0500000000002</v>
      </c>
    </row>
    <row r="213" spans="1:9">
      <c r="A213" s="7">
        <v>42767</v>
      </c>
      <c r="B213" s="6">
        <v>641.5</v>
      </c>
      <c r="C213" s="6">
        <v>668.6</v>
      </c>
      <c r="D213" s="6">
        <v>695.7</v>
      </c>
      <c r="E213" s="6">
        <v>722.9</v>
      </c>
      <c r="F213" s="6">
        <v>750.2</v>
      </c>
      <c r="G213" s="6">
        <v>777.5</v>
      </c>
      <c r="H213" s="6">
        <v>805.1</v>
      </c>
      <c r="I213">
        <v>1002.4499999999999</v>
      </c>
    </row>
    <row r="214" spans="1:9">
      <c r="A214" s="7">
        <v>42795</v>
      </c>
      <c r="B214" s="6">
        <v>774</v>
      </c>
      <c r="C214" s="6">
        <v>804.8</v>
      </c>
      <c r="D214" s="6">
        <v>835.5</v>
      </c>
      <c r="E214" s="6">
        <v>866.5</v>
      </c>
      <c r="F214" s="6">
        <v>897.5</v>
      </c>
      <c r="G214" s="6">
        <v>928.4</v>
      </c>
      <c r="H214" s="6">
        <v>959.4</v>
      </c>
      <c r="I214">
        <v>1170.25</v>
      </c>
    </row>
    <row r="215" spans="1:9">
      <c r="A215" s="7">
        <v>42826</v>
      </c>
      <c r="B215" s="6">
        <v>294.5</v>
      </c>
      <c r="C215" s="6">
        <v>318.8</v>
      </c>
      <c r="D215" s="6">
        <v>343.6</v>
      </c>
      <c r="E215" s="6">
        <v>368.8</v>
      </c>
      <c r="F215" s="6">
        <v>394.2</v>
      </c>
      <c r="G215" s="6">
        <v>419.9</v>
      </c>
      <c r="H215" s="6">
        <v>445.9</v>
      </c>
      <c r="I215">
        <v>606.15</v>
      </c>
    </row>
    <row r="216" spans="1:9">
      <c r="A216" s="7">
        <v>42856</v>
      </c>
      <c r="B216" s="6">
        <v>171.8</v>
      </c>
      <c r="C216" s="6">
        <v>195.6</v>
      </c>
      <c r="D216" s="6">
        <v>220.5</v>
      </c>
      <c r="E216" s="6">
        <v>246.1</v>
      </c>
      <c r="F216" s="6">
        <v>272.39999999999998</v>
      </c>
      <c r="G216" s="6">
        <v>299.5</v>
      </c>
      <c r="H216" s="6">
        <v>326.7</v>
      </c>
      <c r="I216">
        <v>499.25</v>
      </c>
    </row>
    <row r="217" spans="1:9">
      <c r="A217" s="7">
        <v>42887</v>
      </c>
      <c r="B217" s="6">
        <v>23.6</v>
      </c>
      <c r="C217" s="6">
        <v>29.3</v>
      </c>
      <c r="D217" s="6">
        <v>35.9</v>
      </c>
      <c r="E217" s="6">
        <v>43</v>
      </c>
      <c r="F217" s="6">
        <v>51</v>
      </c>
      <c r="G217" s="6">
        <v>59.8</v>
      </c>
      <c r="H217" s="6">
        <v>69.3</v>
      </c>
      <c r="I217">
        <v>166.2</v>
      </c>
    </row>
    <row r="218" spans="1:9">
      <c r="A218" s="7">
        <v>42917</v>
      </c>
      <c r="B218" s="6">
        <v>0.9</v>
      </c>
      <c r="C218" s="6">
        <v>2.1</v>
      </c>
      <c r="D218" s="6">
        <v>3.9</v>
      </c>
      <c r="E218" s="6">
        <v>6.5</v>
      </c>
      <c r="F218" s="6">
        <v>10.1</v>
      </c>
      <c r="G218" s="6">
        <v>14.9</v>
      </c>
      <c r="H218" s="6">
        <v>20.5</v>
      </c>
      <c r="I218">
        <v>98.65</v>
      </c>
    </row>
    <row r="219" spans="1:9">
      <c r="A219" s="7">
        <v>42948</v>
      </c>
      <c r="B219" s="6">
        <v>0.1</v>
      </c>
      <c r="C219" s="6">
        <v>0.5</v>
      </c>
      <c r="D219" s="6">
        <v>1.1000000000000001</v>
      </c>
      <c r="E219" s="6">
        <v>2.6</v>
      </c>
      <c r="F219" s="6">
        <v>4.5999999999999996</v>
      </c>
      <c r="G219" s="6">
        <v>7.5</v>
      </c>
      <c r="H219" s="6">
        <v>11.7</v>
      </c>
      <c r="I219">
        <v>109</v>
      </c>
    </row>
    <row r="220" spans="1:9">
      <c r="A220" s="7">
        <v>42979</v>
      </c>
      <c r="B220" s="6">
        <v>11.5</v>
      </c>
      <c r="C220" s="6">
        <v>16.3</v>
      </c>
      <c r="D220" s="6">
        <v>22</v>
      </c>
      <c r="E220" s="6">
        <v>28.9</v>
      </c>
      <c r="F220" s="6">
        <v>37.9</v>
      </c>
      <c r="G220" s="6">
        <v>47.9</v>
      </c>
      <c r="H220" s="6">
        <v>59.9</v>
      </c>
      <c r="I220">
        <v>194</v>
      </c>
    </row>
    <row r="221" spans="1:9">
      <c r="A221" s="7">
        <v>43009</v>
      </c>
      <c r="B221" s="6">
        <v>66.099999999999994</v>
      </c>
      <c r="C221" s="6">
        <v>79.400000000000006</v>
      </c>
      <c r="D221" s="6">
        <v>94.8</v>
      </c>
      <c r="E221" s="6">
        <v>111.5</v>
      </c>
      <c r="F221" s="6">
        <v>129.80000000000001</v>
      </c>
      <c r="G221" s="6">
        <v>149.19999999999999</v>
      </c>
      <c r="H221" s="6">
        <v>170</v>
      </c>
      <c r="I221">
        <v>357.20000000000005</v>
      </c>
    </row>
    <row r="222" spans="1:9">
      <c r="A222" s="7">
        <v>43040</v>
      </c>
      <c r="B222" s="6">
        <v>461.3</v>
      </c>
      <c r="C222" s="6">
        <v>489.1</v>
      </c>
      <c r="D222" s="6">
        <v>517.4</v>
      </c>
      <c r="E222" s="6">
        <v>545.9</v>
      </c>
      <c r="F222" s="6">
        <v>574.70000000000005</v>
      </c>
      <c r="G222" s="6">
        <v>603.79999999999995</v>
      </c>
      <c r="H222" s="6">
        <v>633.1</v>
      </c>
      <c r="I222">
        <v>853.25</v>
      </c>
    </row>
    <row r="223" spans="1:9">
      <c r="A223" s="7">
        <v>43070</v>
      </c>
      <c r="B223" s="6">
        <v>887.5</v>
      </c>
      <c r="C223" s="6">
        <v>918.5</v>
      </c>
      <c r="D223" s="6">
        <v>949.5</v>
      </c>
      <c r="E223" s="6">
        <v>980.5</v>
      </c>
      <c r="F223" s="6">
        <v>1011.5</v>
      </c>
      <c r="G223" s="6">
        <v>1042.5</v>
      </c>
      <c r="H223" s="6">
        <v>1073.5</v>
      </c>
      <c r="I223">
        <v>1321.4</v>
      </c>
    </row>
    <row r="224" spans="1:9">
      <c r="A224" s="7">
        <v>43101</v>
      </c>
      <c r="B224" s="6">
        <v>934.7</v>
      </c>
      <c r="C224" s="6">
        <v>965.6</v>
      </c>
      <c r="D224" s="6">
        <v>996.6</v>
      </c>
      <c r="E224" s="6">
        <v>1027.5999999999999</v>
      </c>
      <c r="F224" s="6">
        <v>1058.5999999999999</v>
      </c>
      <c r="G224" s="6">
        <v>1089.5999999999999</v>
      </c>
      <c r="H224" s="6">
        <v>1120.5999999999999</v>
      </c>
      <c r="I224">
        <v>1346.55</v>
      </c>
    </row>
    <row r="225" spans="1:9">
      <c r="A225" s="7">
        <v>43132</v>
      </c>
      <c r="B225" s="6">
        <v>587.79999999999995</v>
      </c>
      <c r="C225" s="6">
        <v>614.9</v>
      </c>
      <c r="D225" s="6">
        <v>642.1</v>
      </c>
      <c r="E225" s="6">
        <v>669.3</v>
      </c>
      <c r="F225" s="6">
        <v>696.6</v>
      </c>
      <c r="G225" s="6">
        <v>724</v>
      </c>
      <c r="H225" s="6">
        <v>751.3</v>
      </c>
      <c r="I225">
        <v>945.8</v>
      </c>
    </row>
    <row r="226" spans="1:9">
      <c r="A226" s="7">
        <v>43160</v>
      </c>
      <c r="B226" s="6">
        <v>692.5</v>
      </c>
      <c r="C226" s="6">
        <v>723.3</v>
      </c>
      <c r="D226" s="6">
        <v>754.2</v>
      </c>
      <c r="E226" s="6">
        <v>785</v>
      </c>
      <c r="F226" s="6">
        <v>816</v>
      </c>
      <c r="G226" s="6">
        <v>847</v>
      </c>
      <c r="H226" s="6">
        <v>877.9</v>
      </c>
      <c r="I226">
        <v>1082.4000000000001</v>
      </c>
    </row>
    <row r="227" spans="1:9">
      <c r="A227" s="7">
        <v>43191</v>
      </c>
      <c r="B227" s="6">
        <v>433.7</v>
      </c>
      <c r="C227" s="6">
        <v>462.4</v>
      </c>
      <c r="D227" s="6">
        <v>491.2</v>
      </c>
      <c r="E227" s="6">
        <v>520.4</v>
      </c>
      <c r="F227" s="6">
        <v>549.5</v>
      </c>
      <c r="G227" s="6">
        <v>578.70000000000005</v>
      </c>
      <c r="H227" s="6">
        <v>608.20000000000005</v>
      </c>
      <c r="I227">
        <v>800.5</v>
      </c>
    </row>
    <row r="228" spans="1:9">
      <c r="A228" s="7">
        <v>43221</v>
      </c>
      <c r="B228" s="6">
        <v>90.7</v>
      </c>
      <c r="C228" s="6">
        <v>106</v>
      </c>
      <c r="D228" s="6">
        <v>122.3</v>
      </c>
      <c r="E228" s="6">
        <v>140.30000000000001</v>
      </c>
      <c r="F228" s="6">
        <v>159.30000000000001</v>
      </c>
      <c r="G228" s="6">
        <v>179.7</v>
      </c>
      <c r="H228" s="6">
        <v>200.9</v>
      </c>
      <c r="I228">
        <v>333.55</v>
      </c>
    </row>
    <row r="229" spans="1:9">
      <c r="A229" s="7">
        <v>43252</v>
      </c>
      <c r="B229" s="6">
        <v>22.7</v>
      </c>
      <c r="C229" s="6">
        <v>28.5</v>
      </c>
      <c r="D229" s="6">
        <v>35.5</v>
      </c>
      <c r="E229" s="6">
        <v>43.8</v>
      </c>
      <c r="F229" s="6">
        <v>53.3</v>
      </c>
      <c r="G229" s="6">
        <v>63.4</v>
      </c>
      <c r="H229" s="6">
        <v>75</v>
      </c>
      <c r="I229">
        <v>182.45</v>
      </c>
    </row>
    <row r="230" spans="1:9">
      <c r="A230" s="7">
        <v>43282</v>
      </c>
      <c r="B230" s="6">
        <v>0</v>
      </c>
      <c r="C230" s="6">
        <v>0</v>
      </c>
      <c r="D230" s="6">
        <v>0</v>
      </c>
      <c r="E230" s="6">
        <v>0</v>
      </c>
      <c r="F230" s="6">
        <v>0.2</v>
      </c>
      <c r="G230" s="6">
        <v>0.5</v>
      </c>
      <c r="H230" s="6">
        <v>1.1000000000000001</v>
      </c>
      <c r="I230">
        <v>40.5</v>
      </c>
    </row>
    <row r="231" spans="1:9">
      <c r="A231" s="7">
        <v>43313</v>
      </c>
      <c r="B231" s="6">
        <v>0</v>
      </c>
      <c r="C231" s="6">
        <v>0</v>
      </c>
      <c r="D231" s="6">
        <v>0</v>
      </c>
      <c r="E231" s="6">
        <v>0</v>
      </c>
      <c r="F231" s="6">
        <v>0</v>
      </c>
      <c r="G231" s="6">
        <v>0.2</v>
      </c>
      <c r="H231" s="6">
        <v>0.5</v>
      </c>
      <c r="I231">
        <v>38.450000000000003</v>
      </c>
    </row>
    <row r="232" spans="1:9">
      <c r="A232" s="7">
        <v>43344</v>
      </c>
      <c r="B232" s="6">
        <v>6.3</v>
      </c>
      <c r="C232" s="6">
        <v>9.3000000000000007</v>
      </c>
      <c r="D232" s="6">
        <v>13.2</v>
      </c>
      <c r="E232" s="6">
        <v>18.100000000000001</v>
      </c>
      <c r="F232" s="6">
        <v>24.5</v>
      </c>
      <c r="G232" s="6">
        <v>32.6</v>
      </c>
      <c r="H232" s="6">
        <v>42.4</v>
      </c>
      <c r="I232">
        <v>178.39999999999998</v>
      </c>
    </row>
    <row r="233" spans="1:9">
      <c r="A233" s="7">
        <v>43374</v>
      </c>
      <c r="B233" s="6">
        <v>205.5</v>
      </c>
      <c r="C233" s="6">
        <v>228.1</v>
      </c>
      <c r="D233" s="6">
        <v>251.5</v>
      </c>
      <c r="E233" s="6">
        <v>276.5</v>
      </c>
      <c r="F233" s="6">
        <v>302.8</v>
      </c>
      <c r="G233" s="6">
        <v>329.7</v>
      </c>
      <c r="H233" s="6">
        <v>357.3</v>
      </c>
      <c r="I233">
        <v>580.09999999999991</v>
      </c>
    </row>
    <row r="234" spans="1:9">
      <c r="A234" s="7">
        <v>43405</v>
      </c>
      <c r="B234" s="6">
        <v>491.7</v>
      </c>
      <c r="C234" s="6">
        <v>520.1</v>
      </c>
      <c r="D234" s="6">
        <v>548.79999999999995</v>
      </c>
      <c r="E234" s="6">
        <v>577.5</v>
      </c>
      <c r="F234" s="6">
        <v>606.4</v>
      </c>
      <c r="G234" s="6">
        <v>635.6</v>
      </c>
      <c r="H234" s="6">
        <v>664.6</v>
      </c>
      <c r="I234">
        <v>891.65</v>
      </c>
    </row>
    <row r="235" spans="1:9">
      <c r="A235" s="7">
        <v>43435</v>
      </c>
      <c r="B235" s="6">
        <v>669.6</v>
      </c>
      <c r="C235" s="6">
        <v>700.3</v>
      </c>
      <c r="D235" s="6">
        <v>731</v>
      </c>
      <c r="E235" s="6">
        <v>761.8</v>
      </c>
      <c r="F235" s="6">
        <v>792.6</v>
      </c>
      <c r="G235" s="6">
        <v>823.5</v>
      </c>
      <c r="H235" s="6">
        <v>854.5</v>
      </c>
      <c r="I235">
        <v>1093.55</v>
      </c>
    </row>
    <row r="236" spans="1:9">
      <c r="A236" s="7">
        <v>43466</v>
      </c>
      <c r="B236" s="6">
        <v>863.8</v>
      </c>
      <c r="C236" s="6">
        <v>894.8</v>
      </c>
      <c r="D236" s="6">
        <v>925.8</v>
      </c>
      <c r="E236" s="6">
        <v>956.8</v>
      </c>
      <c r="F236" s="6">
        <v>987.8</v>
      </c>
      <c r="G236" s="6">
        <v>1018.8</v>
      </c>
      <c r="H236" s="6">
        <v>1049.8</v>
      </c>
      <c r="I236">
        <v>1290.1999999999998</v>
      </c>
    </row>
    <row r="237" spans="1:9">
      <c r="A237" s="7">
        <v>43497</v>
      </c>
      <c r="B237" s="6">
        <v>714.2</v>
      </c>
      <c r="C237" s="6">
        <v>741.7</v>
      </c>
      <c r="D237" s="6">
        <v>769.4</v>
      </c>
      <c r="E237" s="6">
        <v>797</v>
      </c>
      <c r="F237" s="6">
        <v>824.8</v>
      </c>
      <c r="G237" s="6">
        <v>852.7</v>
      </c>
      <c r="H237" s="6">
        <v>880.6</v>
      </c>
      <c r="I237">
        <v>1088.1999999999998</v>
      </c>
    </row>
    <row r="238" spans="1:9">
      <c r="A238" s="7">
        <v>43525</v>
      </c>
      <c r="B238" s="6">
        <v>624.5</v>
      </c>
      <c r="C238" s="6">
        <v>654.70000000000005</v>
      </c>
      <c r="D238" s="6">
        <v>685.2</v>
      </c>
      <c r="E238" s="6">
        <v>715.5</v>
      </c>
      <c r="F238" s="6">
        <v>746.3</v>
      </c>
      <c r="G238" s="6">
        <v>776.8</v>
      </c>
      <c r="H238" s="6">
        <v>807.7</v>
      </c>
      <c r="I238">
        <v>1031.55</v>
      </c>
    </row>
    <row r="239" spans="1:9">
      <c r="A239" s="7">
        <v>43556</v>
      </c>
      <c r="B239" s="6">
        <v>282</v>
      </c>
      <c r="C239" s="6">
        <v>306.89999999999998</v>
      </c>
      <c r="D239" s="6">
        <v>332.1</v>
      </c>
      <c r="E239" s="6">
        <v>357.9</v>
      </c>
      <c r="F239" s="6">
        <v>383.9</v>
      </c>
      <c r="G239" s="6">
        <v>410.7</v>
      </c>
      <c r="H239" s="6">
        <v>438.1</v>
      </c>
      <c r="I239">
        <v>628.04999999999995</v>
      </c>
    </row>
    <row r="240" spans="1:9">
      <c r="A240" s="7">
        <v>43586</v>
      </c>
      <c r="B240" s="6">
        <v>136.9</v>
      </c>
      <c r="C240" s="6">
        <v>156.5</v>
      </c>
      <c r="D240" s="6">
        <v>177.7</v>
      </c>
      <c r="E240" s="6">
        <v>199.7</v>
      </c>
      <c r="F240" s="6">
        <v>222.9</v>
      </c>
      <c r="G240" s="6">
        <v>247.2</v>
      </c>
      <c r="H240" s="6">
        <v>272.2</v>
      </c>
      <c r="I240">
        <v>443.55</v>
      </c>
    </row>
    <row r="241" spans="1:9">
      <c r="A241" s="7">
        <v>43617</v>
      </c>
      <c r="B241" s="6">
        <v>8.5</v>
      </c>
      <c r="C241" s="6">
        <v>11.9</v>
      </c>
      <c r="D241" s="6">
        <v>15.9</v>
      </c>
      <c r="E241" s="6">
        <v>20.8</v>
      </c>
      <c r="F241" s="6">
        <v>26.8</v>
      </c>
      <c r="G241" s="6">
        <v>33.799999999999997</v>
      </c>
      <c r="H241" s="6">
        <v>42.6</v>
      </c>
      <c r="I241">
        <v>139.55000000000001</v>
      </c>
    </row>
    <row r="242" spans="1:9">
      <c r="A242" s="7">
        <v>43647</v>
      </c>
      <c r="B242" s="6">
        <v>0</v>
      </c>
      <c r="C242" s="6">
        <v>0</v>
      </c>
      <c r="D242" s="6">
        <v>0</v>
      </c>
      <c r="E242" s="6">
        <v>0</v>
      </c>
      <c r="F242" s="6">
        <v>0</v>
      </c>
      <c r="G242" s="6">
        <v>0</v>
      </c>
      <c r="H242" s="6">
        <v>0.2</v>
      </c>
      <c r="I242">
        <v>24.1</v>
      </c>
    </row>
    <row r="243" spans="1:9">
      <c r="A243" s="7">
        <v>43678</v>
      </c>
      <c r="B243" s="6">
        <v>0.3</v>
      </c>
      <c r="C243" s="6">
        <v>0.6</v>
      </c>
      <c r="D243" s="6">
        <v>1</v>
      </c>
      <c r="E243" s="6">
        <v>1.7</v>
      </c>
      <c r="F243" s="6">
        <v>2.4</v>
      </c>
      <c r="G243" s="6">
        <v>4.3</v>
      </c>
      <c r="H243" s="6">
        <v>6.5</v>
      </c>
      <c r="I243">
        <v>59.3</v>
      </c>
    </row>
    <row r="244" spans="1:9">
      <c r="A244" s="7">
        <v>43709</v>
      </c>
      <c r="B244" s="6">
        <v>9</v>
      </c>
      <c r="C244" s="6">
        <v>12.3</v>
      </c>
      <c r="D244" s="6">
        <v>17.2</v>
      </c>
      <c r="E244" s="6">
        <v>23.4</v>
      </c>
      <c r="F244" s="6">
        <v>30.6</v>
      </c>
      <c r="G244" s="6">
        <v>40.200000000000003</v>
      </c>
      <c r="H244" s="6">
        <v>50.9</v>
      </c>
      <c r="I244">
        <v>181.7</v>
      </c>
    </row>
    <row r="245" spans="1:9">
      <c r="A245" s="7">
        <v>43739</v>
      </c>
      <c r="B245" s="6">
        <v>99.1</v>
      </c>
      <c r="C245" s="6">
        <v>120.7</v>
      </c>
      <c r="D245" s="6">
        <v>144.69999999999999</v>
      </c>
      <c r="E245" s="6">
        <v>169.3</v>
      </c>
      <c r="F245" s="6">
        <v>195.2</v>
      </c>
      <c r="G245" s="6">
        <v>221.9</v>
      </c>
      <c r="H245" s="6">
        <v>249.2</v>
      </c>
      <c r="I245">
        <v>446.9</v>
      </c>
    </row>
    <row r="246" spans="1:9">
      <c r="A246" s="7">
        <v>43770</v>
      </c>
      <c r="B246" s="6">
        <v>494.1</v>
      </c>
      <c r="C246" s="6">
        <v>523.79999999999995</v>
      </c>
      <c r="D246" s="6">
        <v>553.4</v>
      </c>
      <c r="E246" s="6">
        <v>583.1</v>
      </c>
      <c r="F246" s="6">
        <v>612.9</v>
      </c>
      <c r="G246" s="6">
        <v>642.70000000000005</v>
      </c>
      <c r="H246" s="6">
        <v>672.6</v>
      </c>
      <c r="I246">
        <v>916.2</v>
      </c>
    </row>
    <row r="247" spans="1:9">
      <c r="A247" s="7">
        <v>43800</v>
      </c>
      <c r="B247" s="6">
        <v>671.7</v>
      </c>
      <c r="C247" s="6">
        <v>702.3</v>
      </c>
      <c r="D247" s="6">
        <v>733.1</v>
      </c>
      <c r="E247" s="6">
        <v>764</v>
      </c>
      <c r="F247" s="6">
        <v>794.9</v>
      </c>
      <c r="G247" s="6">
        <v>825.9</v>
      </c>
      <c r="H247" s="6">
        <v>856.9</v>
      </c>
      <c r="I247">
        <v>1120.1500000000001</v>
      </c>
    </row>
    <row r="248" spans="1:9">
      <c r="A248" s="7">
        <v>43831</v>
      </c>
      <c r="B248" s="6">
        <v>658.2</v>
      </c>
      <c r="C248" s="6">
        <v>687.9</v>
      </c>
      <c r="D248" s="6">
        <v>717.6</v>
      </c>
      <c r="E248" s="6">
        <v>747.3</v>
      </c>
      <c r="F248" s="6">
        <v>777.1</v>
      </c>
      <c r="G248" s="6">
        <v>807</v>
      </c>
      <c r="H248" s="6">
        <v>837.2</v>
      </c>
      <c r="I248">
        <v>1088.6500000000001</v>
      </c>
    </row>
    <row r="249" spans="1:9">
      <c r="A249" s="7">
        <v>43862</v>
      </c>
      <c r="B249" s="6">
        <v>614.20000000000005</v>
      </c>
      <c r="C249" s="6">
        <v>643</v>
      </c>
      <c r="D249" s="6">
        <v>671.9</v>
      </c>
      <c r="E249" s="6">
        <v>700.7</v>
      </c>
      <c r="F249" s="6">
        <v>729.6</v>
      </c>
      <c r="G249" s="6">
        <v>758.6</v>
      </c>
      <c r="H249" s="6">
        <v>787.6</v>
      </c>
      <c r="I249">
        <v>1021.55</v>
      </c>
    </row>
    <row r="250" spans="1:9">
      <c r="A250" s="7">
        <v>43891</v>
      </c>
      <c r="B250" s="6">
        <v>541.29999999999995</v>
      </c>
      <c r="C250" s="6">
        <v>571</v>
      </c>
      <c r="D250" s="6">
        <v>600.79999999999995</v>
      </c>
      <c r="E250" s="6">
        <v>630.9</v>
      </c>
      <c r="F250" s="6">
        <v>660.9</v>
      </c>
      <c r="G250" s="6">
        <v>691.2</v>
      </c>
      <c r="H250" s="6">
        <v>721.5</v>
      </c>
      <c r="I250">
        <v>894.3</v>
      </c>
    </row>
    <row r="251" spans="1:9">
      <c r="A251" s="7">
        <v>43922</v>
      </c>
      <c r="B251" s="6">
        <v>437</v>
      </c>
      <c r="C251" s="6">
        <v>466.6</v>
      </c>
      <c r="D251" s="6">
        <v>496.5</v>
      </c>
      <c r="E251" s="6">
        <v>526.4</v>
      </c>
      <c r="F251" s="6">
        <v>556.4</v>
      </c>
      <c r="G251" s="6">
        <v>586.4</v>
      </c>
      <c r="H251" s="6">
        <v>616.4</v>
      </c>
      <c r="I251">
        <v>784.55</v>
      </c>
    </row>
    <row r="252" spans="1:9">
      <c r="A252" s="7">
        <v>43952</v>
      </c>
      <c r="B252" s="6">
        <v>173.4</v>
      </c>
      <c r="C252" s="6">
        <v>192.9</v>
      </c>
      <c r="D252" s="6">
        <v>213.3</v>
      </c>
      <c r="E252" s="6">
        <v>235</v>
      </c>
      <c r="F252" s="6">
        <v>257.2</v>
      </c>
      <c r="G252" s="6">
        <v>280.3</v>
      </c>
      <c r="H252" s="6">
        <v>304.2</v>
      </c>
      <c r="I252">
        <v>440.6</v>
      </c>
    </row>
    <row r="253" spans="1:9">
      <c r="A253" s="7">
        <v>43983</v>
      </c>
      <c r="B253" s="6">
        <v>11.7</v>
      </c>
      <c r="C253" s="6">
        <v>15.9</v>
      </c>
      <c r="D253" s="6">
        <v>21.1</v>
      </c>
      <c r="E253" s="6">
        <v>27.9</v>
      </c>
      <c r="F253" s="6">
        <v>35.1</v>
      </c>
      <c r="G253" s="6">
        <v>44.2</v>
      </c>
      <c r="H253" s="6">
        <v>54.6</v>
      </c>
      <c r="I253">
        <v>144.85000000000002</v>
      </c>
    </row>
    <row r="254" spans="1:9">
      <c r="A254" s="7">
        <v>44013</v>
      </c>
      <c r="B254" s="6">
        <v>0</v>
      </c>
      <c r="C254" s="6">
        <v>0</v>
      </c>
      <c r="D254" s="6">
        <v>0.3</v>
      </c>
      <c r="E254" s="6">
        <v>0.8</v>
      </c>
      <c r="F254" s="6">
        <v>2</v>
      </c>
      <c r="G254" s="6">
        <v>4.3</v>
      </c>
      <c r="H254" s="6">
        <v>7.4</v>
      </c>
      <c r="I254">
        <v>47.15</v>
      </c>
    </row>
    <row r="255" spans="1:9">
      <c r="A255" s="7">
        <v>44044</v>
      </c>
      <c r="B255" s="6">
        <v>0</v>
      </c>
      <c r="C255" s="6">
        <v>0.2</v>
      </c>
      <c r="D255" s="6">
        <v>0.3</v>
      </c>
      <c r="E255" s="6">
        <v>0.7</v>
      </c>
      <c r="F255" s="6">
        <v>2</v>
      </c>
      <c r="G255" s="6">
        <v>4.0999999999999996</v>
      </c>
      <c r="H255" s="6">
        <v>7.1</v>
      </c>
      <c r="I255">
        <v>73.25</v>
      </c>
    </row>
    <row r="256" spans="1:9">
      <c r="A256" s="7">
        <v>44075</v>
      </c>
      <c r="B256" s="6">
        <v>34.200000000000003</v>
      </c>
      <c r="C256" s="6">
        <v>41.4</v>
      </c>
      <c r="D256" s="6">
        <v>49.2</v>
      </c>
      <c r="E256" s="6">
        <v>58.3</v>
      </c>
      <c r="F256" s="6">
        <v>68.400000000000006</v>
      </c>
      <c r="G256" s="6">
        <v>80.2</v>
      </c>
      <c r="H256" s="6">
        <v>93.3</v>
      </c>
      <c r="I256">
        <v>229.05</v>
      </c>
    </row>
    <row r="257" spans="1:9">
      <c r="A257" s="7">
        <v>44105</v>
      </c>
      <c r="B257" s="6">
        <v>190.3</v>
      </c>
      <c r="C257" s="6">
        <v>213.9</v>
      </c>
      <c r="D257" s="6">
        <v>238.9</v>
      </c>
      <c r="E257" s="6">
        <v>264.7</v>
      </c>
      <c r="F257" s="6">
        <v>291.3</v>
      </c>
      <c r="G257" s="6">
        <v>318.2</v>
      </c>
      <c r="H257" s="6">
        <v>346.2</v>
      </c>
      <c r="I257">
        <v>558.09999999999991</v>
      </c>
    </row>
    <row r="258" spans="1:9">
      <c r="A258" s="7">
        <v>44136</v>
      </c>
      <c r="B258" s="6">
        <v>360.3</v>
      </c>
      <c r="C258" s="6">
        <v>385.9</v>
      </c>
      <c r="D258" s="6">
        <v>412.2</v>
      </c>
      <c r="E258" s="6">
        <v>439.1</v>
      </c>
      <c r="F258" s="6">
        <v>466.2</v>
      </c>
      <c r="G258" s="6">
        <v>493.6</v>
      </c>
      <c r="H258" s="6">
        <v>521.5</v>
      </c>
      <c r="I258">
        <v>732.6</v>
      </c>
    </row>
    <row r="259" spans="1:9">
      <c r="A259" s="7">
        <v>44166</v>
      </c>
      <c r="B259" s="6">
        <v>710</v>
      </c>
      <c r="C259" s="6">
        <v>740.6</v>
      </c>
      <c r="D259" s="6">
        <v>771.3</v>
      </c>
      <c r="E259" s="6">
        <v>802.1</v>
      </c>
      <c r="F259" s="6">
        <v>833.1</v>
      </c>
      <c r="G259" s="6">
        <v>864.1</v>
      </c>
      <c r="H259" s="6">
        <v>895.1</v>
      </c>
      <c r="I259">
        <v>1111.3499999999999</v>
      </c>
    </row>
    <row r="260" spans="1:9">
      <c r="A260" s="7">
        <v>44197</v>
      </c>
      <c r="B260" s="6">
        <v>869.5</v>
      </c>
      <c r="C260" s="6">
        <v>900.5</v>
      </c>
      <c r="D260" s="6">
        <v>931.5</v>
      </c>
      <c r="E260" s="6">
        <v>962.5</v>
      </c>
      <c r="F260" s="6">
        <v>993.5</v>
      </c>
      <c r="G260" s="6">
        <v>1024.5</v>
      </c>
      <c r="H260" s="6">
        <v>1055.5</v>
      </c>
      <c r="I260">
        <v>1261.8499999999999</v>
      </c>
    </row>
    <row r="261" spans="1:9">
      <c r="A261" s="7">
        <v>44228</v>
      </c>
      <c r="B261" s="6">
        <v>795.3</v>
      </c>
      <c r="C261" s="6">
        <v>823.3</v>
      </c>
      <c r="D261" s="6">
        <v>851.3</v>
      </c>
      <c r="E261" s="6">
        <v>879.3</v>
      </c>
      <c r="F261" s="6">
        <v>907.3</v>
      </c>
      <c r="G261" s="6">
        <v>935.3</v>
      </c>
      <c r="H261" s="6">
        <v>963.3</v>
      </c>
      <c r="I261">
        <v>1158.25</v>
      </c>
    </row>
    <row r="262" spans="1:9">
      <c r="A262" s="7">
        <v>44256</v>
      </c>
      <c r="B262" s="6">
        <v>534.1</v>
      </c>
      <c r="C262" s="6">
        <v>563.1</v>
      </c>
      <c r="D262" s="6">
        <v>592.5</v>
      </c>
      <c r="E262" s="6">
        <v>622.1</v>
      </c>
      <c r="F262" s="6">
        <v>651.9</v>
      </c>
      <c r="G262" s="6">
        <v>682.1</v>
      </c>
      <c r="H262" s="6">
        <v>712.1</v>
      </c>
      <c r="I262">
        <v>924.40000000000009</v>
      </c>
    </row>
    <row r="263" spans="1:9">
      <c r="A263" s="7">
        <v>44287</v>
      </c>
      <c r="B263" s="6">
        <v>280.2</v>
      </c>
      <c r="C263" s="6">
        <v>306.7</v>
      </c>
      <c r="D263" s="6">
        <v>333.8</v>
      </c>
      <c r="E263" s="6">
        <v>361.3</v>
      </c>
      <c r="F263" s="6">
        <v>389</v>
      </c>
      <c r="G263" s="6">
        <v>416.9</v>
      </c>
      <c r="H263" s="6">
        <v>445.1</v>
      </c>
      <c r="I263">
        <v>638.70000000000005</v>
      </c>
    </row>
    <row r="264" spans="1:9">
      <c r="A264" s="7">
        <v>44317</v>
      </c>
      <c r="B264" s="6">
        <v>90.1</v>
      </c>
      <c r="C264" s="6">
        <v>104.4</v>
      </c>
      <c r="D264" s="6">
        <v>119.6</v>
      </c>
      <c r="E264" s="6">
        <v>136.1</v>
      </c>
      <c r="F264" s="6">
        <v>153.19999999999999</v>
      </c>
      <c r="G264" s="6">
        <v>172</v>
      </c>
      <c r="H264" s="6">
        <v>192</v>
      </c>
      <c r="I264">
        <v>369.75</v>
      </c>
    </row>
    <row r="265" spans="1:9">
      <c r="A265" s="7">
        <v>44348</v>
      </c>
      <c r="B265" s="6">
        <v>0.6</v>
      </c>
      <c r="C265" s="6">
        <v>1.4</v>
      </c>
      <c r="D265" s="6">
        <v>2.7</v>
      </c>
      <c r="E265" s="6">
        <v>4.8</v>
      </c>
      <c r="F265" s="6">
        <v>7.9</v>
      </c>
      <c r="G265" s="6">
        <v>12.2</v>
      </c>
      <c r="H265" s="6">
        <v>17.899999999999999</v>
      </c>
      <c r="I265">
        <v>98.050000000000011</v>
      </c>
    </row>
    <row r="266" spans="1:9">
      <c r="A266" s="7">
        <v>44378</v>
      </c>
      <c r="B266" s="6">
        <v>0.9</v>
      </c>
      <c r="C266" s="6">
        <v>2.2000000000000002</v>
      </c>
      <c r="D266" s="6">
        <v>4.4000000000000004</v>
      </c>
      <c r="E266" s="6">
        <v>6.6</v>
      </c>
      <c r="F266" s="6">
        <v>9.3000000000000007</v>
      </c>
      <c r="G266" s="6">
        <v>12.5</v>
      </c>
      <c r="H266" s="6">
        <v>16.2</v>
      </c>
      <c r="I266">
        <v>94.4</v>
      </c>
    </row>
    <row r="267" spans="1:9">
      <c r="A267" s="7">
        <v>44409</v>
      </c>
      <c r="B267" s="6">
        <v>0</v>
      </c>
      <c r="C267" s="6">
        <v>0</v>
      </c>
      <c r="D267" s="6">
        <v>0</v>
      </c>
      <c r="E267" s="6">
        <v>0</v>
      </c>
      <c r="F267" s="6">
        <v>0</v>
      </c>
      <c r="G267" s="6">
        <v>0</v>
      </c>
      <c r="H267" s="6">
        <v>0.1</v>
      </c>
      <c r="I267">
        <v>37.15</v>
      </c>
    </row>
    <row r="268" spans="1:9">
      <c r="A268" s="7">
        <v>44440</v>
      </c>
      <c r="B268" s="6">
        <v>3.2</v>
      </c>
      <c r="C268" s="6">
        <v>4.7</v>
      </c>
      <c r="D268" s="6">
        <v>6.7</v>
      </c>
      <c r="E268" s="6">
        <v>9.3000000000000007</v>
      </c>
      <c r="F268" s="6">
        <v>13</v>
      </c>
      <c r="G268" s="6">
        <v>17.3</v>
      </c>
      <c r="H268" s="6">
        <v>22.4</v>
      </c>
      <c r="I268">
        <v>137.1</v>
      </c>
    </row>
    <row r="269" spans="1:9">
      <c r="A269" s="7">
        <v>44470</v>
      </c>
      <c r="B269" s="6">
        <v>80.900000000000006</v>
      </c>
      <c r="C269" s="6">
        <v>94.7</v>
      </c>
      <c r="D269" s="6">
        <v>109.6</v>
      </c>
      <c r="E269" s="6">
        <v>126.9</v>
      </c>
      <c r="F269" s="6">
        <v>146.4</v>
      </c>
      <c r="G269" s="6">
        <v>168.1</v>
      </c>
      <c r="H269" s="6">
        <v>191.5</v>
      </c>
      <c r="I269">
        <v>401.25</v>
      </c>
    </row>
    <row r="270" spans="1:9">
      <c r="A270" s="7">
        <v>44501</v>
      </c>
      <c r="B270" s="6">
        <v>431.3</v>
      </c>
      <c r="C270" s="6">
        <v>460.3</v>
      </c>
      <c r="D270" s="6">
        <v>489.4</v>
      </c>
      <c r="E270" s="6">
        <v>518.6</v>
      </c>
      <c r="F270" s="6">
        <v>548.20000000000005</v>
      </c>
      <c r="G270" s="6">
        <v>577.79999999999995</v>
      </c>
      <c r="H270" s="6">
        <v>607.4</v>
      </c>
      <c r="I270">
        <v>830.2</v>
      </c>
    </row>
    <row r="271" spans="1:9">
      <c r="A271" s="7">
        <v>44531</v>
      </c>
      <c r="B271" s="6">
        <v>608.9</v>
      </c>
      <c r="C271" s="6">
        <v>639.20000000000005</v>
      </c>
      <c r="D271" s="6">
        <v>669.7</v>
      </c>
      <c r="E271" s="6">
        <v>700.5</v>
      </c>
      <c r="F271" s="6">
        <v>731.4</v>
      </c>
      <c r="G271" s="6">
        <v>762.3</v>
      </c>
      <c r="H271" s="6">
        <v>793.3</v>
      </c>
      <c r="I271">
        <v>1013.35</v>
      </c>
    </row>
    <row r="272" spans="1:9">
      <c r="A272" s="7">
        <v>44562</v>
      </c>
      <c r="B272" s="6">
        <v>968</v>
      </c>
      <c r="C272" s="6">
        <v>999</v>
      </c>
      <c r="D272" s="6">
        <v>1030</v>
      </c>
      <c r="E272" s="6">
        <v>1061</v>
      </c>
      <c r="F272" s="6">
        <v>1092</v>
      </c>
      <c r="G272" s="6">
        <v>1123</v>
      </c>
      <c r="H272" s="6">
        <v>1154</v>
      </c>
      <c r="I272">
        <v>1380.5</v>
      </c>
    </row>
    <row r="273" spans="1:9">
      <c r="A273" s="7">
        <v>44593</v>
      </c>
      <c r="B273" s="6">
        <v>723.5</v>
      </c>
      <c r="C273" s="6">
        <v>751</v>
      </c>
      <c r="D273" s="6">
        <v>778.6</v>
      </c>
      <c r="E273" s="6">
        <v>806.4</v>
      </c>
      <c r="F273" s="6">
        <v>834.2</v>
      </c>
      <c r="G273" s="6">
        <v>862</v>
      </c>
      <c r="H273" s="6">
        <v>889.8</v>
      </c>
      <c r="I273">
        <v>1085.3499999999999</v>
      </c>
    </row>
    <row r="274" spans="1:9">
      <c r="A274" s="7">
        <v>44621</v>
      </c>
      <c r="B274" s="6">
        <v>551.5</v>
      </c>
      <c r="C274" s="6">
        <v>580.9</v>
      </c>
      <c r="D274" s="6">
        <v>610.70000000000005</v>
      </c>
      <c r="E274" s="6">
        <v>640.9</v>
      </c>
      <c r="F274" s="6">
        <v>671.3</v>
      </c>
      <c r="G274" s="6">
        <v>701.7</v>
      </c>
      <c r="H274" s="6">
        <v>732.5</v>
      </c>
      <c r="I274">
        <v>929.05</v>
      </c>
    </row>
    <row r="275" spans="1:9">
      <c r="A275" s="7">
        <v>44652</v>
      </c>
      <c r="B275" s="6">
        <v>290.2</v>
      </c>
      <c r="C275" s="6">
        <v>317.39999999999998</v>
      </c>
      <c r="D275" s="6">
        <v>345.2</v>
      </c>
      <c r="E275" s="6">
        <v>373.1</v>
      </c>
      <c r="F275" s="6">
        <v>401.7</v>
      </c>
      <c r="G275" s="6">
        <v>430.8</v>
      </c>
      <c r="H275" s="6">
        <v>459.7</v>
      </c>
      <c r="I275">
        <v>646.75</v>
      </c>
    </row>
    <row r="276" spans="1:9">
      <c r="A276" s="7">
        <v>44682</v>
      </c>
      <c r="B276" s="6">
        <v>110.3</v>
      </c>
      <c r="C276" s="6">
        <v>126.9</v>
      </c>
      <c r="D276" s="6">
        <v>145</v>
      </c>
      <c r="E276" s="6">
        <v>164.1</v>
      </c>
      <c r="F276" s="6">
        <v>184.1</v>
      </c>
      <c r="G276" s="6">
        <v>205.4</v>
      </c>
      <c r="H276" s="6">
        <v>227.8</v>
      </c>
      <c r="I276">
        <v>359.6</v>
      </c>
    </row>
    <row r="277" spans="1:9">
      <c r="A277" s="7">
        <v>44713</v>
      </c>
      <c r="B277" s="6">
        <v>14</v>
      </c>
      <c r="C277" s="6">
        <v>19.8</v>
      </c>
      <c r="D277" s="6">
        <v>26.7</v>
      </c>
      <c r="E277" s="6">
        <v>34.4</v>
      </c>
      <c r="F277" s="6">
        <v>43</v>
      </c>
      <c r="G277" s="6">
        <v>53</v>
      </c>
      <c r="H277" s="6">
        <v>64</v>
      </c>
      <c r="I277">
        <v>172.95</v>
      </c>
    </row>
    <row r="278" spans="1:9">
      <c r="A278" s="7">
        <v>44743</v>
      </c>
      <c r="B278" s="6">
        <v>0</v>
      </c>
      <c r="C278" s="6">
        <v>0</v>
      </c>
      <c r="D278" s="6">
        <v>0</v>
      </c>
      <c r="E278" s="6">
        <v>0</v>
      </c>
      <c r="F278" s="6">
        <v>0.1</v>
      </c>
      <c r="G278" s="6">
        <v>0.3</v>
      </c>
      <c r="H278" s="6">
        <v>0.8</v>
      </c>
      <c r="I278">
        <v>37.1</v>
      </c>
    </row>
    <row r="279" spans="1:9">
      <c r="A279" s="7">
        <v>44774</v>
      </c>
      <c r="B279" s="6">
        <v>0</v>
      </c>
      <c r="C279" s="6">
        <v>0</v>
      </c>
      <c r="D279" s="6">
        <v>0</v>
      </c>
      <c r="E279" s="6">
        <v>0</v>
      </c>
      <c r="F279" s="6">
        <v>0</v>
      </c>
      <c r="G279" s="6">
        <v>0</v>
      </c>
      <c r="H279" s="6">
        <v>0.3</v>
      </c>
      <c r="I279">
        <v>39.85</v>
      </c>
    </row>
    <row r="280" spans="1:9">
      <c r="A280" s="7">
        <v>44805</v>
      </c>
      <c r="B280" s="6">
        <v>20.7</v>
      </c>
      <c r="C280" s="6">
        <v>26.4</v>
      </c>
      <c r="D280" s="6">
        <v>33.799999999999997</v>
      </c>
      <c r="E280" s="6">
        <v>43.3</v>
      </c>
      <c r="F280" s="6">
        <v>54</v>
      </c>
      <c r="G280" s="6">
        <v>66.5</v>
      </c>
      <c r="H280" s="6">
        <v>81.099999999999994</v>
      </c>
      <c r="I280">
        <v>234.05</v>
      </c>
    </row>
    <row r="281" spans="1:9">
      <c r="A281" s="7">
        <v>44835</v>
      </c>
      <c r="B281" s="6">
        <v>123.2</v>
      </c>
      <c r="C281" s="6">
        <v>145.1</v>
      </c>
      <c r="D281" s="6">
        <v>169.2</v>
      </c>
      <c r="E281" s="6">
        <v>194.1</v>
      </c>
      <c r="F281" s="6">
        <v>220.2</v>
      </c>
      <c r="G281" s="6">
        <v>247.3</v>
      </c>
      <c r="H281" s="6">
        <v>274.8</v>
      </c>
      <c r="I281">
        <v>504.2</v>
      </c>
    </row>
    <row r="282" spans="1:9">
      <c r="A282" s="7">
        <v>44866</v>
      </c>
      <c r="B282" s="6">
        <v>342.2</v>
      </c>
      <c r="C282" s="6">
        <v>365.8</v>
      </c>
      <c r="D282" s="6">
        <v>390.2</v>
      </c>
      <c r="E282" s="6">
        <v>414.8</v>
      </c>
      <c r="F282" s="6">
        <v>439.7</v>
      </c>
      <c r="G282" s="6">
        <v>465.1</v>
      </c>
      <c r="H282" s="6">
        <v>490.9</v>
      </c>
      <c r="I282">
        <v>688.8</v>
      </c>
    </row>
    <row r="283" spans="1:9">
      <c r="A283" s="7">
        <v>44896</v>
      </c>
      <c r="B283" s="6">
        <v>665.7</v>
      </c>
      <c r="C283" s="6">
        <v>696.6</v>
      </c>
      <c r="D283" s="6">
        <v>727.5</v>
      </c>
      <c r="E283" s="6">
        <v>758.4</v>
      </c>
      <c r="F283" s="6">
        <v>789.4</v>
      </c>
      <c r="G283" s="6">
        <v>820.4</v>
      </c>
      <c r="H283" s="6">
        <v>851.4</v>
      </c>
      <c r="I283">
        <v>1062.9000000000001</v>
      </c>
    </row>
    <row r="284" spans="1:9">
      <c r="A284" s="7">
        <v>44927</v>
      </c>
      <c r="B284" s="6">
        <v>656.8</v>
      </c>
      <c r="C284" s="6">
        <v>687.8</v>
      </c>
      <c r="D284" s="6">
        <v>718.8</v>
      </c>
      <c r="E284" s="6">
        <v>749.8</v>
      </c>
      <c r="F284" s="6">
        <v>780.8</v>
      </c>
      <c r="G284" s="6">
        <v>811.8</v>
      </c>
      <c r="H284" s="6">
        <v>842.8</v>
      </c>
      <c r="I284">
        <v>1047.55</v>
      </c>
    </row>
    <row r="285" spans="1:9">
      <c r="A285" s="7">
        <v>44958</v>
      </c>
      <c r="B285" s="6">
        <v>661.7</v>
      </c>
      <c r="C285" s="6">
        <v>689.3</v>
      </c>
      <c r="D285" s="6">
        <v>717</v>
      </c>
      <c r="E285" s="6">
        <v>744.8</v>
      </c>
      <c r="F285" s="6">
        <v>772.8</v>
      </c>
      <c r="G285" s="6">
        <v>800.8</v>
      </c>
      <c r="H285" s="6">
        <v>828.8</v>
      </c>
      <c r="I285">
        <v>1015.4</v>
      </c>
    </row>
    <row r="286" spans="1:9">
      <c r="A286" s="7">
        <v>44986</v>
      </c>
      <c r="B286" s="6">
        <v>568.4</v>
      </c>
      <c r="C286" s="6">
        <v>599.4</v>
      </c>
      <c r="D286" s="6">
        <v>630.29999999999995</v>
      </c>
      <c r="E286" s="6">
        <v>661.3</v>
      </c>
      <c r="F286" s="6">
        <v>692.2</v>
      </c>
      <c r="G286" s="6">
        <v>723.2</v>
      </c>
      <c r="H286" s="6">
        <v>754.2</v>
      </c>
      <c r="I286">
        <v>959.5</v>
      </c>
    </row>
    <row r="287" spans="1:9">
      <c r="A287" s="7">
        <v>45017</v>
      </c>
      <c r="B287" s="6">
        <v>292.3</v>
      </c>
      <c r="C287" s="6">
        <v>319.39999999999998</v>
      </c>
      <c r="D287" s="6">
        <v>346.3</v>
      </c>
      <c r="E287" s="6">
        <v>373.5</v>
      </c>
      <c r="F287" s="6">
        <v>400.7</v>
      </c>
      <c r="G287" s="6">
        <v>428.3</v>
      </c>
      <c r="H287" s="6">
        <v>455.9</v>
      </c>
      <c r="I287">
        <v>622.04999999999995</v>
      </c>
    </row>
    <row r="288" spans="1:9">
      <c r="A288" s="6"/>
      <c r="B288" s="6"/>
      <c r="C288" s="6"/>
      <c r="D288" s="6"/>
      <c r="E288" s="6"/>
      <c r="F288" s="6"/>
      <c r="G288" s="6"/>
      <c r="H288" s="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0B5B1-CF89-4679-B4CA-2C9FD678CF9F}">
  <dimension ref="A3:P51"/>
  <sheetViews>
    <sheetView workbookViewId="0">
      <selection activeCell="N23" sqref="N23"/>
    </sheetView>
  </sheetViews>
  <sheetFormatPr defaultRowHeight="15"/>
  <cols>
    <col min="1" max="1" width="13.140625" bestFit="1" customWidth="1"/>
    <col min="2" max="4" width="14" bestFit="1" customWidth="1"/>
    <col min="13" max="13" width="17.85546875" customWidth="1"/>
  </cols>
  <sheetData>
    <row r="3" spans="1:16">
      <c r="A3" s="8" t="s">
        <v>211</v>
      </c>
      <c r="B3" t="s">
        <v>189</v>
      </c>
      <c r="C3" t="s">
        <v>212</v>
      </c>
      <c r="D3" t="s">
        <v>188</v>
      </c>
      <c r="F3" t="s">
        <v>480</v>
      </c>
    </row>
    <row r="4" spans="1:16">
      <c r="A4" s="9" t="s">
        <v>213</v>
      </c>
      <c r="B4">
        <v>8198.7999999999993</v>
      </c>
      <c r="C4">
        <v>5968.1999999999989</v>
      </c>
      <c r="D4">
        <v>4426.7</v>
      </c>
      <c r="F4" s="6">
        <v>0</v>
      </c>
      <c r="G4" s="234">
        <v>5968.2</v>
      </c>
      <c r="H4" s="6" t="s">
        <v>107</v>
      </c>
      <c r="I4" s="6"/>
      <c r="J4" s="6"/>
      <c r="K4" s="6"/>
      <c r="L4" s="6"/>
      <c r="M4" s="6"/>
      <c r="N4" s="6"/>
      <c r="O4" s="6"/>
      <c r="P4" s="6"/>
    </row>
    <row r="5" spans="1:16" ht="15.75" thickBot="1">
      <c r="A5" s="9" t="s">
        <v>214</v>
      </c>
      <c r="B5">
        <v>7628.6000000000013</v>
      </c>
      <c r="C5">
        <v>5445.5</v>
      </c>
      <c r="D5">
        <v>3994.3999999999996</v>
      </c>
      <c r="F5" s="6">
        <v>1</v>
      </c>
      <c r="G5" s="234">
        <v>5445.5</v>
      </c>
      <c r="H5" s="6"/>
      <c r="I5" s="6"/>
      <c r="J5" s="6"/>
      <c r="K5" s="6"/>
      <c r="L5" s="6"/>
      <c r="M5" s="6"/>
      <c r="N5" s="6"/>
      <c r="O5" s="6"/>
      <c r="P5" s="6"/>
    </row>
    <row r="6" spans="1:16">
      <c r="A6" s="9" t="s">
        <v>215</v>
      </c>
      <c r="B6">
        <v>7622.25</v>
      </c>
      <c r="C6">
        <v>5496</v>
      </c>
      <c r="D6">
        <v>4016.7</v>
      </c>
      <c r="F6" s="6">
        <v>2</v>
      </c>
      <c r="G6" s="234">
        <v>5496</v>
      </c>
      <c r="H6" s="238" t="s">
        <v>108</v>
      </c>
      <c r="I6" s="238"/>
      <c r="J6" s="6"/>
      <c r="K6" s="6"/>
      <c r="L6" s="6"/>
      <c r="M6" s="6"/>
      <c r="N6" s="6"/>
      <c r="O6" s="6"/>
      <c r="P6" s="6"/>
    </row>
    <row r="7" spans="1:16">
      <c r="A7" s="9" t="s">
        <v>216</v>
      </c>
      <c r="B7">
        <v>8365.1</v>
      </c>
      <c r="C7">
        <v>6244.5999999999995</v>
      </c>
      <c r="D7">
        <v>4714.8</v>
      </c>
      <c r="F7" s="6">
        <v>3</v>
      </c>
      <c r="G7" s="234">
        <v>6244.6</v>
      </c>
      <c r="H7" s="6" t="s">
        <v>109</v>
      </c>
      <c r="I7" s="6">
        <v>0.52036528599999998</v>
      </c>
      <c r="J7" s="6"/>
      <c r="K7" s="6"/>
      <c r="L7" s="6"/>
      <c r="M7" s="6"/>
      <c r="N7" s="6"/>
      <c r="O7" s="6"/>
      <c r="P7" s="6"/>
    </row>
    <row r="8" spans="1:16">
      <c r="A8" s="9" t="s">
        <v>217</v>
      </c>
      <c r="B8">
        <v>8163.1499999999978</v>
      </c>
      <c r="C8">
        <v>5977.9</v>
      </c>
      <c r="D8">
        <v>4460.8</v>
      </c>
      <c r="F8" s="6">
        <v>4</v>
      </c>
      <c r="G8" s="234">
        <v>5977.9</v>
      </c>
      <c r="H8" s="6" t="s">
        <v>110</v>
      </c>
      <c r="I8" s="6">
        <v>0.27078003099999998</v>
      </c>
      <c r="J8" s="6"/>
      <c r="K8" s="6"/>
      <c r="L8" s="6"/>
      <c r="M8" s="6"/>
      <c r="N8" s="6"/>
      <c r="O8" s="6"/>
      <c r="P8" s="6"/>
    </row>
    <row r="9" spans="1:16">
      <c r="A9" s="9" t="s">
        <v>218</v>
      </c>
      <c r="B9">
        <v>8095.3499999999985</v>
      </c>
      <c r="C9">
        <v>6022.0000000000009</v>
      </c>
      <c r="D9">
        <v>4513.5</v>
      </c>
      <c r="F9" s="6">
        <v>5</v>
      </c>
      <c r="G9" s="234">
        <v>6022</v>
      </c>
      <c r="H9" s="6" t="s">
        <v>111</v>
      </c>
      <c r="I9" s="6">
        <v>0.23605527000000001</v>
      </c>
      <c r="J9" s="6"/>
      <c r="K9" s="6"/>
      <c r="L9" s="6"/>
      <c r="M9" s="6"/>
      <c r="N9" s="6"/>
      <c r="O9" s="6"/>
      <c r="P9" s="6"/>
    </row>
    <row r="10" spans="1:16">
      <c r="A10" s="9" t="s">
        <v>219</v>
      </c>
      <c r="B10">
        <v>7284.7999999999993</v>
      </c>
      <c r="C10">
        <v>5169.7000000000016</v>
      </c>
      <c r="D10">
        <v>3692</v>
      </c>
      <c r="F10" s="6">
        <v>6</v>
      </c>
      <c r="G10" s="234">
        <v>5169.7</v>
      </c>
      <c r="H10" s="6" t="s">
        <v>112</v>
      </c>
      <c r="I10" s="6">
        <v>306.36825069999998</v>
      </c>
      <c r="J10" s="6"/>
      <c r="K10" s="6"/>
      <c r="L10" s="6"/>
      <c r="M10" s="6"/>
      <c r="N10" s="6"/>
      <c r="O10" s="6"/>
      <c r="P10" s="6"/>
    </row>
    <row r="11" spans="1:16" ht="15.75" thickBot="1">
      <c r="A11" s="9" t="s">
        <v>220</v>
      </c>
      <c r="B11">
        <v>7907.9999999999991</v>
      </c>
      <c r="C11">
        <v>5815.0999999999995</v>
      </c>
      <c r="D11">
        <v>4376.2</v>
      </c>
      <c r="F11" s="6">
        <v>7</v>
      </c>
      <c r="G11" s="234">
        <v>5815.1</v>
      </c>
      <c r="H11" s="235" t="s">
        <v>113</v>
      </c>
      <c r="I11" s="235">
        <v>23</v>
      </c>
      <c r="J11" s="6"/>
      <c r="K11" s="6"/>
      <c r="L11" s="6"/>
      <c r="M11" s="6"/>
      <c r="N11" s="6"/>
      <c r="O11" s="6"/>
      <c r="P11" s="6"/>
    </row>
    <row r="12" spans="1:16">
      <c r="A12" s="9" t="s">
        <v>221</v>
      </c>
      <c r="B12">
        <v>7739.25</v>
      </c>
      <c r="C12">
        <v>5577.6</v>
      </c>
      <c r="D12">
        <v>4105</v>
      </c>
      <c r="F12" s="6">
        <v>8</v>
      </c>
      <c r="G12" s="234">
        <v>5577.6</v>
      </c>
      <c r="H12" s="6"/>
      <c r="I12" s="6"/>
      <c r="J12" s="6"/>
      <c r="K12" s="6"/>
      <c r="L12" s="6"/>
      <c r="M12" s="6"/>
      <c r="N12" s="6"/>
      <c r="O12" s="6"/>
      <c r="P12" s="6"/>
    </row>
    <row r="13" spans="1:16" ht="15.75" thickBot="1">
      <c r="A13" s="9" t="s">
        <v>222</v>
      </c>
      <c r="B13">
        <v>8014.4</v>
      </c>
      <c r="C13">
        <v>5831.7999999999993</v>
      </c>
      <c r="D13">
        <v>4282.4000000000005</v>
      </c>
      <c r="F13" s="6">
        <v>9</v>
      </c>
      <c r="G13" s="234">
        <v>5831.8</v>
      </c>
      <c r="H13" s="6" t="s">
        <v>114</v>
      </c>
      <c r="I13" s="6"/>
      <c r="J13" s="6"/>
      <c r="K13" s="6"/>
      <c r="L13" s="6"/>
      <c r="M13" s="6"/>
      <c r="N13" s="6"/>
      <c r="O13" s="6"/>
      <c r="P13" s="6"/>
    </row>
    <row r="14" spans="1:16">
      <c r="A14" s="9" t="s">
        <v>223</v>
      </c>
      <c r="B14">
        <v>7284.8</v>
      </c>
      <c r="C14">
        <v>5257.6999999999989</v>
      </c>
      <c r="D14">
        <v>3860.0000000000005</v>
      </c>
      <c r="F14" s="6">
        <v>10</v>
      </c>
      <c r="G14" s="234">
        <v>5257.7</v>
      </c>
      <c r="H14" s="236"/>
      <c r="I14" s="236" t="s">
        <v>115</v>
      </c>
      <c r="J14" s="236" t="s">
        <v>116</v>
      </c>
      <c r="K14" s="236" t="s">
        <v>117</v>
      </c>
      <c r="L14" s="236" t="s">
        <v>118</v>
      </c>
      <c r="M14" s="236" t="s">
        <v>119</v>
      </c>
      <c r="N14" s="6"/>
      <c r="O14" s="6"/>
      <c r="P14" s="6"/>
    </row>
    <row r="15" spans="1:16">
      <c r="A15" s="9" t="s">
        <v>224</v>
      </c>
      <c r="B15">
        <v>7415.4</v>
      </c>
      <c r="C15">
        <v>5267.7000000000007</v>
      </c>
      <c r="D15">
        <v>3850.3</v>
      </c>
      <c r="F15" s="6">
        <v>11</v>
      </c>
      <c r="G15" s="234">
        <v>5267.7</v>
      </c>
      <c r="H15" s="6" t="s">
        <v>120</v>
      </c>
      <c r="I15" s="6">
        <v>1</v>
      </c>
      <c r="J15" s="6">
        <v>731922.147</v>
      </c>
      <c r="K15" s="6">
        <v>731922.147</v>
      </c>
      <c r="L15" s="6">
        <v>7.7978948519999998</v>
      </c>
      <c r="M15" s="6">
        <v>1.091224E-2</v>
      </c>
      <c r="N15" s="6"/>
      <c r="O15" s="6"/>
      <c r="P15" s="6"/>
    </row>
    <row r="16" spans="1:16">
      <c r="A16" s="9" t="s">
        <v>225</v>
      </c>
      <c r="B16">
        <v>7047.25</v>
      </c>
      <c r="C16">
        <v>4958.6999999999989</v>
      </c>
      <c r="D16">
        <v>3517.3</v>
      </c>
      <c r="F16" s="6">
        <v>12</v>
      </c>
      <c r="G16" s="234">
        <v>4958.7</v>
      </c>
      <c r="H16" s="6" t="s">
        <v>121</v>
      </c>
      <c r="I16" s="6">
        <v>21</v>
      </c>
      <c r="J16" s="6">
        <v>1971091.6059999999</v>
      </c>
      <c r="K16" s="6">
        <v>93861.505050000007</v>
      </c>
      <c r="L16" s="6"/>
      <c r="M16" s="6"/>
      <c r="N16" s="6"/>
      <c r="O16" s="6"/>
      <c r="P16" s="6"/>
    </row>
    <row r="17" spans="1:16" ht="15.75" thickBot="1">
      <c r="A17" s="9" t="s">
        <v>226</v>
      </c>
      <c r="B17">
        <v>7896.55</v>
      </c>
      <c r="C17">
        <v>5723.8000000000011</v>
      </c>
      <c r="D17">
        <v>4254.5</v>
      </c>
      <c r="F17" s="6">
        <v>13</v>
      </c>
      <c r="G17" s="234">
        <v>5723.8</v>
      </c>
      <c r="H17" s="235" t="s">
        <v>10</v>
      </c>
      <c r="I17" s="235">
        <v>22</v>
      </c>
      <c r="J17" s="235">
        <v>2703013.753</v>
      </c>
      <c r="K17" s="235"/>
      <c r="L17" s="235"/>
      <c r="M17" s="235"/>
      <c r="N17" s="6"/>
      <c r="O17" s="6"/>
      <c r="P17" s="6"/>
    </row>
    <row r="18" spans="1:16" ht="15.75" thickBot="1">
      <c r="A18" s="9" t="s">
        <v>227</v>
      </c>
      <c r="B18">
        <v>8127.4499999999989</v>
      </c>
      <c r="C18">
        <v>5879.6</v>
      </c>
      <c r="D18">
        <v>4397.6000000000004</v>
      </c>
      <c r="F18" s="6">
        <v>14</v>
      </c>
      <c r="G18" s="234">
        <v>5879.6</v>
      </c>
      <c r="H18" s="6"/>
      <c r="I18" s="6"/>
      <c r="J18" s="6"/>
      <c r="K18" s="6"/>
      <c r="L18" s="6"/>
      <c r="M18" s="6"/>
      <c r="N18" s="6"/>
      <c r="O18" s="6"/>
      <c r="P18" s="6"/>
    </row>
    <row r="19" spans="1:16">
      <c r="A19" s="9" t="s">
        <v>228</v>
      </c>
      <c r="B19">
        <v>7944.85</v>
      </c>
      <c r="C19">
        <v>5823.5</v>
      </c>
      <c r="D19">
        <v>4396.4999999999991</v>
      </c>
      <c r="F19" s="6">
        <v>15</v>
      </c>
      <c r="G19" s="234">
        <v>5823.5</v>
      </c>
      <c r="H19" s="236"/>
      <c r="I19" s="236" t="s">
        <v>122</v>
      </c>
      <c r="J19" s="236" t="s">
        <v>112</v>
      </c>
      <c r="K19" s="236" t="s">
        <v>123</v>
      </c>
      <c r="L19" s="236" t="s">
        <v>124</v>
      </c>
      <c r="M19" s="236" t="s">
        <v>125</v>
      </c>
      <c r="N19" s="236" t="s">
        <v>126</v>
      </c>
      <c r="O19" s="236" t="s">
        <v>127</v>
      </c>
      <c r="P19" s="236" t="s">
        <v>128</v>
      </c>
    </row>
    <row r="20" spans="1:16">
      <c r="A20" s="9" t="s">
        <v>229</v>
      </c>
      <c r="B20">
        <v>7384.8000000000011</v>
      </c>
      <c r="C20">
        <v>5367.4</v>
      </c>
      <c r="D20">
        <v>3923.1000000000004</v>
      </c>
      <c r="F20" s="6">
        <v>16</v>
      </c>
      <c r="G20" s="234">
        <v>5367.4</v>
      </c>
      <c r="H20" s="6" t="s">
        <v>129</v>
      </c>
      <c r="I20" s="6">
        <v>5845.4423909999996</v>
      </c>
      <c r="J20" s="6">
        <v>123.7073412</v>
      </c>
      <c r="K20" s="6">
        <v>47.252186780000002</v>
      </c>
      <c r="L20" s="237">
        <v>8.2275599999999998E-23</v>
      </c>
      <c r="M20" s="6">
        <v>5588.1788919999999</v>
      </c>
      <c r="N20" s="6">
        <v>6102.7058909999996</v>
      </c>
      <c r="O20" s="6">
        <v>5588.1788919999999</v>
      </c>
      <c r="P20" s="6">
        <v>6102.7058909999996</v>
      </c>
    </row>
    <row r="21" spans="1:16" ht="15.75" thickBot="1">
      <c r="A21" s="9" t="s">
        <v>230</v>
      </c>
      <c r="B21">
        <v>7529.8499999999985</v>
      </c>
      <c r="C21">
        <v>5496.8</v>
      </c>
      <c r="D21">
        <v>4068.6000000000004</v>
      </c>
      <c r="F21" s="6">
        <v>17</v>
      </c>
      <c r="G21" s="234">
        <v>5496.8</v>
      </c>
      <c r="H21" s="235" t="s">
        <v>130</v>
      </c>
      <c r="I21" s="235">
        <v>-26.893181819999999</v>
      </c>
      <c r="J21" s="235">
        <v>9.6306034480000005</v>
      </c>
      <c r="K21" s="235">
        <v>-2.7924711009999998</v>
      </c>
      <c r="L21" s="235">
        <v>1.091224E-2</v>
      </c>
      <c r="M21" s="235">
        <v>-46.921118079999999</v>
      </c>
      <c r="N21" s="235">
        <v>-6.8652455540000004</v>
      </c>
      <c r="O21" s="235">
        <v>-46.921118079999999</v>
      </c>
      <c r="P21" s="235">
        <v>-6.8652455540000004</v>
      </c>
    </row>
    <row r="22" spans="1:16">
      <c r="A22" s="9" t="s">
        <v>231</v>
      </c>
      <c r="B22">
        <v>7513.8999999999987</v>
      </c>
      <c r="C22">
        <v>5554.3</v>
      </c>
      <c r="D22">
        <v>4135.2</v>
      </c>
      <c r="F22" s="6">
        <v>18</v>
      </c>
      <c r="G22" s="234">
        <v>5554.3</v>
      </c>
      <c r="H22" s="6"/>
      <c r="I22" s="6" t="s">
        <v>481</v>
      </c>
      <c r="J22" s="6"/>
      <c r="K22" s="6"/>
      <c r="L22" s="6">
        <f>I21/AVERAGE($I$28:$I$50)</f>
        <v>-4.845952418692759E-3</v>
      </c>
      <c r="M22" s="6">
        <f>M21/AVERAGE($I$28:$I$50)</f>
        <v>-8.4548383738828475E-3</v>
      </c>
      <c r="N22" s="6">
        <f>N21/AVERAGE($I$28:$I$50)</f>
        <v>-1.2370664624215153E-3</v>
      </c>
      <c r="O22" s="6"/>
      <c r="P22" s="6"/>
    </row>
    <row r="23" spans="1:16">
      <c r="A23" s="9" t="s">
        <v>232</v>
      </c>
      <c r="B23">
        <v>7369.4500000000007</v>
      </c>
      <c r="C23">
        <v>5327.2999999999993</v>
      </c>
      <c r="D23">
        <v>3904.1000000000004</v>
      </c>
      <c r="F23" s="6">
        <v>19</v>
      </c>
      <c r="G23" s="234">
        <v>5327.3</v>
      </c>
      <c r="H23" s="6"/>
      <c r="I23" s="6"/>
      <c r="J23" s="6"/>
      <c r="K23" s="6"/>
      <c r="L23" s="6"/>
      <c r="M23" s="6"/>
      <c r="N23" s="6"/>
      <c r="O23" s="6"/>
      <c r="P23" s="6"/>
    </row>
    <row r="24" spans="1:16">
      <c r="A24" s="9" t="s">
        <v>233</v>
      </c>
      <c r="B24">
        <v>7126.0000000000018</v>
      </c>
      <c r="C24">
        <v>5192.1000000000004</v>
      </c>
      <c r="D24">
        <v>3730.6</v>
      </c>
      <c r="F24" s="6">
        <v>20</v>
      </c>
      <c r="G24" s="234">
        <v>5192.1000000000004</v>
      </c>
      <c r="H24" s="6"/>
      <c r="I24" s="6"/>
      <c r="J24" s="6"/>
      <c r="K24" s="6"/>
      <c r="L24" s="6"/>
      <c r="M24" s="6"/>
      <c r="N24" s="6"/>
      <c r="O24" s="6"/>
      <c r="P24" s="6"/>
    </row>
    <row r="25" spans="1:16">
      <c r="A25" s="9" t="s">
        <v>234</v>
      </c>
      <c r="B25">
        <v>6964.45</v>
      </c>
      <c r="C25">
        <v>5016.8</v>
      </c>
      <c r="D25">
        <v>3695</v>
      </c>
      <c r="F25" s="6">
        <v>21</v>
      </c>
      <c r="G25" s="234">
        <v>5016.8</v>
      </c>
      <c r="H25" s="6" t="s">
        <v>131</v>
      </c>
      <c r="I25" s="6"/>
      <c r="J25" s="6"/>
      <c r="K25" s="6"/>
      <c r="L25" s="6"/>
      <c r="M25" s="6"/>
      <c r="N25" s="6"/>
      <c r="O25" s="6"/>
      <c r="P25" s="6"/>
    </row>
    <row r="26" spans="1:16" ht="15.75" thickBot="1">
      <c r="A26" s="9" t="s">
        <v>235</v>
      </c>
      <c r="B26">
        <v>7141.1</v>
      </c>
      <c r="C26">
        <v>5227.1000000000004</v>
      </c>
      <c r="D26">
        <v>3809.2999999999993</v>
      </c>
      <c r="F26" s="6">
        <v>22</v>
      </c>
      <c r="G26" s="234">
        <v>5227.1000000000004</v>
      </c>
      <c r="H26" s="6"/>
      <c r="I26" s="6"/>
      <c r="J26" s="6"/>
      <c r="K26" s="6"/>
      <c r="L26" s="6"/>
      <c r="M26" s="6"/>
      <c r="N26" s="6"/>
      <c r="O26" s="6"/>
      <c r="P26" s="6"/>
    </row>
    <row r="27" spans="1:16">
      <c r="A27" s="9" t="s">
        <v>236</v>
      </c>
      <c r="B27">
        <v>3644.5</v>
      </c>
      <c r="C27">
        <v>2881.7000000000003</v>
      </c>
      <c r="D27">
        <v>2179.2000000000003</v>
      </c>
      <c r="F27" s="6"/>
      <c r="G27" s="6"/>
      <c r="H27" s="236" t="s">
        <v>132</v>
      </c>
      <c r="I27" s="236" t="s">
        <v>133</v>
      </c>
      <c r="J27" s="236" t="s">
        <v>134</v>
      </c>
      <c r="K27" s="6"/>
      <c r="L27" s="6"/>
      <c r="M27" s="6"/>
      <c r="N27" s="6"/>
      <c r="O27" s="6"/>
      <c r="P27" s="6"/>
    </row>
    <row r="28" spans="1:16">
      <c r="A28" s="9" t="s">
        <v>237</v>
      </c>
      <c r="B28">
        <v>179410.05000000002</v>
      </c>
      <c r="C28">
        <v>130522.90000000001</v>
      </c>
      <c r="D28">
        <v>96303.800000000017</v>
      </c>
      <c r="F28" s="6"/>
      <c r="G28" s="6"/>
      <c r="H28" s="6">
        <v>1</v>
      </c>
      <c r="I28" s="6">
        <v>5845.4423909999996</v>
      </c>
      <c r="J28" s="6">
        <v>122.75760870000001</v>
      </c>
      <c r="K28" s="6"/>
      <c r="L28" s="6"/>
      <c r="M28" s="6"/>
      <c r="N28" s="6"/>
      <c r="O28" s="6"/>
      <c r="P28" s="6"/>
    </row>
    <row r="29" spans="1:16">
      <c r="F29" s="6"/>
      <c r="G29" s="6"/>
      <c r="H29" s="6">
        <v>2</v>
      </c>
      <c r="I29" s="6">
        <v>5818.5492089999998</v>
      </c>
      <c r="J29" s="6">
        <v>-373.04920950000002</v>
      </c>
      <c r="K29" s="6"/>
      <c r="L29" s="6"/>
      <c r="M29" s="6"/>
      <c r="N29" s="6"/>
      <c r="O29" s="6"/>
      <c r="P29" s="6"/>
    </row>
    <row r="30" spans="1:16">
      <c r="F30" s="6"/>
      <c r="G30" s="6"/>
      <c r="H30" s="6">
        <v>3</v>
      </c>
      <c r="I30" s="6">
        <v>5791.6560280000003</v>
      </c>
      <c r="J30" s="6">
        <v>-295.65602769999998</v>
      </c>
      <c r="K30" s="6"/>
      <c r="L30" s="6"/>
      <c r="M30" s="6"/>
      <c r="N30" s="6"/>
      <c r="O30" s="6"/>
      <c r="P30" s="6"/>
    </row>
    <row r="31" spans="1:16">
      <c r="F31" s="6"/>
      <c r="G31" s="6"/>
      <c r="H31" s="6">
        <v>4</v>
      </c>
      <c r="I31" s="6">
        <v>5764.7628459999996</v>
      </c>
      <c r="J31" s="6">
        <v>479.83715419999999</v>
      </c>
      <c r="K31" s="6"/>
      <c r="L31" s="6"/>
      <c r="M31" s="6"/>
      <c r="N31" s="6"/>
      <c r="O31" s="6"/>
      <c r="P31" s="6"/>
    </row>
    <row r="32" spans="1:16">
      <c r="F32" s="6"/>
      <c r="G32" s="6"/>
      <c r="H32" s="6">
        <v>5</v>
      </c>
      <c r="I32" s="6">
        <v>5737.8696639999998</v>
      </c>
      <c r="J32" s="6">
        <v>240.03033600000001</v>
      </c>
      <c r="K32" s="6"/>
      <c r="L32" s="6"/>
      <c r="M32" s="6"/>
      <c r="N32" s="6"/>
      <c r="O32" s="6"/>
      <c r="P32" s="6"/>
    </row>
    <row r="33" spans="6:16">
      <c r="F33" s="6"/>
      <c r="G33" s="6"/>
      <c r="H33" s="6">
        <v>6</v>
      </c>
      <c r="I33" s="6">
        <v>5710.976482</v>
      </c>
      <c r="J33" s="6">
        <v>311.02351779999998</v>
      </c>
      <c r="K33" s="6"/>
      <c r="L33" s="6"/>
      <c r="M33" s="6"/>
      <c r="N33" s="6"/>
      <c r="O33" s="6"/>
      <c r="P33" s="6"/>
    </row>
    <row r="34" spans="6:16">
      <c r="F34" s="6"/>
      <c r="G34" s="6"/>
      <c r="H34" s="6">
        <v>7</v>
      </c>
      <c r="I34" s="6">
        <v>5684.0833000000002</v>
      </c>
      <c r="J34" s="6">
        <v>-514.38330040000005</v>
      </c>
      <c r="K34" s="6"/>
      <c r="L34" s="6"/>
      <c r="M34" s="6"/>
      <c r="N34" s="6"/>
      <c r="O34" s="6"/>
      <c r="P34" s="6"/>
    </row>
    <row r="35" spans="6:16">
      <c r="F35" s="6"/>
      <c r="G35" s="6"/>
      <c r="H35" s="6">
        <v>8</v>
      </c>
      <c r="I35" s="6">
        <v>5657.1901189999999</v>
      </c>
      <c r="J35" s="6">
        <v>157.90988139999999</v>
      </c>
      <c r="K35" s="6"/>
      <c r="L35" s="6"/>
      <c r="M35" s="6"/>
      <c r="N35" s="6"/>
      <c r="O35" s="6"/>
      <c r="P35" s="6"/>
    </row>
    <row r="36" spans="6:16">
      <c r="F36" s="6"/>
      <c r="G36" s="6"/>
      <c r="H36" s="6">
        <v>9</v>
      </c>
      <c r="I36" s="6">
        <v>5630.2969370000001</v>
      </c>
      <c r="J36" s="6">
        <v>-52.69693676</v>
      </c>
      <c r="K36" s="6"/>
      <c r="L36" s="6"/>
      <c r="M36" s="6"/>
      <c r="N36" s="6"/>
      <c r="O36" s="6"/>
      <c r="P36" s="6"/>
    </row>
    <row r="37" spans="6:16">
      <c r="F37" s="6"/>
      <c r="G37" s="6"/>
      <c r="H37" s="6">
        <v>10</v>
      </c>
      <c r="I37" s="6">
        <v>5603.4037550000003</v>
      </c>
      <c r="J37" s="6">
        <v>228.39624509999999</v>
      </c>
      <c r="K37" s="6"/>
      <c r="L37" s="6"/>
      <c r="M37" s="6"/>
      <c r="N37" s="6"/>
      <c r="O37" s="6"/>
      <c r="P37" s="6"/>
    </row>
    <row r="38" spans="6:16">
      <c r="F38" s="6"/>
      <c r="G38" s="6"/>
      <c r="H38" s="6">
        <v>11</v>
      </c>
      <c r="I38" s="6">
        <v>5576.5105729999996</v>
      </c>
      <c r="J38" s="6">
        <v>-318.8105731</v>
      </c>
      <c r="K38" s="6"/>
      <c r="L38" s="6"/>
      <c r="M38" s="6"/>
      <c r="N38" s="6"/>
      <c r="O38" s="6"/>
      <c r="P38" s="6"/>
    </row>
    <row r="39" spans="6:16">
      <c r="F39" s="6"/>
      <c r="G39" s="6"/>
      <c r="H39" s="6">
        <v>12</v>
      </c>
      <c r="I39" s="6">
        <v>5549.6173909999998</v>
      </c>
      <c r="J39" s="6">
        <v>-281.91739130000002</v>
      </c>
      <c r="K39" s="6"/>
      <c r="L39" s="6"/>
      <c r="M39" s="6"/>
      <c r="N39" s="6"/>
      <c r="O39" s="6"/>
      <c r="P39" s="6"/>
    </row>
    <row r="40" spans="6:16">
      <c r="F40" s="6"/>
      <c r="G40" s="6"/>
      <c r="H40" s="6">
        <v>13</v>
      </c>
      <c r="I40" s="6">
        <v>5522.724209</v>
      </c>
      <c r="J40" s="6">
        <v>-564.02420949999998</v>
      </c>
      <c r="K40" s="6"/>
      <c r="L40" s="6"/>
      <c r="M40" s="6"/>
      <c r="N40" s="6"/>
      <c r="O40" s="6"/>
      <c r="P40" s="6"/>
    </row>
    <row r="41" spans="6:16">
      <c r="F41" s="6"/>
      <c r="G41" s="6"/>
      <c r="H41" s="6">
        <v>14</v>
      </c>
      <c r="I41" s="6">
        <v>5495.8310279999996</v>
      </c>
      <c r="J41" s="6">
        <v>227.96897229999999</v>
      </c>
      <c r="K41" s="6"/>
      <c r="L41" s="6"/>
      <c r="M41" s="6"/>
      <c r="N41" s="6"/>
      <c r="O41" s="6"/>
      <c r="P41" s="6"/>
    </row>
    <row r="42" spans="6:16">
      <c r="F42" s="6"/>
      <c r="G42" s="6"/>
      <c r="H42" s="6">
        <v>15</v>
      </c>
      <c r="I42" s="6">
        <v>5468.9378459999998</v>
      </c>
      <c r="J42" s="6">
        <v>410.66215419999997</v>
      </c>
      <c r="K42" s="6"/>
      <c r="L42" s="6"/>
      <c r="M42" s="6"/>
      <c r="N42" s="6"/>
      <c r="O42" s="6"/>
      <c r="P42" s="6"/>
    </row>
    <row r="43" spans="6:16">
      <c r="F43" s="6"/>
      <c r="G43" s="6"/>
      <c r="H43" s="6">
        <v>16</v>
      </c>
      <c r="I43" s="6">
        <v>5442.044664</v>
      </c>
      <c r="J43" s="6">
        <v>381.45533599999999</v>
      </c>
      <c r="K43" s="6"/>
      <c r="L43" s="6"/>
      <c r="M43" s="6"/>
      <c r="N43" s="6"/>
      <c r="O43" s="6"/>
      <c r="P43" s="6"/>
    </row>
    <row r="44" spans="6:16">
      <c r="F44" s="6"/>
      <c r="G44" s="6"/>
      <c r="H44" s="6">
        <v>17</v>
      </c>
      <c r="I44" s="6">
        <v>5415.1514820000002</v>
      </c>
      <c r="J44" s="6">
        <v>-47.751482209999999</v>
      </c>
      <c r="K44" s="6"/>
      <c r="L44" s="6"/>
      <c r="M44" s="6"/>
      <c r="N44" s="6"/>
      <c r="O44" s="6"/>
      <c r="P44" s="6"/>
    </row>
    <row r="45" spans="6:16">
      <c r="F45" s="6"/>
      <c r="G45" s="6"/>
      <c r="H45" s="6">
        <v>18</v>
      </c>
      <c r="I45" s="6">
        <v>5388.2583000000004</v>
      </c>
      <c r="J45" s="6">
        <v>108.5416996</v>
      </c>
      <c r="K45" s="6"/>
      <c r="L45" s="6"/>
      <c r="M45" s="6"/>
      <c r="N45" s="6"/>
      <c r="O45" s="6"/>
      <c r="P45" s="6"/>
    </row>
    <row r="46" spans="6:16">
      <c r="F46" s="6"/>
      <c r="G46" s="6"/>
      <c r="H46" s="6">
        <v>19</v>
      </c>
      <c r="I46" s="6">
        <v>5361.365119</v>
      </c>
      <c r="J46" s="6">
        <v>192.93488139999999</v>
      </c>
      <c r="K46" s="6"/>
      <c r="L46" s="6"/>
      <c r="M46" s="6"/>
      <c r="N46" s="6"/>
      <c r="O46" s="6"/>
      <c r="P46" s="6"/>
    </row>
    <row r="47" spans="6:16">
      <c r="F47" s="6"/>
      <c r="G47" s="6"/>
      <c r="H47" s="6">
        <v>20</v>
      </c>
      <c r="I47" s="6">
        <v>5334.4719370000003</v>
      </c>
      <c r="J47" s="6">
        <v>-7.1719367590000003</v>
      </c>
      <c r="K47" s="6"/>
      <c r="L47" s="6"/>
      <c r="M47" s="6"/>
      <c r="N47" s="6"/>
      <c r="O47" s="6"/>
      <c r="P47" s="6"/>
    </row>
    <row r="48" spans="6:16">
      <c r="F48" s="6"/>
      <c r="G48" s="6"/>
      <c r="H48" s="6">
        <v>21</v>
      </c>
      <c r="I48" s="6">
        <v>5307.5787549999995</v>
      </c>
      <c r="J48" s="6">
        <v>-115.4787549</v>
      </c>
      <c r="K48" s="6"/>
      <c r="L48" s="6"/>
      <c r="M48" s="6"/>
      <c r="N48" s="6"/>
      <c r="O48" s="6"/>
      <c r="P48" s="6"/>
    </row>
    <row r="49" spans="6:16">
      <c r="F49" s="6"/>
      <c r="G49" s="6"/>
      <c r="H49" s="6">
        <v>22</v>
      </c>
      <c r="I49" s="6">
        <v>5280.6855729999997</v>
      </c>
      <c r="J49" s="6">
        <v>-263.88557309999999</v>
      </c>
      <c r="K49" s="6"/>
      <c r="L49" s="6"/>
      <c r="M49" s="6"/>
      <c r="N49" s="6"/>
      <c r="O49" s="6"/>
      <c r="P49" s="6"/>
    </row>
    <row r="50" spans="6:16" ht="15.75" thickBot="1">
      <c r="F50" s="6"/>
      <c r="G50" s="6"/>
      <c r="H50" s="235">
        <v>23</v>
      </c>
      <c r="I50" s="235">
        <v>5253.792391</v>
      </c>
      <c r="J50" s="235">
        <v>-26.692391300000001</v>
      </c>
      <c r="K50" s="6"/>
      <c r="L50" s="6"/>
      <c r="M50" s="6"/>
      <c r="N50" s="6"/>
      <c r="O50" s="6"/>
      <c r="P50" s="6"/>
    </row>
    <row r="51" spans="6:16">
      <c r="F51" s="6"/>
      <c r="G51" s="6"/>
      <c r="H51" s="6"/>
      <c r="I51" s="6"/>
      <c r="J51" s="6"/>
      <c r="K51" s="6"/>
      <c r="L51" s="6"/>
      <c r="M51" s="6"/>
      <c r="N51" s="6"/>
      <c r="O51" s="6"/>
      <c r="P51" s="6"/>
    </row>
  </sheetData>
  <mergeCells count="1">
    <mergeCell ref="H6:I6"/>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4"/>
  <sheetViews>
    <sheetView workbookViewId="0">
      <selection activeCell="A2" sqref="A2:M2"/>
    </sheetView>
  </sheetViews>
  <sheetFormatPr defaultRowHeight="15"/>
  <sheetData>
    <row r="1" spans="1:33" ht="75">
      <c r="A1" s="65" t="s">
        <v>0</v>
      </c>
      <c r="B1" t="s">
        <v>1</v>
      </c>
    </row>
    <row r="2" spans="1:33">
      <c r="A2" s="125" t="s">
        <v>2</v>
      </c>
      <c r="B2" s="126"/>
      <c r="C2" s="126"/>
      <c r="D2" s="126"/>
      <c r="E2" s="126"/>
      <c r="F2" s="126"/>
      <c r="G2" s="126"/>
      <c r="H2" s="126"/>
      <c r="I2" s="126"/>
      <c r="J2" s="126"/>
      <c r="K2" s="126"/>
      <c r="L2" s="126"/>
      <c r="M2" s="126"/>
    </row>
    <row r="3" spans="1:33" ht="51.75">
      <c r="A3" s="73"/>
      <c r="B3" s="74" t="s">
        <v>3</v>
      </c>
      <c r="C3" s="122" t="s">
        <v>4</v>
      </c>
      <c r="D3" s="123"/>
      <c r="E3" s="123"/>
      <c r="F3" s="123"/>
      <c r="G3" s="123"/>
      <c r="H3" s="123"/>
      <c r="I3" s="123"/>
      <c r="J3" s="123"/>
      <c r="K3" s="123"/>
      <c r="L3" s="123"/>
      <c r="M3" s="123"/>
      <c r="N3" s="123"/>
      <c r="O3" s="123"/>
      <c r="P3" s="123"/>
      <c r="Q3" s="123"/>
      <c r="R3" s="123"/>
      <c r="S3" s="123"/>
      <c r="T3" s="123"/>
      <c r="U3" s="124"/>
    </row>
    <row r="4" spans="1:33">
      <c r="A4" s="73"/>
      <c r="B4" s="77"/>
      <c r="C4" s="77"/>
      <c r="D4" s="77"/>
      <c r="E4" s="77"/>
      <c r="F4" s="77"/>
      <c r="G4" s="77"/>
      <c r="H4" s="77"/>
      <c r="I4" s="77"/>
      <c r="J4" s="75"/>
      <c r="K4" s="75"/>
      <c r="L4" s="75"/>
      <c r="M4" s="75"/>
      <c r="N4" s="77"/>
      <c r="O4" s="77"/>
      <c r="P4" s="77"/>
      <c r="Q4" s="77"/>
      <c r="R4" s="77"/>
      <c r="S4" s="77"/>
      <c r="T4" s="77"/>
      <c r="U4" s="77"/>
    </row>
    <row r="5" spans="1:33">
      <c r="A5" s="73"/>
      <c r="B5" s="77"/>
      <c r="C5" s="77"/>
      <c r="D5" s="121" t="s">
        <v>5</v>
      </c>
      <c r="E5" s="121"/>
      <c r="F5" s="121"/>
      <c r="G5" s="121"/>
      <c r="H5" s="121"/>
      <c r="I5" s="121"/>
      <c r="J5" s="127" t="s">
        <v>6</v>
      </c>
      <c r="K5" s="127"/>
      <c r="L5" s="127"/>
      <c r="M5" s="127"/>
      <c r="N5" s="120" t="s">
        <v>7</v>
      </c>
      <c r="O5" s="121"/>
      <c r="P5" s="121"/>
      <c r="Q5" s="121"/>
      <c r="R5" s="120" t="s">
        <v>8</v>
      </c>
      <c r="S5" s="121"/>
      <c r="T5" s="121"/>
      <c r="U5" s="121"/>
      <c r="V5" t="s">
        <v>9</v>
      </c>
      <c r="Z5" t="s">
        <v>10</v>
      </c>
      <c r="AD5" t="s">
        <v>11</v>
      </c>
    </row>
    <row r="6" spans="1:33" ht="42" thickBot="1">
      <c r="A6" s="66"/>
      <c r="B6" s="67" t="s">
        <v>12</v>
      </c>
      <c r="C6" s="67" t="s">
        <v>10</v>
      </c>
      <c r="D6" s="67" t="s">
        <v>10</v>
      </c>
      <c r="E6" s="67" t="s">
        <v>13</v>
      </c>
      <c r="F6" s="67" t="s">
        <v>14</v>
      </c>
      <c r="G6" s="67" t="s">
        <v>15</v>
      </c>
      <c r="H6" s="67" t="s">
        <v>16</v>
      </c>
      <c r="I6" s="67" t="s">
        <v>17</v>
      </c>
      <c r="J6" s="67" t="s">
        <v>10</v>
      </c>
      <c r="K6" s="67" t="s">
        <v>13</v>
      </c>
      <c r="L6" s="67" t="s">
        <v>14</v>
      </c>
      <c r="M6" s="67" t="s">
        <v>17</v>
      </c>
      <c r="N6" s="67" t="s">
        <v>10</v>
      </c>
      <c r="O6" s="67" t="s">
        <v>13</v>
      </c>
      <c r="P6" s="67" t="s">
        <v>14</v>
      </c>
      <c r="Q6" s="67" t="s">
        <v>17</v>
      </c>
      <c r="R6" s="67" t="s">
        <v>10</v>
      </c>
      <c r="S6" s="67" t="s">
        <v>13</v>
      </c>
      <c r="T6" s="67" t="s">
        <v>14</v>
      </c>
      <c r="U6" s="67" t="s">
        <v>17</v>
      </c>
      <c r="V6" s="67" t="s">
        <v>10</v>
      </c>
      <c r="W6" s="67" t="s">
        <v>18</v>
      </c>
      <c r="X6" s="67" t="s">
        <v>14</v>
      </c>
      <c r="Y6" s="67" t="s">
        <v>19</v>
      </c>
      <c r="Z6" s="67" t="s">
        <v>10</v>
      </c>
      <c r="AA6" s="67" t="s">
        <v>18</v>
      </c>
      <c r="AB6" s="67" t="s">
        <v>14</v>
      </c>
      <c r="AC6" s="67" t="s">
        <v>19</v>
      </c>
      <c r="AD6" s="67" t="s">
        <v>10</v>
      </c>
      <c r="AE6" s="67" t="s">
        <v>18</v>
      </c>
      <c r="AF6" s="67" t="s">
        <v>14</v>
      </c>
      <c r="AG6" s="67" t="s">
        <v>19</v>
      </c>
    </row>
    <row r="7" spans="1:33" ht="15.75" thickTop="1">
      <c r="A7" s="68" t="s">
        <v>20</v>
      </c>
      <c r="B7" s="82">
        <v>21.92</v>
      </c>
      <c r="C7" s="78">
        <v>1956</v>
      </c>
      <c r="D7" s="78">
        <v>599</v>
      </c>
      <c r="E7" s="78">
        <v>67</v>
      </c>
      <c r="F7" s="78">
        <v>60</v>
      </c>
      <c r="G7" s="78">
        <v>93</v>
      </c>
      <c r="H7" s="78">
        <v>55</v>
      </c>
      <c r="I7" s="78">
        <v>324</v>
      </c>
      <c r="J7" s="78">
        <v>942</v>
      </c>
      <c r="K7" s="78">
        <v>649</v>
      </c>
      <c r="L7" s="78">
        <v>228</v>
      </c>
      <c r="M7" s="78">
        <v>65</v>
      </c>
      <c r="N7" s="78">
        <v>82</v>
      </c>
      <c r="O7" s="78">
        <v>53</v>
      </c>
      <c r="P7" s="78">
        <v>15</v>
      </c>
      <c r="Q7" s="78">
        <v>14</v>
      </c>
      <c r="R7" s="78">
        <v>333</v>
      </c>
      <c r="S7" s="78">
        <v>261</v>
      </c>
      <c r="T7" s="78">
        <v>48</v>
      </c>
      <c r="U7" s="78">
        <v>23</v>
      </c>
      <c r="V7" s="1">
        <f>J7+N7+R7</f>
        <v>1357</v>
      </c>
      <c r="W7" s="1">
        <f>K7+O7+S7</f>
        <v>963</v>
      </c>
      <c r="X7" s="1">
        <f>L7+P7+T7</f>
        <v>291</v>
      </c>
      <c r="Y7" s="1">
        <f>M7+Q7+U7</f>
        <v>102</v>
      </c>
      <c r="Z7" s="1">
        <f>+V7+D7</f>
        <v>1956</v>
      </c>
      <c r="AA7" s="1">
        <f>+W7+E7</f>
        <v>1030</v>
      </c>
      <c r="AB7" s="1">
        <f>+X7+F7</f>
        <v>351</v>
      </c>
      <c r="AC7" s="1">
        <f>+Y7+G7+H7+I7</f>
        <v>574</v>
      </c>
      <c r="AD7" s="56">
        <f>D7/Z7</f>
        <v>0.30623721881390592</v>
      </c>
      <c r="AE7" s="56">
        <f>E7/AA7</f>
        <v>6.5048543689320393E-2</v>
      </c>
      <c r="AF7" s="56">
        <f>F7/AB7</f>
        <v>0.17094017094017094</v>
      </c>
      <c r="AG7" s="56">
        <f>SUM(G7:I7)/AC7</f>
        <v>0.82229965156794427</v>
      </c>
    </row>
    <row r="8" spans="1:33" ht="26.25">
      <c r="A8" s="68" t="s">
        <v>21</v>
      </c>
      <c r="B8" s="85"/>
      <c r="C8" s="86"/>
      <c r="D8" s="86"/>
      <c r="E8" s="86"/>
      <c r="F8" s="86"/>
      <c r="G8" s="86"/>
      <c r="H8" s="86"/>
      <c r="I8" s="86"/>
      <c r="J8" s="86"/>
      <c r="K8" s="86"/>
      <c r="L8" s="86"/>
      <c r="M8" s="86"/>
      <c r="N8" s="87"/>
      <c r="O8" s="87"/>
      <c r="P8" s="87"/>
      <c r="Q8" s="87"/>
      <c r="R8" s="87"/>
      <c r="S8" s="87"/>
      <c r="T8" s="87"/>
      <c r="U8" s="87"/>
    </row>
    <row r="9" spans="1:33" ht="26.25">
      <c r="A9" s="69" t="s">
        <v>22</v>
      </c>
      <c r="B9" s="83">
        <v>5.88</v>
      </c>
      <c r="C9" s="80">
        <v>528</v>
      </c>
      <c r="D9" s="80">
        <v>147</v>
      </c>
      <c r="E9" s="80">
        <v>14</v>
      </c>
      <c r="F9" s="80">
        <v>14</v>
      </c>
      <c r="G9" s="80">
        <v>19</v>
      </c>
      <c r="H9" s="80">
        <v>14</v>
      </c>
      <c r="I9" s="80">
        <v>85</v>
      </c>
      <c r="J9" s="80">
        <v>182</v>
      </c>
      <c r="K9" s="80">
        <v>126</v>
      </c>
      <c r="L9" s="80">
        <v>48</v>
      </c>
      <c r="M9" s="80">
        <v>8</v>
      </c>
      <c r="N9" s="79">
        <v>29</v>
      </c>
      <c r="O9" s="79">
        <v>17</v>
      </c>
      <c r="P9" s="79">
        <v>6</v>
      </c>
      <c r="Q9" s="79">
        <v>6</v>
      </c>
      <c r="R9" s="79">
        <v>170</v>
      </c>
      <c r="S9" s="79">
        <v>136</v>
      </c>
      <c r="T9" s="79">
        <v>24</v>
      </c>
      <c r="U9" s="79">
        <v>10</v>
      </c>
    </row>
    <row r="10" spans="1:33" ht="26.25">
      <c r="A10" s="69" t="s">
        <v>23</v>
      </c>
      <c r="B10" s="83">
        <v>16.04</v>
      </c>
      <c r="C10" s="80">
        <v>1428</v>
      </c>
      <c r="D10" s="80">
        <v>453</v>
      </c>
      <c r="E10" s="80">
        <v>53</v>
      </c>
      <c r="F10" s="80">
        <v>46</v>
      </c>
      <c r="G10" s="80">
        <v>74</v>
      </c>
      <c r="H10" s="80">
        <v>41</v>
      </c>
      <c r="I10" s="80">
        <v>239</v>
      </c>
      <c r="J10" s="80">
        <v>760</v>
      </c>
      <c r="K10" s="80">
        <v>523</v>
      </c>
      <c r="L10" s="80">
        <v>180</v>
      </c>
      <c r="M10" s="80">
        <v>57</v>
      </c>
      <c r="N10" s="79">
        <v>52</v>
      </c>
      <c r="O10" s="79">
        <v>36</v>
      </c>
      <c r="P10" s="79">
        <v>9</v>
      </c>
      <c r="Q10" s="79">
        <v>7</v>
      </c>
      <c r="R10" s="79">
        <v>163</v>
      </c>
      <c r="S10" s="79">
        <v>125</v>
      </c>
      <c r="T10" s="79">
        <v>25</v>
      </c>
      <c r="U10" s="79">
        <v>13</v>
      </c>
    </row>
    <row r="11" spans="1:33" ht="66.75">
      <c r="A11" s="68" t="s">
        <v>24</v>
      </c>
      <c r="B11" s="85" t="s">
        <v>25</v>
      </c>
      <c r="C11" s="89" t="s">
        <v>25</v>
      </c>
      <c r="D11" s="89" t="s">
        <v>25</v>
      </c>
      <c r="E11" s="89" t="s">
        <v>25</v>
      </c>
      <c r="F11" s="89" t="s">
        <v>25</v>
      </c>
      <c r="G11" s="89" t="s">
        <v>25</v>
      </c>
      <c r="H11" s="89" t="s">
        <v>25</v>
      </c>
      <c r="I11" s="89" t="s">
        <v>25</v>
      </c>
      <c r="J11" s="89" t="s">
        <v>25</v>
      </c>
      <c r="K11" s="89" t="s">
        <v>25</v>
      </c>
      <c r="L11" s="89" t="s">
        <v>25</v>
      </c>
      <c r="M11" s="89" t="s">
        <v>25</v>
      </c>
      <c r="N11" s="89" t="s">
        <v>25</v>
      </c>
      <c r="O11" s="89" t="s">
        <v>25</v>
      </c>
      <c r="P11" s="89" t="s">
        <v>25</v>
      </c>
      <c r="Q11" s="89" t="s">
        <v>25</v>
      </c>
      <c r="R11" s="89" t="s">
        <v>25</v>
      </c>
      <c r="S11" s="89" t="s">
        <v>25</v>
      </c>
      <c r="T11" s="89" t="s">
        <v>25</v>
      </c>
      <c r="U11" s="89" t="s">
        <v>25</v>
      </c>
    </row>
    <row r="12" spans="1:33">
      <c r="A12" s="69" t="s">
        <v>26</v>
      </c>
      <c r="B12" s="83">
        <v>18.559999999999999</v>
      </c>
      <c r="C12" s="80">
        <v>1603</v>
      </c>
      <c r="D12" s="80">
        <v>478</v>
      </c>
      <c r="E12" s="80">
        <v>50</v>
      </c>
      <c r="F12" s="80">
        <v>43</v>
      </c>
      <c r="G12" s="80">
        <v>81</v>
      </c>
      <c r="H12" s="80">
        <v>45</v>
      </c>
      <c r="I12" s="80">
        <v>259</v>
      </c>
      <c r="J12" s="80">
        <v>882</v>
      </c>
      <c r="K12" s="80">
        <v>606</v>
      </c>
      <c r="L12" s="80">
        <v>218</v>
      </c>
      <c r="M12" s="80">
        <v>58</v>
      </c>
      <c r="N12" s="79">
        <v>34</v>
      </c>
      <c r="O12" s="79">
        <v>20</v>
      </c>
      <c r="P12" s="79">
        <v>7</v>
      </c>
      <c r="Q12" s="79">
        <v>7</v>
      </c>
      <c r="R12" s="79">
        <v>209</v>
      </c>
      <c r="S12" s="79">
        <v>160</v>
      </c>
      <c r="T12" s="79">
        <v>34</v>
      </c>
      <c r="U12" s="79">
        <v>15</v>
      </c>
    </row>
    <row r="13" spans="1:33" ht="26.25">
      <c r="A13" s="70" t="s">
        <v>27</v>
      </c>
      <c r="B13" s="83">
        <v>17.3</v>
      </c>
      <c r="C13" s="80">
        <v>1483</v>
      </c>
      <c r="D13" s="80">
        <v>439</v>
      </c>
      <c r="E13" s="80">
        <v>42</v>
      </c>
      <c r="F13" s="80">
        <v>38</v>
      </c>
      <c r="G13" s="80">
        <v>77</v>
      </c>
      <c r="H13" s="80">
        <v>42</v>
      </c>
      <c r="I13" s="80">
        <v>240</v>
      </c>
      <c r="J13" s="80">
        <v>830</v>
      </c>
      <c r="K13" s="80">
        <v>566</v>
      </c>
      <c r="L13" s="80">
        <v>207</v>
      </c>
      <c r="M13" s="80">
        <v>57</v>
      </c>
      <c r="N13" s="79">
        <v>30</v>
      </c>
      <c r="O13" s="79">
        <v>17</v>
      </c>
      <c r="P13" s="79">
        <v>5</v>
      </c>
      <c r="Q13" s="79">
        <v>7</v>
      </c>
      <c r="R13" s="79">
        <v>184</v>
      </c>
      <c r="S13" s="79">
        <v>139</v>
      </c>
      <c r="T13" s="79">
        <v>31</v>
      </c>
      <c r="U13" s="79">
        <v>15</v>
      </c>
    </row>
    <row r="14" spans="1:33" ht="26.25">
      <c r="A14" s="70" t="s">
        <v>28</v>
      </c>
      <c r="B14" s="83">
        <v>1.25</v>
      </c>
      <c r="C14" s="80">
        <v>120</v>
      </c>
      <c r="D14" s="80">
        <v>38</v>
      </c>
      <c r="E14" s="80">
        <v>8</v>
      </c>
      <c r="F14" s="80">
        <v>4</v>
      </c>
      <c r="G14" s="80">
        <v>5</v>
      </c>
      <c r="H14" s="80">
        <v>3</v>
      </c>
      <c r="I14" s="80">
        <v>19</v>
      </c>
      <c r="J14" s="80">
        <v>52</v>
      </c>
      <c r="K14" s="80">
        <v>40</v>
      </c>
      <c r="L14" s="80">
        <v>11</v>
      </c>
      <c r="M14" s="80">
        <v>2</v>
      </c>
      <c r="N14" s="79">
        <v>5</v>
      </c>
      <c r="O14" s="79">
        <v>3</v>
      </c>
      <c r="P14" s="79">
        <v>2</v>
      </c>
      <c r="Q14" s="79" t="s">
        <v>29</v>
      </c>
      <c r="R14" s="79">
        <v>25</v>
      </c>
      <c r="S14" s="79">
        <v>22</v>
      </c>
      <c r="T14" s="79">
        <v>3</v>
      </c>
      <c r="U14" s="79" t="s">
        <v>30</v>
      </c>
    </row>
    <row r="15" spans="1:33">
      <c r="A15" s="69" t="s">
        <v>31</v>
      </c>
      <c r="B15" s="83">
        <v>3.36</v>
      </c>
      <c r="C15" s="80">
        <v>352</v>
      </c>
      <c r="D15" s="80">
        <v>122</v>
      </c>
      <c r="E15" s="80">
        <v>17</v>
      </c>
      <c r="F15" s="80">
        <v>17</v>
      </c>
      <c r="G15" s="80">
        <v>12</v>
      </c>
      <c r="H15" s="80">
        <v>10</v>
      </c>
      <c r="I15" s="80">
        <v>66</v>
      </c>
      <c r="J15" s="80">
        <v>60</v>
      </c>
      <c r="K15" s="80">
        <v>43</v>
      </c>
      <c r="L15" s="80">
        <v>9</v>
      </c>
      <c r="M15" s="80" t="s">
        <v>30</v>
      </c>
      <c r="N15" s="79">
        <v>48</v>
      </c>
      <c r="O15" s="79">
        <v>33</v>
      </c>
      <c r="P15" s="79">
        <v>8</v>
      </c>
      <c r="Q15" s="79">
        <v>6</v>
      </c>
      <c r="R15" s="79">
        <v>124</v>
      </c>
      <c r="S15" s="79">
        <v>101</v>
      </c>
      <c r="T15" s="79">
        <v>15</v>
      </c>
      <c r="U15" s="79">
        <v>8</v>
      </c>
    </row>
    <row r="16" spans="1:33" ht="28.5">
      <c r="A16" s="68" t="s">
        <v>32</v>
      </c>
      <c r="B16" s="85" t="s">
        <v>25</v>
      </c>
      <c r="C16" s="86" t="s">
        <v>25</v>
      </c>
      <c r="D16" s="86" t="s">
        <v>25</v>
      </c>
      <c r="E16" s="86" t="s">
        <v>25</v>
      </c>
      <c r="F16" s="86" t="s">
        <v>25</v>
      </c>
      <c r="G16" s="86" t="s">
        <v>25</v>
      </c>
      <c r="H16" s="86" t="s">
        <v>25</v>
      </c>
      <c r="I16" s="86" t="s">
        <v>25</v>
      </c>
      <c r="J16" s="86" t="s">
        <v>25</v>
      </c>
      <c r="K16" s="86" t="s">
        <v>25</v>
      </c>
      <c r="L16" s="86" t="s">
        <v>25</v>
      </c>
      <c r="M16" s="86" t="s">
        <v>25</v>
      </c>
      <c r="N16" s="86" t="s">
        <v>25</v>
      </c>
      <c r="O16" s="86" t="s">
        <v>25</v>
      </c>
      <c r="P16" s="86" t="s">
        <v>25</v>
      </c>
      <c r="Q16" s="86" t="s">
        <v>25</v>
      </c>
      <c r="R16" s="86" t="s">
        <v>25</v>
      </c>
      <c r="S16" s="86" t="s">
        <v>25</v>
      </c>
      <c r="T16" s="86" t="s">
        <v>25</v>
      </c>
      <c r="U16" s="86" t="s">
        <v>25</v>
      </c>
    </row>
    <row r="17" spans="1:21" ht="26.25">
      <c r="A17" s="69" t="s">
        <v>33</v>
      </c>
      <c r="B17" s="83">
        <v>13.69</v>
      </c>
      <c r="C17" s="80">
        <v>1286</v>
      </c>
      <c r="D17" s="80">
        <v>396</v>
      </c>
      <c r="E17" s="80">
        <v>51</v>
      </c>
      <c r="F17" s="80">
        <v>42</v>
      </c>
      <c r="G17" s="80">
        <v>51</v>
      </c>
      <c r="H17" s="80">
        <v>35</v>
      </c>
      <c r="I17" s="80">
        <v>218</v>
      </c>
      <c r="J17" s="80">
        <v>567</v>
      </c>
      <c r="K17" s="80">
        <v>409</v>
      </c>
      <c r="L17" s="80">
        <v>126</v>
      </c>
      <c r="M17" s="80">
        <v>33</v>
      </c>
      <c r="N17" s="79">
        <v>67</v>
      </c>
      <c r="O17" s="79">
        <v>44</v>
      </c>
      <c r="P17" s="79">
        <v>12</v>
      </c>
      <c r="Q17" s="79">
        <v>10</v>
      </c>
      <c r="R17" s="79">
        <v>256</v>
      </c>
      <c r="S17" s="79">
        <v>206</v>
      </c>
      <c r="T17" s="79">
        <v>33</v>
      </c>
      <c r="U17" s="79">
        <v>17</v>
      </c>
    </row>
    <row r="18" spans="1:21" ht="26.25">
      <c r="A18" s="69" t="s">
        <v>34</v>
      </c>
      <c r="B18" s="83">
        <v>8.23</v>
      </c>
      <c r="C18" s="80">
        <v>669</v>
      </c>
      <c r="D18" s="80">
        <v>203</v>
      </c>
      <c r="E18" s="80">
        <v>17</v>
      </c>
      <c r="F18" s="80">
        <v>18</v>
      </c>
      <c r="G18" s="80">
        <v>42</v>
      </c>
      <c r="H18" s="80">
        <v>20</v>
      </c>
      <c r="I18" s="80">
        <v>106</v>
      </c>
      <c r="J18" s="80">
        <v>375</v>
      </c>
      <c r="K18" s="80">
        <v>240</v>
      </c>
      <c r="L18" s="80">
        <v>102</v>
      </c>
      <c r="M18" s="80">
        <v>33</v>
      </c>
      <c r="N18" s="79">
        <v>15</v>
      </c>
      <c r="O18" s="79">
        <v>9</v>
      </c>
      <c r="P18" s="79">
        <v>3</v>
      </c>
      <c r="Q18" s="79">
        <v>4</v>
      </c>
      <c r="R18" s="79">
        <v>77</v>
      </c>
      <c r="S18" s="79">
        <v>54</v>
      </c>
      <c r="T18" s="79">
        <v>16</v>
      </c>
      <c r="U18" s="79">
        <v>6</v>
      </c>
    </row>
    <row r="19" spans="1:21" ht="39">
      <c r="A19" s="69" t="s">
        <v>35</v>
      </c>
      <c r="B19" s="83" t="s">
        <v>36</v>
      </c>
      <c r="C19" s="80" t="s">
        <v>36</v>
      </c>
      <c r="D19" s="80" t="s">
        <v>36</v>
      </c>
      <c r="E19" s="80" t="s">
        <v>36</v>
      </c>
      <c r="F19" s="80" t="s">
        <v>36</v>
      </c>
      <c r="G19" s="80" t="s">
        <v>36</v>
      </c>
      <c r="H19" s="80" t="s">
        <v>36</v>
      </c>
      <c r="I19" s="80" t="s">
        <v>36</v>
      </c>
      <c r="J19" s="80" t="s">
        <v>36</v>
      </c>
      <c r="K19" s="80" t="s">
        <v>36</v>
      </c>
      <c r="L19" s="80" t="s">
        <v>36</v>
      </c>
      <c r="M19" s="80" t="s">
        <v>36</v>
      </c>
      <c r="N19" s="79" t="s">
        <v>36</v>
      </c>
      <c r="O19" s="79" t="s">
        <v>36</v>
      </c>
      <c r="P19" s="79" t="s">
        <v>36</v>
      </c>
      <c r="Q19" s="79" t="s">
        <v>36</v>
      </c>
      <c r="R19" s="79" t="s">
        <v>36</v>
      </c>
      <c r="S19" s="79" t="s">
        <v>36</v>
      </c>
      <c r="T19" s="79" t="s">
        <v>36</v>
      </c>
      <c r="U19" s="79" t="s">
        <v>36</v>
      </c>
    </row>
    <row r="20" spans="1:21" ht="26.25">
      <c r="A20" s="69" t="s">
        <v>37</v>
      </c>
      <c r="B20" s="83" t="s">
        <v>36</v>
      </c>
      <c r="C20" s="80" t="s">
        <v>36</v>
      </c>
      <c r="D20" s="80" t="s">
        <v>36</v>
      </c>
      <c r="E20" s="80" t="s">
        <v>36</v>
      </c>
      <c r="F20" s="80" t="s">
        <v>36</v>
      </c>
      <c r="G20" s="80" t="s">
        <v>36</v>
      </c>
      <c r="H20" s="80" t="s">
        <v>36</v>
      </c>
      <c r="I20" s="80" t="s">
        <v>36</v>
      </c>
      <c r="J20" s="80" t="s">
        <v>36</v>
      </c>
      <c r="K20" s="80" t="s">
        <v>36</v>
      </c>
      <c r="L20" s="80" t="s">
        <v>36</v>
      </c>
      <c r="M20" s="80" t="s">
        <v>36</v>
      </c>
      <c r="N20" s="88" t="s">
        <v>36</v>
      </c>
      <c r="O20" s="88" t="s">
        <v>36</v>
      </c>
      <c r="P20" s="88" t="s">
        <v>36</v>
      </c>
      <c r="Q20" s="88" t="s">
        <v>36</v>
      </c>
      <c r="R20" s="88" t="s">
        <v>36</v>
      </c>
      <c r="S20" s="88" t="s">
        <v>36</v>
      </c>
      <c r="T20" s="88" t="s">
        <v>36</v>
      </c>
      <c r="U20" s="88" t="s">
        <v>36</v>
      </c>
    </row>
    <row r="21" spans="1:21">
      <c r="A21" s="69" t="s">
        <v>38</v>
      </c>
      <c r="B21" s="83" t="s">
        <v>36</v>
      </c>
      <c r="C21" s="80" t="s">
        <v>36</v>
      </c>
      <c r="D21" s="80" t="s">
        <v>36</v>
      </c>
      <c r="E21" s="80" t="s">
        <v>36</v>
      </c>
      <c r="F21" s="80" t="s">
        <v>36</v>
      </c>
      <c r="G21" s="80" t="s">
        <v>36</v>
      </c>
      <c r="H21" s="80" t="s">
        <v>36</v>
      </c>
      <c r="I21" s="80" t="s">
        <v>36</v>
      </c>
      <c r="J21" s="80" t="s">
        <v>36</v>
      </c>
      <c r="K21" s="80" t="s">
        <v>36</v>
      </c>
      <c r="L21" s="80" t="s">
        <v>36</v>
      </c>
      <c r="M21" s="80" t="s">
        <v>36</v>
      </c>
      <c r="N21" s="79" t="s">
        <v>36</v>
      </c>
      <c r="O21" s="79" t="s">
        <v>36</v>
      </c>
      <c r="P21" s="79" t="s">
        <v>36</v>
      </c>
      <c r="Q21" s="79" t="s">
        <v>36</v>
      </c>
      <c r="R21" s="79" t="s">
        <v>36</v>
      </c>
      <c r="S21" s="79" t="s">
        <v>36</v>
      </c>
      <c r="T21" s="79" t="s">
        <v>36</v>
      </c>
      <c r="U21" s="79" t="s">
        <v>36</v>
      </c>
    </row>
    <row r="22" spans="1:21" ht="26.25">
      <c r="A22" s="68" t="s">
        <v>39</v>
      </c>
      <c r="B22" s="85" t="s">
        <v>25</v>
      </c>
      <c r="C22" s="86" t="s">
        <v>25</v>
      </c>
      <c r="D22" s="86" t="s">
        <v>25</v>
      </c>
      <c r="E22" s="86" t="s">
        <v>25</v>
      </c>
      <c r="F22" s="86" t="s">
        <v>25</v>
      </c>
      <c r="G22" s="86" t="s">
        <v>25</v>
      </c>
      <c r="H22" s="86" t="s">
        <v>25</v>
      </c>
      <c r="I22" s="86" t="s">
        <v>25</v>
      </c>
      <c r="J22" s="86" t="s">
        <v>25</v>
      </c>
      <c r="K22" s="86" t="s">
        <v>25</v>
      </c>
      <c r="L22" s="86" t="s">
        <v>25</v>
      </c>
      <c r="M22" s="86" t="s">
        <v>25</v>
      </c>
      <c r="N22" s="86" t="s">
        <v>25</v>
      </c>
      <c r="O22" s="86" t="s">
        <v>25</v>
      </c>
      <c r="P22" s="86" t="s">
        <v>25</v>
      </c>
      <c r="Q22" s="86" t="s">
        <v>25</v>
      </c>
      <c r="R22" s="86" t="s">
        <v>25</v>
      </c>
      <c r="S22" s="86" t="s">
        <v>25</v>
      </c>
      <c r="T22" s="86" t="s">
        <v>25</v>
      </c>
      <c r="U22" s="86" t="s">
        <v>25</v>
      </c>
    </row>
    <row r="23" spans="1:21" ht="39">
      <c r="A23" s="69" t="s">
        <v>40</v>
      </c>
      <c r="B23" s="83">
        <v>11.23</v>
      </c>
      <c r="C23" s="80">
        <v>1355</v>
      </c>
      <c r="D23" s="80">
        <v>390</v>
      </c>
      <c r="E23" s="80">
        <v>38</v>
      </c>
      <c r="F23" s="80">
        <v>34</v>
      </c>
      <c r="G23" s="80">
        <v>59</v>
      </c>
      <c r="H23" s="80">
        <v>34</v>
      </c>
      <c r="I23" s="80">
        <v>225</v>
      </c>
      <c r="J23" s="80">
        <v>612</v>
      </c>
      <c r="K23" s="80">
        <v>450</v>
      </c>
      <c r="L23" s="80">
        <v>122</v>
      </c>
      <c r="M23" s="80">
        <v>41</v>
      </c>
      <c r="N23" s="79">
        <v>69</v>
      </c>
      <c r="O23" s="79">
        <v>45</v>
      </c>
      <c r="P23" s="79">
        <v>12</v>
      </c>
      <c r="Q23" s="79">
        <v>12</v>
      </c>
      <c r="R23" s="79">
        <v>284</v>
      </c>
      <c r="S23" s="79">
        <v>231</v>
      </c>
      <c r="T23" s="79">
        <v>37</v>
      </c>
      <c r="U23" s="79">
        <v>16</v>
      </c>
    </row>
    <row r="24" spans="1:21" ht="39">
      <c r="A24" s="69" t="s">
        <v>41</v>
      </c>
      <c r="B24" s="83">
        <v>1.95</v>
      </c>
      <c r="C24" s="80">
        <v>167</v>
      </c>
      <c r="D24" s="80">
        <v>54</v>
      </c>
      <c r="E24" s="80">
        <v>8</v>
      </c>
      <c r="F24" s="80">
        <v>5</v>
      </c>
      <c r="G24" s="80">
        <v>9</v>
      </c>
      <c r="H24" s="80">
        <v>5</v>
      </c>
      <c r="I24" s="80">
        <v>27</v>
      </c>
      <c r="J24" s="80">
        <v>103</v>
      </c>
      <c r="K24" s="80">
        <v>71</v>
      </c>
      <c r="L24" s="80">
        <v>27</v>
      </c>
      <c r="M24" s="80">
        <v>4</v>
      </c>
      <c r="N24" s="79">
        <v>2</v>
      </c>
      <c r="O24" s="79">
        <v>1</v>
      </c>
      <c r="P24" s="79">
        <v>1</v>
      </c>
      <c r="Q24" s="79" t="s">
        <v>29</v>
      </c>
      <c r="R24" s="79">
        <v>9</v>
      </c>
      <c r="S24" s="79">
        <v>7</v>
      </c>
      <c r="T24" s="79">
        <v>1</v>
      </c>
      <c r="U24" s="79" t="s">
        <v>30</v>
      </c>
    </row>
    <row r="25" spans="1:21" ht="64.5">
      <c r="A25" s="69" t="s">
        <v>42</v>
      </c>
      <c r="B25" s="83">
        <v>3.15</v>
      </c>
      <c r="C25" s="80">
        <v>214</v>
      </c>
      <c r="D25" s="80">
        <v>61</v>
      </c>
      <c r="E25" s="80">
        <v>9</v>
      </c>
      <c r="F25" s="80">
        <v>6</v>
      </c>
      <c r="G25" s="80">
        <v>10</v>
      </c>
      <c r="H25" s="80">
        <v>6</v>
      </c>
      <c r="I25" s="80">
        <v>30</v>
      </c>
      <c r="J25" s="80">
        <v>137</v>
      </c>
      <c r="K25" s="80">
        <v>84</v>
      </c>
      <c r="L25" s="80">
        <v>42</v>
      </c>
      <c r="M25" s="80">
        <v>12</v>
      </c>
      <c r="N25" s="79">
        <v>2</v>
      </c>
      <c r="O25" s="79" t="s">
        <v>30</v>
      </c>
      <c r="P25" s="79">
        <v>1</v>
      </c>
      <c r="Q25" s="79" t="s">
        <v>30</v>
      </c>
      <c r="R25" s="79">
        <v>14</v>
      </c>
      <c r="S25" s="79">
        <v>8</v>
      </c>
      <c r="T25" s="79">
        <v>4</v>
      </c>
      <c r="U25" s="79" t="s">
        <v>30</v>
      </c>
    </row>
    <row r="26" spans="1:21" ht="77.25">
      <c r="A26" s="69" t="s">
        <v>43</v>
      </c>
      <c r="B26" s="83">
        <v>5.0999999999999996</v>
      </c>
      <c r="C26" s="80">
        <v>184</v>
      </c>
      <c r="D26" s="80">
        <v>81</v>
      </c>
      <c r="E26" s="80">
        <v>12</v>
      </c>
      <c r="F26" s="80">
        <v>11</v>
      </c>
      <c r="G26" s="80">
        <v>13</v>
      </c>
      <c r="H26" s="80">
        <v>9</v>
      </c>
      <c r="I26" s="80">
        <v>36</v>
      </c>
      <c r="J26" s="80">
        <v>83</v>
      </c>
      <c r="K26" s="80">
        <v>39</v>
      </c>
      <c r="L26" s="80">
        <v>36</v>
      </c>
      <c r="M26" s="80">
        <v>8</v>
      </c>
      <c r="N26" s="88">
        <v>2</v>
      </c>
      <c r="O26" s="88">
        <v>1</v>
      </c>
      <c r="P26" s="88">
        <v>1</v>
      </c>
      <c r="Q26" s="88">
        <v>1</v>
      </c>
      <c r="R26" s="88">
        <v>18</v>
      </c>
      <c r="S26" s="88">
        <v>7</v>
      </c>
      <c r="T26" s="88">
        <v>7</v>
      </c>
      <c r="U26" s="88">
        <v>4</v>
      </c>
    </row>
    <row r="27" spans="1:21" ht="26.25">
      <c r="A27" s="69" t="s">
        <v>44</v>
      </c>
      <c r="B27" s="83">
        <v>0.5</v>
      </c>
      <c r="C27" s="80">
        <v>36</v>
      </c>
      <c r="D27" s="80">
        <v>14</v>
      </c>
      <c r="E27" s="80">
        <v>1</v>
      </c>
      <c r="F27" s="80">
        <v>4</v>
      </c>
      <c r="G27" s="80">
        <v>1</v>
      </c>
      <c r="H27" s="80">
        <v>1</v>
      </c>
      <c r="I27" s="80">
        <v>6</v>
      </c>
      <c r="J27" s="80">
        <v>7</v>
      </c>
      <c r="K27" s="80">
        <v>5</v>
      </c>
      <c r="L27" s="80" t="s">
        <v>30</v>
      </c>
      <c r="M27" s="80" t="s">
        <v>30</v>
      </c>
      <c r="N27" s="79">
        <v>7</v>
      </c>
      <c r="O27" s="79">
        <v>6</v>
      </c>
      <c r="P27" s="79" t="s">
        <v>30</v>
      </c>
      <c r="Q27" s="79">
        <v>1</v>
      </c>
      <c r="R27" s="79">
        <v>8</v>
      </c>
      <c r="S27" s="79">
        <v>7</v>
      </c>
      <c r="T27" s="79" t="s">
        <v>30</v>
      </c>
      <c r="U27" s="79" t="s">
        <v>30</v>
      </c>
    </row>
    <row r="28" spans="1:21" ht="51.75">
      <c r="A28" s="68" t="s">
        <v>45</v>
      </c>
      <c r="B28" s="85" t="s">
        <v>25</v>
      </c>
      <c r="C28" s="86" t="s">
        <v>25</v>
      </c>
      <c r="D28" s="86" t="s">
        <v>25</v>
      </c>
      <c r="E28" s="86" t="s">
        <v>25</v>
      </c>
      <c r="F28" s="86" t="s">
        <v>25</v>
      </c>
      <c r="G28" s="86" t="s">
        <v>25</v>
      </c>
      <c r="H28" s="86" t="s">
        <v>25</v>
      </c>
      <c r="I28" s="86" t="s">
        <v>25</v>
      </c>
      <c r="J28" s="86" t="s">
        <v>25</v>
      </c>
      <c r="K28" s="86" t="s">
        <v>25</v>
      </c>
      <c r="L28" s="86" t="s">
        <v>25</v>
      </c>
      <c r="M28" s="86" t="s">
        <v>25</v>
      </c>
      <c r="N28" s="86" t="s">
        <v>25</v>
      </c>
      <c r="O28" s="86" t="s">
        <v>25</v>
      </c>
      <c r="P28" s="86" t="s">
        <v>25</v>
      </c>
      <c r="Q28" s="86" t="s">
        <v>25</v>
      </c>
      <c r="R28" s="86" t="s">
        <v>25</v>
      </c>
      <c r="S28" s="86" t="s">
        <v>25</v>
      </c>
      <c r="T28" s="86" t="s">
        <v>25</v>
      </c>
      <c r="U28" s="86" t="s">
        <v>25</v>
      </c>
    </row>
    <row r="29" spans="1:21">
      <c r="A29" s="69" t="s">
        <v>46</v>
      </c>
      <c r="B29" s="83">
        <v>13.77</v>
      </c>
      <c r="C29" s="80">
        <v>1526</v>
      </c>
      <c r="D29" s="80">
        <v>443</v>
      </c>
      <c r="E29" s="80">
        <v>42</v>
      </c>
      <c r="F29" s="80">
        <v>39</v>
      </c>
      <c r="G29" s="80">
        <v>68</v>
      </c>
      <c r="H29" s="80">
        <v>41</v>
      </c>
      <c r="I29" s="80">
        <v>252</v>
      </c>
      <c r="J29" s="80">
        <v>723</v>
      </c>
      <c r="K29" s="80">
        <v>521</v>
      </c>
      <c r="L29" s="80">
        <v>152</v>
      </c>
      <c r="M29" s="80">
        <v>50</v>
      </c>
      <c r="N29" s="79">
        <v>73</v>
      </c>
      <c r="O29" s="79">
        <v>49</v>
      </c>
      <c r="P29" s="79">
        <v>12</v>
      </c>
      <c r="Q29" s="79">
        <v>12</v>
      </c>
      <c r="R29" s="79">
        <v>288</v>
      </c>
      <c r="S29" s="79">
        <v>230</v>
      </c>
      <c r="T29" s="79">
        <v>39</v>
      </c>
      <c r="U29" s="79">
        <v>18</v>
      </c>
    </row>
    <row r="30" spans="1:21" ht="26.25">
      <c r="A30" s="70" t="s">
        <v>47</v>
      </c>
      <c r="B30" s="83">
        <v>11.89</v>
      </c>
      <c r="C30" s="80">
        <v>1402</v>
      </c>
      <c r="D30" s="80">
        <v>405</v>
      </c>
      <c r="E30" s="80">
        <v>39</v>
      </c>
      <c r="F30" s="80">
        <v>34</v>
      </c>
      <c r="G30" s="80">
        <v>62</v>
      </c>
      <c r="H30" s="80">
        <v>37</v>
      </c>
      <c r="I30" s="80">
        <v>234</v>
      </c>
      <c r="J30" s="80">
        <v>658</v>
      </c>
      <c r="K30" s="80">
        <v>482</v>
      </c>
      <c r="L30" s="80">
        <v>134</v>
      </c>
      <c r="M30" s="80">
        <v>42</v>
      </c>
      <c r="N30" s="79">
        <v>68</v>
      </c>
      <c r="O30" s="79">
        <v>44</v>
      </c>
      <c r="P30" s="79">
        <v>12</v>
      </c>
      <c r="Q30" s="79">
        <v>11</v>
      </c>
      <c r="R30" s="79">
        <v>272</v>
      </c>
      <c r="S30" s="79">
        <v>221</v>
      </c>
      <c r="T30" s="79">
        <v>36</v>
      </c>
      <c r="U30" s="79">
        <v>15</v>
      </c>
    </row>
    <row r="31" spans="1:21" ht="26.25">
      <c r="A31" s="70" t="s">
        <v>48</v>
      </c>
      <c r="B31" s="83">
        <v>1.5</v>
      </c>
      <c r="C31" s="80">
        <v>96</v>
      </c>
      <c r="D31" s="80">
        <v>27</v>
      </c>
      <c r="E31" s="80">
        <v>3</v>
      </c>
      <c r="F31" s="80">
        <v>2</v>
      </c>
      <c r="G31" s="80">
        <v>5</v>
      </c>
      <c r="H31" s="80">
        <v>3</v>
      </c>
      <c r="I31" s="80">
        <v>14</v>
      </c>
      <c r="J31" s="80">
        <v>59</v>
      </c>
      <c r="K31" s="80">
        <v>34</v>
      </c>
      <c r="L31" s="80">
        <v>17</v>
      </c>
      <c r="M31" s="80">
        <v>7</v>
      </c>
      <c r="N31" s="79" t="s">
        <v>30</v>
      </c>
      <c r="O31" s="79" t="s">
        <v>30</v>
      </c>
      <c r="P31" s="79" t="s">
        <v>30</v>
      </c>
      <c r="Q31" s="79" t="s">
        <v>30</v>
      </c>
      <c r="R31" s="79">
        <v>10</v>
      </c>
      <c r="S31" s="79">
        <v>4</v>
      </c>
      <c r="T31" s="79">
        <v>3</v>
      </c>
      <c r="U31" s="79" t="s">
        <v>30</v>
      </c>
    </row>
    <row r="32" spans="1:21" ht="26.25">
      <c r="A32" s="70" t="s">
        <v>44</v>
      </c>
      <c r="B32" s="83">
        <v>0.38</v>
      </c>
      <c r="C32" s="80">
        <v>28</v>
      </c>
      <c r="D32" s="80">
        <v>11</v>
      </c>
      <c r="E32" s="80">
        <v>1</v>
      </c>
      <c r="F32" s="80">
        <v>3</v>
      </c>
      <c r="G32" s="80">
        <v>1</v>
      </c>
      <c r="H32" s="80">
        <v>1</v>
      </c>
      <c r="I32" s="80">
        <v>5</v>
      </c>
      <c r="J32" s="80">
        <v>6</v>
      </c>
      <c r="K32" s="80">
        <v>5</v>
      </c>
      <c r="L32" s="80" t="s">
        <v>30</v>
      </c>
      <c r="M32" s="80" t="s">
        <v>30</v>
      </c>
      <c r="N32" s="88">
        <v>5</v>
      </c>
      <c r="O32" s="88">
        <v>4</v>
      </c>
      <c r="P32" s="88" t="s">
        <v>30</v>
      </c>
      <c r="Q32" s="88" t="s">
        <v>29</v>
      </c>
      <c r="R32" s="88">
        <v>6</v>
      </c>
      <c r="S32" s="88">
        <v>6</v>
      </c>
      <c r="T32" s="88" t="s">
        <v>30</v>
      </c>
      <c r="U32" s="88" t="s">
        <v>30</v>
      </c>
    </row>
    <row r="33" spans="1:21" ht="15.75">
      <c r="A33" s="69" t="s">
        <v>49</v>
      </c>
      <c r="B33" s="83">
        <v>8.15</v>
      </c>
      <c r="C33" s="80">
        <v>430</v>
      </c>
      <c r="D33" s="80">
        <v>157</v>
      </c>
      <c r="E33" s="80">
        <v>25</v>
      </c>
      <c r="F33" s="80">
        <v>21</v>
      </c>
      <c r="G33" s="80">
        <v>25</v>
      </c>
      <c r="H33" s="80">
        <v>14</v>
      </c>
      <c r="I33" s="80">
        <v>72</v>
      </c>
      <c r="J33" s="80">
        <v>219</v>
      </c>
      <c r="K33" s="80">
        <v>128</v>
      </c>
      <c r="L33" s="80">
        <v>75</v>
      </c>
      <c r="M33" s="80">
        <v>16</v>
      </c>
      <c r="N33" s="79">
        <v>9</v>
      </c>
      <c r="O33" s="79">
        <v>4</v>
      </c>
      <c r="P33" s="79">
        <v>3</v>
      </c>
      <c r="Q33" s="79">
        <v>2</v>
      </c>
      <c r="R33" s="79">
        <v>45</v>
      </c>
      <c r="S33" s="79">
        <v>30</v>
      </c>
      <c r="T33" s="79">
        <v>10</v>
      </c>
      <c r="U33" s="79">
        <v>5</v>
      </c>
    </row>
    <row r="34" spans="1:21" ht="26.25">
      <c r="A34" s="70" t="s">
        <v>47</v>
      </c>
      <c r="B34" s="83">
        <v>1.29</v>
      </c>
      <c r="C34" s="80">
        <v>120</v>
      </c>
      <c r="D34" s="80">
        <v>39</v>
      </c>
      <c r="E34" s="80">
        <v>7</v>
      </c>
      <c r="F34" s="80">
        <v>5</v>
      </c>
      <c r="G34" s="80">
        <v>6</v>
      </c>
      <c r="H34" s="80">
        <v>3</v>
      </c>
      <c r="I34" s="80">
        <v>18</v>
      </c>
      <c r="J34" s="80">
        <v>57</v>
      </c>
      <c r="K34" s="80">
        <v>39</v>
      </c>
      <c r="L34" s="80">
        <v>15</v>
      </c>
      <c r="M34" s="80">
        <v>3</v>
      </c>
      <c r="N34" s="79">
        <v>3</v>
      </c>
      <c r="O34" s="79">
        <v>2</v>
      </c>
      <c r="P34" s="79">
        <v>1</v>
      </c>
      <c r="Q34" s="79">
        <v>1</v>
      </c>
      <c r="R34" s="79">
        <v>21</v>
      </c>
      <c r="S34" s="79">
        <v>18</v>
      </c>
      <c r="T34" s="79">
        <v>2</v>
      </c>
      <c r="U34" s="79" t="s">
        <v>30</v>
      </c>
    </row>
    <row r="35" spans="1:21" ht="26.25">
      <c r="A35" s="70" t="s">
        <v>48</v>
      </c>
      <c r="B35" s="83">
        <v>6.74</v>
      </c>
      <c r="C35" s="80">
        <v>302</v>
      </c>
      <c r="D35" s="80">
        <v>114</v>
      </c>
      <c r="E35" s="80">
        <v>18</v>
      </c>
      <c r="F35" s="80">
        <v>15</v>
      </c>
      <c r="G35" s="80">
        <v>18</v>
      </c>
      <c r="H35" s="80">
        <v>11</v>
      </c>
      <c r="I35" s="80">
        <v>52</v>
      </c>
      <c r="J35" s="80">
        <v>161</v>
      </c>
      <c r="K35" s="80">
        <v>88</v>
      </c>
      <c r="L35" s="80">
        <v>60</v>
      </c>
      <c r="M35" s="80">
        <v>13</v>
      </c>
      <c r="N35" s="79">
        <v>4</v>
      </c>
      <c r="O35" s="79">
        <v>1</v>
      </c>
      <c r="P35" s="79">
        <v>2</v>
      </c>
      <c r="Q35" s="79">
        <v>1</v>
      </c>
      <c r="R35" s="79">
        <v>23</v>
      </c>
      <c r="S35" s="79">
        <v>11</v>
      </c>
      <c r="T35" s="79">
        <v>8</v>
      </c>
      <c r="U35" s="79">
        <v>4</v>
      </c>
    </row>
    <row r="36" spans="1:21" ht="26.25">
      <c r="A36" s="70" t="s">
        <v>44</v>
      </c>
      <c r="B36" s="83">
        <v>0.12</v>
      </c>
      <c r="C36" s="80">
        <v>8</v>
      </c>
      <c r="D36" s="80">
        <v>3</v>
      </c>
      <c r="E36" s="80" t="s">
        <v>30</v>
      </c>
      <c r="F36" s="80">
        <v>1</v>
      </c>
      <c r="G36" s="80" t="s">
        <v>29</v>
      </c>
      <c r="H36" s="80" t="s">
        <v>29</v>
      </c>
      <c r="I36" s="80">
        <v>1</v>
      </c>
      <c r="J36" s="80" t="s">
        <v>30</v>
      </c>
      <c r="K36" s="80" t="s">
        <v>30</v>
      </c>
      <c r="L36" s="80" t="s">
        <v>30</v>
      </c>
      <c r="M36" s="80" t="s">
        <v>30</v>
      </c>
      <c r="N36" s="79">
        <v>2</v>
      </c>
      <c r="O36" s="79" t="s">
        <v>30</v>
      </c>
      <c r="P36" s="79" t="s">
        <v>36</v>
      </c>
      <c r="Q36" s="79" t="s">
        <v>30</v>
      </c>
      <c r="R36" s="79">
        <v>2</v>
      </c>
      <c r="S36" s="79">
        <v>2</v>
      </c>
      <c r="T36" s="79" t="s">
        <v>36</v>
      </c>
      <c r="U36" s="79" t="s">
        <v>36</v>
      </c>
    </row>
    <row r="37" spans="1:21" ht="39">
      <c r="A37" s="68" t="s">
        <v>50</v>
      </c>
      <c r="B37" s="85" t="s">
        <v>25</v>
      </c>
      <c r="C37" s="86" t="s">
        <v>25</v>
      </c>
      <c r="D37" s="86" t="s">
        <v>25</v>
      </c>
      <c r="E37" s="86" t="s">
        <v>25</v>
      </c>
      <c r="F37" s="86" t="s">
        <v>25</v>
      </c>
      <c r="G37" s="86" t="s">
        <v>25</v>
      </c>
      <c r="H37" s="86" t="s">
        <v>25</v>
      </c>
      <c r="I37" s="86" t="s">
        <v>25</v>
      </c>
      <c r="J37" s="86" t="s">
        <v>25</v>
      </c>
      <c r="K37" s="86" t="s">
        <v>25</v>
      </c>
      <c r="L37" s="86" t="s">
        <v>25</v>
      </c>
      <c r="M37" s="86" t="s">
        <v>25</v>
      </c>
      <c r="N37" s="86" t="s">
        <v>25</v>
      </c>
      <c r="O37" s="86" t="s">
        <v>25</v>
      </c>
      <c r="P37" s="86" t="s">
        <v>25</v>
      </c>
      <c r="Q37" s="86" t="s">
        <v>25</v>
      </c>
      <c r="R37" s="86" t="s">
        <v>25</v>
      </c>
      <c r="S37" s="86" t="s">
        <v>25</v>
      </c>
      <c r="T37" s="86" t="s">
        <v>25</v>
      </c>
      <c r="U37" s="86" t="s">
        <v>25</v>
      </c>
    </row>
    <row r="38" spans="1:21" ht="26.25">
      <c r="A38" s="69" t="s">
        <v>51</v>
      </c>
      <c r="B38" s="83">
        <v>7.15</v>
      </c>
      <c r="C38" s="80">
        <v>668</v>
      </c>
      <c r="D38" s="80">
        <v>175</v>
      </c>
      <c r="E38" s="80">
        <v>20</v>
      </c>
      <c r="F38" s="80">
        <v>15</v>
      </c>
      <c r="G38" s="80">
        <v>29</v>
      </c>
      <c r="H38" s="80">
        <v>17</v>
      </c>
      <c r="I38" s="80">
        <v>94</v>
      </c>
      <c r="J38" s="80">
        <v>366</v>
      </c>
      <c r="K38" s="80">
        <v>258</v>
      </c>
      <c r="L38" s="80">
        <v>83</v>
      </c>
      <c r="M38" s="80">
        <v>26</v>
      </c>
      <c r="N38" s="79">
        <v>16</v>
      </c>
      <c r="O38" s="79">
        <v>10</v>
      </c>
      <c r="P38" s="79">
        <v>3</v>
      </c>
      <c r="Q38" s="79">
        <v>3</v>
      </c>
      <c r="R38" s="79">
        <v>110</v>
      </c>
      <c r="S38" s="79">
        <v>90</v>
      </c>
      <c r="T38" s="79">
        <v>14</v>
      </c>
      <c r="U38" s="79">
        <v>7</v>
      </c>
    </row>
    <row r="39" spans="1:21" ht="26.25">
      <c r="A39" s="69" t="s">
        <v>52</v>
      </c>
      <c r="B39" s="83">
        <v>3.02</v>
      </c>
      <c r="C39" s="80">
        <v>291</v>
      </c>
      <c r="D39" s="80">
        <v>83</v>
      </c>
      <c r="E39" s="80">
        <v>7</v>
      </c>
      <c r="F39" s="80">
        <v>9</v>
      </c>
      <c r="G39" s="80">
        <v>15</v>
      </c>
      <c r="H39" s="80">
        <v>7</v>
      </c>
      <c r="I39" s="80">
        <v>45</v>
      </c>
      <c r="J39" s="80">
        <v>139</v>
      </c>
      <c r="K39" s="80">
        <v>101</v>
      </c>
      <c r="L39" s="80">
        <v>33</v>
      </c>
      <c r="M39" s="80">
        <v>6</v>
      </c>
      <c r="N39" s="79">
        <v>4</v>
      </c>
      <c r="O39" s="79">
        <v>2</v>
      </c>
      <c r="P39" s="79" t="s">
        <v>30</v>
      </c>
      <c r="Q39" s="79">
        <v>1</v>
      </c>
      <c r="R39" s="79">
        <v>65</v>
      </c>
      <c r="S39" s="79">
        <v>54</v>
      </c>
      <c r="T39" s="79">
        <v>8</v>
      </c>
      <c r="U39" s="79">
        <v>3</v>
      </c>
    </row>
    <row r="40" spans="1:21" ht="26.25">
      <c r="A40" s="69" t="s">
        <v>53</v>
      </c>
      <c r="B40" s="83">
        <v>2.56</v>
      </c>
      <c r="C40" s="80">
        <v>231</v>
      </c>
      <c r="D40" s="80">
        <v>72</v>
      </c>
      <c r="E40" s="80">
        <v>8</v>
      </c>
      <c r="F40" s="80">
        <v>6</v>
      </c>
      <c r="G40" s="80">
        <v>12</v>
      </c>
      <c r="H40" s="80">
        <v>7</v>
      </c>
      <c r="I40" s="80">
        <v>39</v>
      </c>
      <c r="J40" s="80">
        <v>116</v>
      </c>
      <c r="K40" s="80">
        <v>81</v>
      </c>
      <c r="L40" s="80">
        <v>27</v>
      </c>
      <c r="M40" s="80">
        <v>8</v>
      </c>
      <c r="N40" s="79">
        <v>5</v>
      </c>
      <c r="O40" s="79">
        <v>3</v>
      </c>
      <c r="P40" s="79">
        <v>1</v>
      </c>
      <c r="Q40" s="79">
        <v>1</v>
      </c>
      <c r="R40" s="79">
        <v>39</v>
      </c>
      <c r="S40" s="79">
        <v>29</v>
      </c>
      <c r="T40" s="79">
        <v>6</v>
      </c>
      <c r="U40" s="79">
        <v>3</v>
      </c>
    </row>
    <row r="41" spans="1:21" ht="26.25">
      <c r="A41" s="69" t="s">
        <v>54</v>
      </c>
      <c r="B41" s="83">
        <v>2.62</v>
      </c>
      <c r="C41" s="80">
        <v>217</v>
      </c>
      <c r="D41" s="80">
        <v>77</v>
      </c>
      <c r="E41" s="80">
        <v>13</v>
      </c>
      <c r="F41" s="80">
        <v>9</v>
      </c>
      <c r="G41" s="80">
        <v>11</v>
      </c>
      <c r="H41" s="80">
        <v>6</v>
      </c>
      <c r="I41" s="80">
        <v>38</v>
      </c>
      <c r="J41" s="80">
        <v>93</v>
      </c>
      <c r="K41" s="80">
        <v>65</v>
      </c>
      <c r="L41" s="80">
        <v>23</v>
      </c>
      <c r="M41" s="80">
        <v>5</v>
      </c>
      <c r="N41" s="88">
        <v>8</v>
      </c>
      <c r="O41" s="88">
        <v>6</v>
      </c>
      <c r="P41" s="88">
        <v>1</v>
      </c>
      <c r="Q41" s="88">
        <v>1</v>
      </c>
      <c r="R41" s="88">
        <v>39</v>
      </c>
      <c r="S41" s="88">
        <v>32</v>
      </c>
      <c r="T41" s="88">
        <v>6</v>
      </c>
      <c r="U41" s="88">
        <v>1</v>
      </c>
    </row>
    <row r="42" spans="1:21" ht="26.25">
      <c r="A42" s="69" t="s">
        <v>55</v>
      </c>
      <c r="B42" s="83">
        <v>2.2000000000000002</v>
      </c>
      <c r="C42" s="80">
        <v>176</v>
      </c>
      <c r="D42" s="80">
        <v>62</v>
      </c>
      <c r="E42" s="80">
        <v>8</v>
      </c>
      <c r="F42" s="80">
        <v>7</v>
      </c>
      <c r="G42" s="80">
        <v>9</v>
      </c>
      <c r="H42" s="80">
        <v>5</v>
      </c>
      <c r="I42" s="80">
        <v>32</v>
      </c>
      <c r="J42" s="80">
        <v>70</v>
      </c>
      <c r="K42" s="80">
        <v>47</v>
      </c>
      <c r="L42" s="80">
        <v>18</v>
      </c>
      <c r="M42" s="80">
        <v>5</v>
      </c>
      <c r="N42" s="79">
        <v>12</v>
      </c>
      <c r="O42" s="79">
        <v>8</v>
      </c>
      <c r="P42" s="79">
        <v>2</v>
      </c>
      <c r="Q42" s="79">
        <v>1</v>
      </c>
      <c r="R42" s="79">
        <v>32</v>
      </c>
      <c r="S42" s="79">
        <v>23</v>
      </c>
      <c r="T42" s="79">
        <v>5</v>
      </c>
      <c r="U42" s="79">
        <v>4</v>
      </c>
    </row>
    <row r="43" spans="1:21" ht="26.25">
      <c r="A43" s="69" t="s">
        <v>56</v>
      </c>
      <c r="B43" s="83">
        <v>1.8</v>
      </c>
      <c r="C43" s="80">
        <v>160</v>
      </c>
      <c r="D43" s="80">
        <v>53</v>
      </c>
      <c r="E43" s="80">
        <v>4</v>
      </c>
      <c r="F43" s="80">
        <v>6</v>
      </c>
      <c r="G43" s="80">
        <v>7</v>
      </c>
      <c r="H43" s="80">
        <v>5</v>
      </c>
      <c r="I43" s="80">
        <v>31</v>
      </c>
      <c r="J43" s="80">
        <v>68</v>
      </c>
      <c r="K43" s="80">
        <v>43</v>
      </c>
      <c r="L43" s="80">
        <v>19</v>
      </c>
      <c r="M43" s="80">
        <v>6</v>
      </c>
      <c r="N43" s="79">
        <v>15</v>
      </c>
      <c r="O43" s="79">
        <v>9</v>
      </c>
      <c r="P43" s="79">
        <v>3</v>
      </c>
      <c r="Q43" s="79">
        <v>3</v>
      </c>
      <c r="R43" s="79">
        <v>23</v>
      </c>
      <c r="S43" s="79">
        <v>17</v>
      </c>
      <c r="T43" s="79">
        <v>4</v>
      </c>
      <c r="U43" s="79">
        <v>2</v>
      </c>
    </row>
    <row r="44" spans="1:21" ht="26.25">
      <c r="A44" s="69" t="s">
        <v>57</v>
      </c>
      <c r="B44" s="83">
        <v>1.58</v>
      </c>
      <c r="C44" s="80">
        <v>145</v>
      </c>
      <c r="D44" s="80">
        <v>51</v>
      </c>
      <c r="E44" s="80">
        <v>4</v>
      </c>
      <c r="F44" s="80">
        <v>5</v>
      </c>
      <c r="G44" s="80">
        <v>6</v>
      </c>
      <c r="H44" s="80">
        <v>5</v>
      </c>
      <c r="I44" s="80">
        <v>30</v>
      </c>
      <c r="J44" s="80">
        <v>59</v>
      </c>
      <c r="K44" s="80">
        <v>37</v>
      </c>
      <c r="L44" s="80">
        <v>16</v>
      </c>
      <c r="M44" s="80">
        <v>5</v>
      </c>
      <c r="N44" s="79">
        <v>12</v>
      </c>
      <c r="O44" s="79">
        <v>8</v>
      </c>
      <c r="P44" s="79">
        <v>3</v>
      </c>
      <c r="Q44" s="79">
        <v>2</v>
      </c>
      <c r="R44" s="79">
        <v>23</v>
      </c>
      <c r="S44" s="79">
        <v>16</v>
      </c>
      <c r="T44" s="79">
        <v>5</v>
      </c>
      <c r="U44" s="79">
        <v>2</v>
      </c>
    </row>
    <row r="45" spans="1:21" ht="26.25">
      <c r="A45" s="69" t="s">
        <v>58</v>
      </c>
      <c r="B45" s="83">
        <v>0.56000000000000005</v>
      </c>
      <c r="C45" s="80">
        <v>36</v>
      </c>
      <c r="D45" s="80">
        <v>15</v>
      </c>
      <c r="E45" s="80">
        <v>1</v>
      </c>
      <c r="F45" s="80">
        <v>2</v>
      </c>
      <c r="G45" s="80">
        <v>2</v>
      </c>
      <c r="H45" s="80">
        <v>1</v>
      </c>
      <c r="I45" s="80">
        <v>8</v>
      </c>
      <c r="J45" s="80">
        <v>17</v>
      </c>
      <c r="K45" s="80">
        <v>10</v>
      </c>
      <c r="L45" s="80">
        <v>5</v>
      </c>
      <c r="M45" s="80">
        <v>2</v>
      </c>
      <c r="N45" s="79">
        <v>4</v>
      </c>
      <c r="O45" s="79">
        <v>3</v>
      </c>
      <c r="P45" s="79">
        <v>1</v>
      </c>
      <c r="Q45" s="79" t="s">
        <v>29</v>
      </c>
      <c r="R45" s="79" t="s">
        <v>30</v>
      </c>
      <c r="S45" s="79" t="s">
        <v>30</v>
      </c>
      <c r="T45" s="79" t="s">
        <v>30</v>
      </c>
      <c r="U45" s="79" t="s">
        <v>30</v>
      </c>
    </row>
    <row r="46" spans="1:21" ht="26.25">
      <c r="A46" s="69" t="s">
        <v>59</v>
      </c>
      <c r="B46" s="84">
        <v>0.43</v>
      </c>
      <c r="C46" s="81">
        <v>31</v>
      </c>
      <c r="D46" s="81">
        <v>12</v>
      </c>
      <c r="E46" s="81">
        <v>1</v>
      </c>
      <c r="F46" s="81">
        <v>1</v>
      </c>
      <c r="G46" s="81">
        <v>1</v>
      </c>
      <c r="H46" s="81">
        <v>1</v>
      </c>
      <c r="I46" s="81">
        <v>6</v>
      </c>
      <c r="J46" s="81">
        <v>14</v>
      </c>
      <c r="K46" s="81">
        <v>8</v>
      </c>
      <c r="L46" s="81">
        <v>4</v>
      </c>
      <c r="M46" s="81">
        <v>3</v>
      </c>
      <c r="N46" s="79">
        <v>5</v>
      </c>
      <c r="O46" s="79">
        <v>3</v>
      </c>
      <c r="P46" s="79">
        <v>1</v>
      </c>
      <c r="Q46" s="79">
        <v>1</v>
      </c>
      <c r="R46" s="79" t="s">
        <v>30</v>
      </c>
      <c r="S46" s="79" t="s">
        <v>30</v>
      </c>
      <c r="T46" s="79" t="s">
        <v>36</v>
      </c>
      <c r="U46" s="79" t="s">
        <v>36</v>
      </c>
    </row>
    <row r="47" spans="1:21" ht="41.25">
      <c r="A47" s="68" t="s">
        <v>60</v>
      </c>
      <c r="B47" s="85" t="s">
        <v>25</v>
      </c>
      <c r="C47" s="86" t="s">
        <v>25</v>
      </c>
      <c r="D47" s="86" t="s">
        <v>25</v>
      </c>
      <c r="E47" s="86" t="s">
        <v>25</v>
      </c>
      <c r="F47" s="86" t="s">
        <v>25</v>
      </c>
      <c r="G47" s="86" t="s">
        <v>25</v>
      </c>
      <c r="H47" s="86" t="s">
        <v>25</v>
      </c>
      <c r="I47" s="86" t="s">
        <v>25</v>
      </c>
      <c r="J47" s="86" t="s">
        <v>25</v>
      </c>
      <c r="K47" s="86" t="s">
        <v>25</v>
      </c>
      <c r="L47" s="86" t="s">
        <v>25</v>
      </c>
      <c r="M47" s="86" t="s">
        <v>25</v>
      </c>
      <c r="N47" s="86" t="s">
        <v>25</v>
      </c>
      <c r="O47" s="86" t="s">
        <v>25</v>
      </c>
      <c r="P47" s="86" t="s">
        <v>25</v>
      </c>
      <c r="Q47" s="86" t="s">
        <v>25</v>
      </c>
      <c r="R47" s="86" t="s">
        <v>25</v>
      </c>
      <c r="S47" s="86" t="s">
        <v>25</v>
      </c>
      <c r="T47" s="86" t="s">
        <v>25</v>
      </c>
      <c r="U47" s="86" t="s">
        <v>25</v>
      </c>
    </row>
    <row r="48" spans="1:21" ht="26.25">
      <c r="A48" s="69" t="s">
        <v>61</v>
      </c>
      <c r="B48" s="83">
        <v>6.04</v>
      </c>
      <c r="C48" s="80">
        <v>273</v>
      </c>
      <c r="D48" s="80">
        <v>99</v>
      </c>
      <c r="E48" s="80">
        <v>13</v>
      </c>
      <c r="F48" s="80">
        <v>13</v>
      </c>
      <c r="G48" s="80">
        <v>16</v>
      </c>
      <c r="H48" s="80">
        <v>10</v>
      </c>
      <c r="I48" s="80">
        <v>48</v>
      </c>
      <c r="J48" s="80">
        <v>138</v>
      </c>
      <c r="K48" s="80">
        <v>74</v>
      </c>
      <c r="L48" s="80">
        <v>53</v>
      </c>
      <c r="M48" s="80">
        <v>12</v>
      </c>
      <c r="N48" s="79">
        <v>6</v>
      </c>
      <c r="O48" s="79">
        <v>4</v>
      </c>
      <c r="P48" s="79">
        <v>1</v>
      </c>
      <c r="Q48" s="79">
        <v>1</v>
      </c>
      <c r="R48" s="79">
        <v>30</v>
      </c>
      <c r="S48" s="79">
        <v>16</v>
      </c>
      <c r="T48" s="79">
        <v>8</v>
      </c>
      <c r="U48" s="79">
        <v>5</v>
      </c>
    </row>
    <row r="49" spans="1:21" ht="26.25">
      <c r="A49" s="71" t="s">
        <v>62</v>
      </c>
      <c r="B49" s="83">
        <v>4.3899999999999997</v>
      </c>
      <c r="C49" s="80">
        <v>319</v>
      </c>
      <c r="D49" s="80">
        <v>104</v>
      </c>
      <c r="E49" s="80">
        <v>14</v>
      </c>
      <c r="F49" s="80">
        <v>13</v>
      </c>
      <c r="G49" s="80">
        <v>16</v>
      </c>
      <c r="H49" s="80">
        <v>9</v>
      </c>
      <c r="I49" s="80">
        <v>51</v>
      </c>
      <c r="J49" s="80">
        <v>172</v>
      </c>
      <c r="K49" s="80">
        <v>113</v>
      </c>
      <c r="L49" s="80">
        <v>46</v>
      </c>
      <c r="M49" s="80">
        <v>14</v>
      </c>
      <c r="N49" s="79">
        <v>10</v>
      </c>
      <c r="O49" s="79">
        <v>7</v>
      </c>
      <c r="P49" s="79">
        <v>1</v>
      </c>
      <c r="Q49" s="79">
        <v>1</v>
      </c>
      <c r="R49" s="79">
        <v>33</v>
      </c>
      <c r="S49" s="79">
        <v>24</v>
      </c>
      <c r="T49" s="79">
        <v>6</v>
      </c>
      <c r="U49" s="79">
        <v>3</v>
      </c>
    </row>
    <row r="50" spans="1:21" ht="26.25">
      <c r="A50" s="71" t="s">
        <v>63</v>
      </c>
      <c r="B50" s="83">
        <v>3.56</v>
      </c>
      <c r="C50" s="80">
        <v>351</v>
      </c>
      <c r="D50" s="80">
        <v>100</v>
      </c>
      <c r="E50" s="80">
        <v>12</v>
      </c>
      <c r="F50" s="80">
        <v>9</v>
      </c>
      <c r="G50" s="80">
        <v>15</v>
      </c>
      <c r="H50" s="80">
        <v>9</v>
      </c>
      <c r="I50" s="80">
        <v>55</v>
      </c>
      <c r="J50" s="80">
        <v>169</v>
      </c>
      <c r="K50" s="80">
        <v>122</v>
      </c>
      <c r="L50" s="80">
        <v>39</v>
      </c>
      <c r="M50" s="80">
        <v>8</v>
      </c>
      <c r="N50" s="88">
        <v>13</v>
      </c>
      <c r="O50" s="88">
        <v>8</v>
      </c>
      <c r="P50" s="88">
        <v>3</v>
      </c>
      <c r="Q50" s="88">
        <v>2</v>
      </c>
      <c r="R50" s="88">
        <v>69</v>
      </c>
      <c r="S50" s="88">
        <v>54</v>
      </c>
      <c r="T50" s="88">
        <v>10</v>
      </c>
      <c r="U50" s="88">
        <v>6</v>
      </c>
    </row>
    <row r="51" spans="1:21" ht="26.25">
      <c r="A51" s="69" t="s">
        <v>64</v>
      </c>
      <c r="B51" s="83">
        <v>2.71</v>
      </c>
      <c r="C51" s="80">
        <v>291</v>
      </c>
      <c r="D51" s="80">
        <v>87</v>
      </c>
      <c r="E51" s="80">
        <v>9</v>
      </c>
      <c r="F51" s="80">
        <v>8</v>
      </c>
      <c r="G51" s="80">
        <v>14</v>
      </c>
      <c r="H51" s="80">
        <v>8</v>
      </c>
      <c r="I51" s="80">
        <v>49</v>
      </c>
      <c r="J51" s="80">
        <v>134</v>
      </c>
      <c r="K51" s="80">
        <v>100</v>
      </c>
      <c r="L51" s="80">
        <v>29</v>
      </c>
      <c r="M51" s="80">
        <v>6</v>
      </c>
      <c r="N51" s="79">
        <v>11</v>
      </c>
      <c r="O51" s="79">
        <v>7</v>
      </c>
      <c r="P51" s="79">
        <v>2</v>
      </c>
      <c r="Q51" s="79">
        <v>2</v>
      </c>
      <c r="R51" s="79">
        <v>59</v>
      </c>
      <c r="S51" s="79">
        <v>47</v>
      </c>
      <c r="T51" s="79">
        <v>8</v>
      </c>
      <c r="U51" s="79">
        <v>4</v>
      </c>
    </row>
    <row r="52" spans="1:21" ht="26.25">
      <c r="A52" s="69" t="s">
        <v>65</v>
      </c>
      <c r="B52" s="83">
        <v>1.9</v>
      </c>
      <c r="C52" s="80">
        <v>230</v>
      </c>
      <c r="D52" s="80">
        <v>70</v>
      </c>
      <c r="E52" s="80">
        <v>7</v>
      </c>
      <c r="F52" s="80">
        <v>7</v>
      </c>
      <c r="G52" s="80">
        <v>10</v>
      </c>
      <c r="H52" s="80">
        <v>6</v>
      </c>
      <c r="I52" s="80">
        <v>39</v>
      </c>
      <c r="J52" s="80">
        <v>114</v>
      </c>
      <c r="K52" s="80">
        <v>86</v>
      </c>
      <c r="L52" s="80">
        <v>23</v>
      </c>
      <c r="M52" s="80">
        <v>5</v>
      </c>
      <c r="N52" s="79">
        <v>9</v>
      </c>
      <c r="O52" s="79">
        <v>6</v>
      </c>
      <c r="P52" s="79">
        <v>2</v>
      </c>
      <c r="Q52" s="79">
        <v>1</v>
      </c>
      <c r="R52" s="79">
        <v>37</v>
      </c>
      <c r="S52" s="79">
        <v>32</v>
      </c>
      <c r="T52" s="79">
        <v>4</v>
      </c>
      <c r="U52" s="79">
        <v>1</v>
      </c>
    </row>
    <row r="53" spans="1:21" ht="26.25">
      <c r="A53" s="71" t="s">
        <v>66</v>
      </c>
      <c r="B53" s="83">
        <v>3.33</v>
      </c>
      <c r="C53" s="80">
        <v>492</v>
      </c>
      <c r="D53" s="80">
        <v>140</v>
      </c>
      <c r="E53" s="80">
        <v>12</v>
      </c>
      <c r="F53" s="80">
        <v>10</v>
      </c>
      <c r="G53" s="80">
        <v>22</v>
      </c>
      <c r="H53" s="80">
        <v>12</v>
      </c>
      <c r="I53" s="80">
        <v>83</v>
      </c>
      <c r="J53" s="80">
        <v>214</v>
      </c>
      <c r="K53" s="80">
        <v>154</v>
      </c>
      <c r="L53" s="80">
        <v>38</v>
      </c>
      <c r="M53" s="80">
        <v>22</v>
      </c>
      <c r="N53" s="79">
        <v>33</v>
      </c>
      <c r="O53" s="79">
        <v>21</v>
      </c>
      <c r="P53" s="79">
        <v>6</v>
      </c>
      <c r="Q53" s="79">
        <v>7</v>
      </c>
      <c r="R53" s="79">
        <v>105</v>
      </c>
      <c r="S53" s="79">
        <v>88</v>
      </c>
      <c r="T53" s="79">
        <v>12</v>
      </c>
      <c r="U53" s="79">
        <v>4</v>
      </c>
    </row>
    <row r="54" spans="1:21" ht="51.75">
      <c r="A54" s="68" t="s">
        <v>67</v>
      </c>
      <c r="B54" s="85" t="s">
        <v>25</v>
      </c>
      <c r="C54" s="86" t="s">
        <v>25</v>
      </c>
      <c r="D54" s="86" t="s">
        <v>25</v>
      </c>
      <c r="E54" s="86" t="s">
        <v>25</v>
      </c>
      <c r="F54" s="86" t="s">
        <v>25</v>
      </c>
      <c r="G54" s="86" t="s">
        <v>25</v>
      </c>
      <c r="H54" s="86" t="s">
        <v>25</v>
      </c>
      <c r="I54" s="86" t="s">
        <v>25</v>
      </c>
      <c r="J54" s="86" t="s">
        <v>25</v>
      </c>
      <c r="K54" s="86" t="s">
        <v>25</v>
      </c>
      <c r="L54" s="86" t="s">
        <v>25</v>
      </c>
      <c r="M54" s="86" t="s">
        <v>25</v>
      </c>
      <c r="N54" s="86" t="s">
        <v>25</v>
      </c>
      <c r="O54" s="86" t="s">
        <v>25</v>
      </c>
      <c r="P54" s="86" t="s">
        <v>25</v>
      </c>
      <c r="Q54" s="86" t="s">
        <v>25</v>
      </c>
      <c r="R54" s="86" t="s">
        <v>25</v>
      </c>
      <c r="S54" s="86" t="s">
        <v>25</v>
      </c>
      <c r="T54" s="86" t="s">
        <v>25</v>
      </c>
      <c r="U54" s="86" t="s">
        <v>25</v>
      </c>
    </row>
    <row r="55" spans="1:21">
      <c r="A55" s="69" t="s">
        <v>68</v>
      </c>
      <c r="B55" s="83">
        <v>6.02</v>
      </c>
      <c r="C55" s="80">
        <v>364</v>
      </c>
      <c r="D55" s="80">
        <v>103</v>
      </c>
      <c r="E55" s="80">
        <v>15</v>
      </c>
      <c r="F55" s="80">
        <v>9</v>
      </c>
      <c r="G55" s="80">
        <v>15</v>
      </c>
      <c r="H55" s="80">
        <v>12</v>
      </c>
      <c r="I55" s="80">
        <v>52</v>
      </c>
      <c r="J55" s="80">
        <v>180</v>
      </c>
      <c r="K55" s="80">
        <v>128</v>
      </c>
      <c r="L55" s="80">
        <v>41</v>
      </c>
      <c r="M55" s="80">
        <v>11</v>
      </c>
      <c r="N55" s="79">
        <v>16</v>
      </c>
      <c r="O55" s="79">
        <v>12</v>
      </c>
      <c r="P55" s="79">
        <v>2</v>
      </c>
      <c r="Q55" s="79">
        <v>2</v>
      </c>
      <c r="R55" s="79">
        <v>65</v>
      </c>
      <c r="S55" s="79">
        <v>51</v>
      </c>
      <c r="T55" s="79">
        <v>8</v>
      </c>
      <c r="U55" s="79">
        <v>6</v>
      </c>
    </row>
    <row r="56" spans="1:21" ht="26.25">
      <c r="A56" s="71" t="s">
        <v>69</v>
      </c>
      <c r="B56" s="83">
        <v>7.96</v>
      </c>
      <c r="C56" s="80">
        <v>713</v>
      </c>
      <c r="D56" s="80">
        <v>215</v>
      </c>
      <c r="E56" s="80">
        <v>25</v>
      </c>
      <c r="F56" s="80">
        <v>21</v>
      </c>
      <c r="G56" s="80">
        <v>33</v>
      </c>
      <c r="H56" s="80">
        <v>20</v>
      </c>
      <c r="I56" s="80">
        <v>116</v>
      </c>
      <c r="J56" s="80">
        <v>333</v>
      </c>
      <c r="K56" s="80">
        <v>237</v>
      </c>
      <c r="L56" s="80">
        <v>71</v>
      </c>
      <c r="M56" s="80">
        <v>24</v>
      </c>
      <c r="N56" s="79">
        <v>34</v>
      </c>
      <c r="O56" s="79">
        <v>22</v>
      </c>
      <c r="P56" s="79">
        <v>6</v>
      </c>
      <c r="Q56" s="79">
        <v>6</v>
      </c>
      <c r="R56" s="79">
        <v>131</v>
      </c>
      <c r="S56" s="79">
        <v>107</v>
      </c>
      <c r="T56" s="79">
        <v>18</v>
      </c>
      <c r="U56" s="79">
        <v>6</v>
      </c>
    </row>
    <row r="57" spans="1:21" ht="26.25">
      <c r="A57" s="71" t="s">
        <v>70</v>
      </c>
      <c r="B57" s="83">
        <v>3.53</v>
      </c>
      <c r="C57" s="80">
        <v>365</v>
      </c>
      <c r="D57" s="80">
        <v>112</v>
      </c>
      <c r="E57" s="80">
        <v>12</v>
      </c>
      <c r="F57" s="80">
        <v>11</v>
      </c>
      <c r="G57" s="80">
        <v>18</v>
      </c>
      <c r="H57" s="80">
        <v>10</v>
      </c>
      <c r="I57" s="80">
        <v>61</v>
      </c>
      <c r="J57" s="80">
        <v>179</v>
      </c>
      <c r="K57" s="80">
        <v>117</v>
      </c>
      <c r="L57" s="80">
        <v>48</v>
      </c>
      <c r="M57" s="80">
        <v>14</v>
      </c>
      <c r="N57" s="88">
        <v>13</v>
      </c>
      <c r="O57" s="88">
        <v>8</v>
      </c>
      <c r="P57" s="88">
        <v>3</v>
      </c>
      <c r="Q57" s="88">
        <v>2</v>
      </c>
      <c r="R57" s="88">
        <v>61</v>
      </c>
      <c r="S57" s="88">
        <v>46</v>
      </c>
      <c r="T57" s="88">
        <v>10</v>
      </c>
      <c r="U57" s="88">
        <v>5</v>
      </c>
    </row>
    <row r="58" spans="1:21" ht="26.25">
      <c r="A58" s="69" t="s">
        <v>71</v>
      </c>
      <c r="B58" s="83">
        <v>2.76</v>
      </c>
      <c r="C58" s="80">
        <v>311</v>
      </c>
      <c r="D58" s="80">
        <v>102</v>
      </c>
      <c r="E58" s="80">
        <v>8</v>
      </c>
      <c r="F58" s="80">
        <v>13</v>
      </c>
      <c r="G58" s="80">
        <v>16</v>
      </c>
      <c r="H58" s="80">
        <v>8</v>
      </c>
      <c r="I58" s="80">
        <v>57</v>
      </c>
      <c r="J58" s="80">
        <v>152</v>
      </c>
      <c r="K58" s="80">
        <v>102</v>
      </c>
      <c r="L58" s="80">
        <v>39</v>
      </c>
      <c r="M58" s="80">
        <v>11</v>
      </c>
      <c r="N58" s="79">
        <v>11</v>
      </c>
      <c r="O58" s="79">
        <v>6</v>
      </c>
      <c r="P58" s="79">
        <v>2</v>
      </c>
      <c r="Q58" s="79">
        <v>2</v>
      </c>
      <c r="R58" s="79">
        <v>46</v>
      </c>
      <c r="S58" s="79">
        <v>34</v>
      </c>
      <c r="T58" s="79">
        <v>9</v>
      </c>
      <c r="U58" s="79">
        <v>3</v>
      </c>
    </row>
    <row r="59" spans="1:21" ht="26.25">
      <c r="A59" s="71" t="s">
        <v>72</v>
      </c>
      <c r="B59" s="83">
        <v>0.91</v>
      </c>
      <c r="C59" s="80">
        <v>111</v>
      </c>
      <c r="D59" s="80">
        <v>37</v>
      </c>
      <c r="E59" s="80">
        <v>3</v>
      </c>
      <c r="F59" s="80">
        <v>4</v>
      </c>
      <c r="G59" s="80">
        <v>5</v>
      </c>
      <c r="H59" s="80">
        <v>3</v>
      </c>
      <c r="I59" s="80">
        <v>22</v>
      </c>
      <c r="J59" s="80">
        <v>52</v>
      </c>
      <c r="K59" s="80">
        <v>33</v>
      </c>
      <c r="L59" s="80">
        <v>15</v>
      </c>
      <c r="M59" s="80">
        <v>3</v>
      </c>
      <c r="N59" s="79">
        <v>5</v>
      </c>
      <c r="O59" s="79">
        <v>3</v>
      </c>
      <c r="P59" s="79">
        <v>1</v>
      </c>
      <c r="Q59" s="79">
        <v>1</v>
      </c>
      <c r="R59" s="79">
        <v>18</v>
      </c>
      <c r="S59" s="79">
        <v>14</v>
      </c>
      <c r="T59" s="79">
        <v>2</v>
      </c>
      <c r="U59" s="79" t="s">
        <v>30</v>
      </c>
    </row>
    <row r="60" spans="1:21" ht="26.25">
      <c r="A60" s="71" t="s">
        <v>73</v>
      </c>
      <c r="B60" s="83">
        <v>0.75</v>
      </c>
      <c r="C60" s="80">
        <v>92</v>
      </c>
      <c r="D60" s="80">
        <v>29</v>
      </c>
      <c r="E60" s="80">
        <v>3</v>
      </c>
      <c r="F60" s="80">
        <v>3</v>
      </c>
      <c r="G60" s="80">
        <v>5</v>
      </c>
      <c r="H60" s="80">
        <v>2</v>
      </c>
      <c r="I60" s="80">
        <v>16</v>
      </c>
      <c r="J60" s="80">
        <v>47</v>
      </c>
      <c r="K60" s="80">
        <v>31</v>
      </c>
      <c r="L60" s="80">
        <v>13</v>
      </c>
      <c r="M60" s="80">
        <v>3</v>
      </c>
      <c r="N60" s="79">
        <v>4</v>
      </c>
      <c r="O60" s="79">
        <v>2</v>
      </c>
      <c r="P60" s="79">
        <v>1</v>
      </c>
      <c r="Q60" s="79" t="s">
        <v>30</v>
      </c>
      <c r="R60" s="79">
        <v>12</v>
      </c>
      <c r="S60" s="79">
        <v>8</v>
      </c>
      <c r="T60" s="79">
        <v>2</v>
      </c>
      <c r="U60" s="79" t="s">
        <v>30</v>
      </c>
    </row>
    <row r="61" spans="1:21" ht="51.75">
      <c r="A61" s="68" t="s">
        <v>74</v>
      </c>
      <c r="B61" s="85" t="s">
        <v>25</v>
      </c>
      <c r="C61" s="86" t="s">
        <v>25</v>
      </c>
      <c r="D61" s="86" t="s">
        <v>25</v>
      </c>
      <c r="E61" s="86" t="s">
        <v>25</v>
      </c>
      <c r="F61" s="86" t="s">
        <v>25</v>
      </c>
      <c r="G61" s="86" t="s">
        <v>25</v>
      </c>
      <c r="H61" s="86" t="s">
        <v>25</v>
      </c>
      <c r="I61" s="86" t="s">
        <v>25</v>
      </c>
      <c r="J61" s="86" t="s">
        <v>25</v>
      </c>
      <c r="K61" s="86" t="s">
        <v>25</v>
      </c>
      <c r="L61" s="86" t="s">
        <v>25</v>
      </c>
      <c r="M61" s="86" t="s">
        <v>25</v>
      </c>
      <c r="N61" s="86" t="s">
        <v>25</v>
      </c>
      <c r="O61" s="86" t="s">
        <v>25</v>
      </c>
      <c r="P61" s="86" t="s">
        <v>25</v>
      </c>
      <c r="Q61" s="86" t="s">
        <v>25</v>
      </c>
      <c r="R61" s="86" t="s">
        <v>25</v>
      </c>
      <c r="S61" s="86" t="s">
        <v>25</v>
      </c>
      <c r="T61" s="86" t="s">
        <v>25</v>
      </c>
      <c r="U61" s="86" t="s">
        <v>25</v>
      </c>
    </row>
    <row r="62" spans="1:21" ht="26.25">
      <c r="A62" s="69" t="s">
        <v>75</v>
      </c>
      <c r="B62" s="83">
        <v>0.66</v>
      </c>
      <c r="C62" s="80">
        <v>43</v>
      </c>
      <c r="D62" s="80">
        <v>16</v>
      </c>
      <c r="E62" s="80">
        <v>4</v>
      </c>
      <c r="F62" s="80">
        <v>1</v>
      </c>
      <c r="G62" s="80">
        <v>2</v>
      </c>
      <c r="H62" s="80">
        <v>1</v>
      </c>
      <c r="I62" s="80">
        <v>8</v>
      </c>
      <c r="J62" s="80">
        <v>21</v>
      </c>
      <c r="K62" s="80">
        <v>12</v>
      </c>
      <c r="L62" s="80">
        <v>9</v>
      </c>
      <c r="M62" s="80">
        <v>1</v>
      </c>
      <c r="N62" s="79">
        <v>1</v>
      </c>
      <c r="O62" s="79" t="s">
        <v>30</v>
      </c>
      <c r="P62" s="79" t="s">
        <v>30</v>
      </c>
      <c r="Q62" s="79" t="s">
        <v>30</v>
      </c>
      <c r="R62" s="79">
        <v>4</v>
      </c>
      <c r="S62" s="79">
        <v>3</v>
      </c>
      <c r="T62" s="79" t="s">
        <v>30</v>
      </c>
      <c r="U62" s="79" t="s">
        <v>30</v>
      </c>
    </row>
    <row r="63" spans="1:21" ht="26.25">
      <c r="A63" s="69" t="s">
        <v>76</v>
      </c>
      <c r="B63" s="83">
        <v>0.69</v>
      </c>
      <c r="C63" s="80">
        <v>41</v>
      </c>
      <c r="D63" s="80">
        <v>14</v>
      </c>
      <c r="E63" s="80">
        <v>2</v>
      </c>
      <c r="F63" s="80">
        <v>2</v>
      </c>
      <c r="G63" s="80">
        <v>2</v>
      </c>
      <c r="H63" s="80">
        <v>1</v>
      </c>
      <c r="I63" s="80">
        <v>6</v>
      </c>
      <c r="J63" s="80">
        <v>20</v>
      </c>
      <c r="K63" s="80">
        <v>14</v>
      </c>
      <c r="L63" s="80">
        <v>5</v>
      </c>
      <c r="M63" s="80">
        <v>1</v>
      </c>
      <c r="N63" s="79">
        <v>1</v>
      </c>
      <c r="O63" s="79" t="s">
        <v>30</v>
      </c>
      <c r="P63" s="79" t="s">
        <v>30</v>
      </c>
      <c r="Q63" s="79" t="s">
        <v>30</v>
      </c>
      <c r="R63" s="79">
        <v>5</v>
      </c>
      <c r="S63" s="79">
        <v>4</v>
      </c>
      <c r="T63" s="79" t="s">
        <v>30</v>
      </c>
      <c r="U63" s="79" t="s">
        <v>30</v>
      </c>
    </row>
    <row r="64" spans="1:21" ht="39">
      <c r="A64" s="69" t="s">
        <v>77</v>
      </c>
      <c r="B64" s="83">
        <v>1.77</v>
      </c>
      <c r="C64" s="80">
        <v>116</v>
      </c>
      <c r="D64" s="80">
        <v>36</v>
      </c>
      <c r="E64" s="80">
        <v>6</v>
      </c>
      <c r="F64" s="80">
        <v>4</v>
      </c>
      <c r="G64" s="80">
        <v>5</v>
      </c>
      <c r="H64" s="80">
        <v>3</v>
      </c>
      <c r="I64" s="80">
        <v>17</v>
      </c>
      <c r="J64" s="80">
        <v>59</v>
      </c>
      <c r="K64" s="80">
        <v>40</v>
      </c>
      <c r="L64" s="80">
        <v>15</v>
      </c>
      <c r="M64" s="80">
        <v>3</v>
      </c>
      <c r="N64" s="88">
        <v>5</v>
      </c>
      <c r="O64" s="88">
        <v>4</v>
      </c>
      <c r="P64" s="88" t="s">
        <v>30</v>
      </c>
      <c r="Q64" s="88" t="s">
        <v>29</v>
      </c>
      <c r="R64" s="88">
        <v>16</v>
      </c>
      <c r="S64" s="88">
        <v>13</v>
      </c>
      <c r="T64" s="88">
        <v>2</v>
      </c>
      <c r="U64" s="88" t="s">
        <v>30</v>
      </c>
    </row>
    <row r="65" spans="1:21" ht="39">
      <c r="A65" s="69" t="s">
        <v>78</v>
      </c>
      <c r="B65" s="83">
        <v>3.36</v>
      </c>
      <c r="C65" s="80">
        <v>251</v>
      </c>
      <c r="D65" s="80">
        <v>75</v>
      </c>
      <c r="E65" s="80">
        <v>9</v>
      </c>
      <c r="F65" s="80">
        <v>9</v>
      </c>
      <c r="G65" s="80">
        <v>11</v>
      </c>
      <c r="H65" s="80">
        <v>7</v>
      </c>
      <c r="I65" s="80">
        <v>39</v>
      </c>
      <c r="J65" s="80">
        <v>121</v>
      </c>
      <c r="K65" s="80">
        <v>82</v>
      </c>
      <c r="L65" s="80">
        <v>33</v>
      </c>
      <c r="M65" s="80">
        <v>6</v>
      </c>
      <c r="N65" s="79">
        <v>9</v>
      </c>
      <c r="O65" s="79">
        <v>7</v>
      </c>
      <c r="P65" s="79">
        <v>1</v>
      </c>
      <c r="Q65" s="79">
        <v>1</v>
      </c>
      <c r="R65" s="79">
        <v>46</v>
      </c>
      <c r="S65" s="79">
        <v>37</v>
      </c>
      <c r="T65" s="79">
        <v>6</v>
      </c>
      <c r="U65" s="79">
        <v>3</v>
      </c>
    </row>
    <row r="66" spans="1:21" ht="39">
      <c r="A66" s="69" t="s">
        <v>79</v>
      </c>
      <c r="B66" s="83">
        <v>3.04</v>
      </c>
      <c r="C66" s="80">
        <v>250</v>
      </c>
      <c r="D66" s="80">
        <v>73</v>
      </c>
      <c r="E66" s="80">
        <v>9</v>
      </c>
      <c r="F66" s="80">
        <v>8</v>
      </c>
      <c r="G66" s="80">
        <v>10</v>
      </c>
      <c r="H66" s="80">
        <v>7</v>
      </c>
      <c r="I66" s="80">
        <v>38</v>
      </c>
      <c r="J66" s="80">
        <v>126</v>
      </c>
      <c r="K66" s="80">
        <v>89</v>
      </c>
      <c r="L66" s="80">
        <v>31</v>
      </c>
      <c r="M66" s="80">
        <v>5</v>
      </c>
      <c r="N66" s="79">
        <v>10</v>
      </c>
      <c r="O66" s="79">
        <v>8</v>
      </c>
      <c r="P66" s="79">
        <v>1</v>
      </c>
      <c r="Q66" s="79">
        <v>1</v>
      </c>
      <c r="R66" s="79">
        <v>41</v>
      </c>
      <c r="S66" s="79">
        <v>33</v>
      </c>
      <c r="T66" s="79">
        <v>6</v>
      </c>
      <c r="U66" s="79">
        <v>3</v>
      </c>
    </row>
    <row r="67" spans="1:21" ht="39">
      <c r="A67" s="69" t="s">
        <v>80</v>
      </c>
      <c r="B67" s="83">
        <v>5.03</v>
      </c>
      <c r="C67" s="80">
        <v>449</v>
      </c>
      <c r="D67" s="80">
        <v>140</v>
      </c>
      <c r="E67" s="80">
        <v>16</v>
      </c>
      <c r="F67" s="80">
        <v>16</v>
      </c>
      <c r="G67" s="80">
        <v>21</v>
      </c>
      <c r="H67" s="80">
        <v>13</v>
      </c>
      <c r="I67" s="80">
        <v>74</v>
      </c>
      <c r="J67" s="80">
        <v>203</v>
      </c>
      <c r="K67" s="80">
        <v>140</v>
      </c>
      <c r="L67" s="80">
        <v>47</v>
      </c>
      <c r="M67" s="80">
        <v>16</v>
      </c>
      <c r="N67" s="79">
        <v>18</v>
      </c>
      <c r="O67" s="79">
        <v>12</v>
      </c>
      <c r="P67" s="79">
        <v>4</v>
      </c>
      <c r="Q67" s="79">
        <v>3</v>
      </c>
      <c r="R67" s="79">
        <v>88</v>
      </c>
      <c r="S67" s="79">
        <v>70</v>
      </c>
      <c r="T67" s="79">
        <v>11</v>
      </c>
      <c r="U67" s="79">
        <v>7</v>
      </c>
    </row>
    <row r="68" spans="1:21" ht="39">
      <c r="A68" s="69" t="s">
        <v>81</v>
      </c>
      <c r="B68" s="83">
        <v>3.29</v>
      </c>
      <c r="C68" s="80">
        <v>313</v>
      </c>
      <c r="D68" s="80">
        <v>101</v>
      </c>
      <c r="E68" s="80">
        <v>11</v>
      </c>
      <c r="F68" s="80">
        <v>9</v>
      </c>
      <c r="G68" s="80">
        <v>16</v>
      </c>
      <c r="H68" s="80">
        <v>9</v>
      </c>
      <c r="I68" s="80">
        <v>56</v>
      </c>
      <c r="J68" s="80">
        <v>145</v>
      </c>
      <c r="K68" s="80">
        <v>101</v>
      </c>
      <c r="L68" s="80">
        <v>35</v>
      </c>
      <c r="M68" s="80">
        <v>9</v>
      </c>
      <c r="N68" s="79">
        <v>15</v>
      </c>
      <c r="O68" s="79">
        <v>10</v>
      </c>
      <c r="P68" s="79">
        <v>3</v>
      </c>
      <c r="Q68" s="79">
        <v>2</v>
      </c>
      <c r="R68" s="79">
        <v>52</v>
      </c>
      <c r="S68" s="79">
        <v>36</v>
      </c>
      <c r="T68" s="79">
        <v>10</v>
      </c>
      <c r="U68" s="79">
        <v>6</v>
      </c>
    </row>
    <row r="69" spans="1:21" ht="26.25">
      <c r="A69" s="69" t="s">
        <v>82</v>
      </c>
      <c r="B69" s="83">
        <v>4.09</v>
      </c>
      <c r="C69" s="80">
        <v>493</v>
      </c>
      <c r="D69" s="80">
        <v>145</v>
      </c>
      <c r="E69" s="80">
        <v>11</v>
      </c>
      <c r="F69" s="80">
        <v>11</v>
      </c>
      <c r="G69" s="80">
        <v>25</v>
      </c>
      <c r="H69" s="80">
        <v>13</v>
      </c>
      <c r="I69" s="80">
        <v>86</v>
      </c>
      <c r="J69" s="80">
        <v>246</v>
      </c>
      <c r="K69" s="80">
        <v>169</v>
      </c>
      <c r="L69" s="80">
        <v>52</v>
      </c>
      <c r="M69" s="80">
        <v>24</v>
      </c>
      <c r="N69" s="79">
        <v>21</v>
      </c>
      <c r="O69" s="79">
        <v>11</v>
      </c>
      <c r="P69" s="79">
        <v>4</v>
      </c>
      <c r="Q69" s="79">
        <v>6</v>
      </c>
      <c r="R69" s="79">
        <v>81</v>
      </c>
      <c r="S69" s="79">
        <v>65</v>
      </c>
      <c r="T69" s="79">
        <v>12</v>
      </c>
      <c r="U69" s="79">
        <v>4</v>
      </c>
    </row>
    <row r="70" spans="1:21" ht="51.75">
      <c r="A70" s="68" t="s">
        <v>83</v>
      </c>
      <c r="B70" s="85" t="s">
        <v>25</v>
      </c>
      <c r="C70" s="86" t="s">
        <v>25</v>
      </c>
      <c r="D70" s="86" t="s">
        <v>25</v>
      </c>
      <c r="E70" s="86" t="s">
        <v>25</v>
      </c>
      <c r="F70" s="86" t="s">
        <v>25</v>
      </c>
      <c r="G70" s="86" t="s">
        <v>25</v>
      </c>
      <c r="H70" s="86" t="s">
        <v>25</v>
      </c>
      <c r="I70" s="86" t="s">
        <v>25</v>
      </c>
      <c r="J70" s="86" t="s">
        <v>25</v>
      </c>
      <c r="K70" s="86" t="s">
        <v>25</v>
      </c>
      <c r="L70" s="86" t="s">
        <v>25</v>
      </c>
      <c r="M70" s="86" t="s">
        <v>25</v>
      </c>
      <c r="N70" s="86" t="s">
        <v>25</v>
      </c>
      <c r="O70" s="86" t="s">
        <v>25</v>
      </c>
      <c r="P70" s="86" t="s">
        <v>25</v>
      </c>
      <c r="Q70" s="86" t="s">
        <v>25</v>
      </c>
      <c r="R70" s="86" t="s">
        <v>25</v>
      </c>
      <c r="S70" s="86" t="s">
        <v>25</v>
      </c>
      <c r="T70" s="86" t="s">
        <v>25</v>
      </c>
      <c r="U70" s="86" t="s">
        <v>25</v>
      </c>
    </row>
    <row r="71" spans="1:21" ht="51.75">
      <c r="A71" s="69" t="s">
        <v>84</v>
      </c>
      <c r="B71" s="83">
        <v>18</v>
      </c>
      <c r="C71" s="80">
        <v>1767</v>
      </c>
      <c r="D71" s="80">
        <v>537</v>
      </c>
      <c r="E71" s="80">
        <v>60</v>
      </c>
      <c r="F71" s="80">
        <v>53</v>
      </c>
      <c r="G71" s="80">
        <v>81</v>
      </c>
      <c r="H71" s="80">
        <v>48</v>
      </c>
      <c r="I71" s="80">
        <v>294</v>
      </c>
      <c r="J71" s="80">
        <v>845</v>
      </c>
      <c r="K71" s="80">
        <v>596</v>
      </c>
      <c r="L71" s="80">
        <v>193</v>
      </c>
      <c r="M71" s="80">
        <v>56</v>
      </c>
      <c r="N71" s="79">
        <v>78</v>
      </c>
      <c r="O71" s="79">
        <v>51</v>
      </c>
      <c r="P71" s="79">
        <v>14</v>
      </c>
      <c r="Q71" s="79">
        <v>13</v>
      </c>
      <c r="R71" s="79">
        <v>307</v>
      </c>
      <c r="S71" s="79">
        <v>248</v>
      </c>
      <c r="T71" s="79">
        <v>40</v>
      </c>
      <c r="U71" s="79">
        <v>19</v>
      </c>
    </row>
    <row r="72" spans="1:21" ht="90">
      <c r="A72" s="69" t="s">
        <v>85</v>
      </c>
      <c r="B72" s="83">
        <v>1.32</v>
      </c>
      <c r="C72" s="80">
        <v>62</v>
      </c>
      <c r="D72" s="80">
        <v>23</v>
      </c>
      <c r="E72" s="80">
        <v>3</v>
      </c>
      <c r="F72" s="80">
        <v>3</v>
      </c>
      <c r="G72" s="80">
        <v>4</v>
      </c>
      <c r="H72" s="80">
        <v>2</v>
      </c>
      <c r="I72" s="80">
        <v>11</v>
      </c>
      <c r="J72" s="80">
        <v>34</v>
      </c>
      <c r="K72" s="80">
        <v>21</v>
      </c>
      <c r="L72" s="80">
        <v>11</v>
      </c>
      <c r="M72" s="80">
        <v>2</v>
      </c>
      <c r="N72" s="79">
        <v>1</v>
      </c>
      <c r="O72" s="79" t="s">
        <v>30</v>
      </c>
      <c r="P72" s="79" t="s">
        <v>30</v>
      </c>
      <c r="Q72" s="79" t="s">
        <v>30</v>
      </c>
      <c r="R72" s="79">
        <v>3</v>
      </c>
      <c r="S72" s="79">
        <v>2</v>
      </c>
      <c r="T72" s="79">
        <v>1</v>
      </c>
      <c r="U72" s="79" t="s">
        <v>30</v>
      </c>
    </row>
    <row r="73" spans="1:21" ht="51.75">
      <c r="A73" s="69" t="s">
        <v>86</v>
      </c>
      <c r="B73" s="83">
        <v>0.23</v>
      </c>
      <c r="C73" s="80">
        <v>12</v>
      </c>
      <c r="D73" s="80">
        <v>5</v>
      </c>
      <c r="E73" s="80">
        <v>1</v>
      </c>
      <c r="F73" s="80">
        <v>1</v>
      </c>
      <c r="G73" s="80">
        <v>1</v>
      </c>
      <c r="H73" s="80" t="s">
        <v>29</v>
      </c>
      <c r="I73" s="80">
        <v>2</v>
      </c>
      <c r="J73" s="80">
        <v>7</v>
      </c>
      <c r="K73" s="80">
        <v>4</v>
      </c>
      <c r="L73" s="80">
        <v>2</v>
      </c>
      <c r="M73" s="80" t="s">
        <v>29</v>
      </c>
      <c r="N73" s="88" t="s">
        <v>30</v>
      </c>
      <c r="O73" s="88" t="s">
        <v>36</v>
      </c>
      <c r="P73" s="88" t="s">
        <v>36</v>
      </c>
      <c r="Q73" s="88" t="s">
        <v>30</v>
      </c>
      <c r="R73" s="88" t="s">
        <v>30</v>
      </c>
      <c r="S73" s="88" t="s">
        <v>30</v>
      </c>
      <c r="T73" s="88" t="s">
        <v>30</v>
      </c>
      <c r="U73" s="88" t="s">
        <v>36</v>
      </c>
    </row>
    <row r="74" spans="1:21" ht="39">
      <c r="A74" s="69" t="s">
        <v>87</v>
      </c>
      <c r="B74" s="83">
        <v>2.36</v>
      </c>
      <c r="C74" s="80">
        <v>115</v>
      </c>
      <c r="D74" s="80">
        <v>35</v>
      </c>
      <c r="E74" s="80">
        <v>3</v>
      </c>
      <c r="F74" s="80">
        <v>3</v>
      </c>
      <c r="G74" s="80">
        <v>7</v>
      </c>
      <c r="H74" s="80">
        <v>4</v>
      </c>
      <c r="I74" s="80">
        <v>18</v>
      </c>
      <c r="J74" s="80">
        <v>56</v>
      </c>
      <c r="K74" s="80">
        <v>28</v>
      </c>
      <c r="L74" s="80">
        <v>21</v>
      </c>
      <c r="M74" s="80">
        <v>7</v>
      </c>
      <c r="N74" s="79">
        <v>3</v>
      </c>
      <c r="O74" s="79" t="s">
        <v>30</v>
      </c>
      <c r="P74" s="79">
        <v>1</v>
      </c>
      <c r="Q74" s="79" t="s">
        <v>30</v>
      </c>
      <c r="R74" s="79">
        <v>22</v>
      </c>
      <c r="S74" s="79">
        <v>10</v>
      </c>
      <c r="T74" s="79">
        <v>8</v>
      </c>
      <c r="U74" s="79">
        <v>4</v>
      </c>
    </row>
    <row r="75" spans="1:21" ht="39">
      <c r="A75" s="76" t="s">
        <v>88</v>
      </c>
      <c r="B75" s="85" t="s">
        <v>25</v>
      </c>
      <c r="C75" s="86" t="s">
        <v>25</v>
      </c>
      <c r="D75" s="86" t="s">
        <v>25</v>
      </c>
      <c r="E75" s="86" t="s">
        <v>25</v>
      </c>
      <c r="F75" s="86" t="s">
        <v>25</v>
      </c>
      <c r="G75" s="86" t="s">
        <v>25</v>
      </c>
      <c r="H75" s="86" t="s">
        <v>25</v>
      </c>
      <c r="I75" s="86" t="s">
        <v>25</v>
      </c>
      <c r="J75" s="86" t="s">
        <v>25</v>
      </c>
      <c r="K75" s="86" t="s">
        <v>25</v>
      </c>
      <c r="L75" s="86" t="s">
        <v>25</v>
      </c>
      <c r="M75" s="86" t="s">
        <v>25</v>
      </c>
      <c r="N75" s="86" t="s">
        <v>25</v>
      </c>
      <c r="O75" s="86" t="s">
        <v>25</v>
      </c>
      <c r="P75" s="86" t="s">
        <v>25</v>
      </c>
      <c r="Q75" s="86" t="s">
        <v>25</v>
      </c>
      <c r="R75" s="86" t="s">
        <v>25</v>
      </c>
      <c r="S75" s="86" t="s">
        <v>25</v>
      </c>
      <c r="T75" s="86" t="s">
        <v>25</v>
      </c>
      <c r="U75" s="86" t="s">
        <v>25</v>
      </c>
    </row>
    <row r="76" spans="1:21" ht="26.25">
      <c r="A76" s="71" t="s">
        <v>6</v>
      </c>
      <c r="B76" s="83">
        <v>12.24</v>
      </c>
      <c r="C76" s="80">
        <v>1217</v>
      </c>
      <c r="D76" s="80">
        <v>294</v>
      </c>
      <c r="E76" s="80">
        <v>9</v>
      </c>
      <c r="F76" s="80">
        <v>13</v>
      </c>
      <c r="G76" s="80">
        <v>57</v>
      </c>
      <c r="H76" s="80">
        <v>32</v>
      </c>
      <c r="I76" s="80">
        <v>182</v>
      </c>
      <c r="J76" s="80">
        <v>917</v>
      </c>
      <c r="K76" s="80">
        <v>646</v>
      </c>
      <c r="L76" s="80">
        <v>212</v>
      </c>
      <c r="M76" s="80">
        <v>58</v>
      </c>
      <c r="N76" s="79">
        <v>1</v>
      </c>
      <c r="O76" s="79" t="s">
        <v>30</v>
      </c>
      <c r="P76" s="79" t="s">
        <v>30</v>
      </c>
      <c r="Q76" s="79">
        <v>1</v>
      </c>
      <c r="R76" s="79">
        <v>5</v>
      </c>
      <c r="S76" s="79" t="s">
        <v>30</v>
      </c>
      <c r="T76" s="79">
        <v>3</v>
      </c>
      <c r="U76" s="79" t="s">
        <v>30</v>
      </c>
    </row>
    <row r="77" spans="1:21">
      <c r="A77" s="71" t="s">
        <v>5</v>
      </c>
      <c r="B77" s="83">
        <v>3.99</v>
      </c>
      <c r="C77" s="80">
        <v>158</v>
      </c>
      <c r="D77" s="80">
        <v>135</v>
      </c>
      <c r="E77" s="80">
        <v>51</v>
      </c>
      <c r="F77" s="80">
        <v>23</v>
      </c>
      <c r="G77" s="80">
        <v>14</v>
      </c>
      <c r="H77" s="80">
        <v>8</v>
      </c>
      <c r="I77" s="80">
        <v>41</v>
      </c>
      <c r="J77" s="80">
        <v>13</v>
      </c>
      <c r="K77" s="80">
        <v>1</v>
      </c>
      <c r="L77" s="80">
        <v>8</v>
      </c>
      <c r="M77" s="80">
        <v>4</v>
      </c>
      <c r="N77" s="79">
        <v>6</v>
      </c>
      <c r="O77" s="79">
        <v>1</v>
      </c>
      <c r="P77" s="79">
        <v>2</v>
      </c>
      <c r="Q77" s="79">
        <v>2</v>
      </c>
      <c r="R77" s="79">
        <v>4</v>
      </c>
      <c r="S77" s="79" t="s">
        <v>30</v>
      </c>
      <c r="T77" s="79">
        <v>1</v>
      </c>
      <c r="U77" s="79" t="s">
        <v>30</v>
      </c>
    </row>
    <row r="78" spans="1:21" ht="26.25">
      <c r="A78" s="71" t="s">
        <v>89</v>
      </c>
      <c r="B78" s="83">
        <v>4.07</v>
      </c>
      <c r="C78" s="80">
        <v>457</v>
      </c>
      <c r="D78" s="80">
        <v>120</v>
      </c>
      <c r="E78" s="80">
        <v>5</v>
      </c>
      <c r="F78" s="80">
        <v>15</v>
      </c>
      <c r="G78" s="80">
        <v>17</v>
      </c>
      <c r="H78" s="80">
        <v>11</v>
      </c>
      <c r="I78" s="80">
        <v>73</v>
      </c>
      <c r="J78" s="80">
        <v>10</v>
      </c>
      <c r="K78" s="80" t="s">
        <v>30</v>
      </c>
      <c r="L78" s="80">
        <v>6</v>
      </c>
      <c r="M78" s="80">
        <v>2</v>
      </c>
      <c r="N78" s="79">
        <v>9</v>
      </c>
      <c r="O78" s="79">
        <v>2</v>
      </c>
      <c r="P78" s="79">
        <v>2</v>
      </c>
      <c r="Q78" s="79">
        <v>6</v>
      </c>
      <c r="R78" s="79">
        <v>317</v>
      </c>
      <c r="S78" s="79">
        <v>257</v>
      </c>
      <c r="T78" s="79">
        <v>42</v>
      </c>
      <c r="U78" s="79">
        <v>18</v>
      </c>
    </row>
    <row r="79" spans="1:21">
      <c r="A79" s="71" t="s">
        <v>7</v>
      </c>
      <c r="B79" s="83">
        <v>0.99</v>
      </c>
      <c r="C79" s="80">
        <v>95</v>
      </c>
      <c r="D79" s="80">
        <v>32</v>
      </c>
      <c r="E79" s="80">
        <v>1</v>
      </c>
      <c r="F79" s="80">
        <v>6</v>
      </c>
      <c r="G79" s="80">
        <v>3</v>
      </c>
      <c r="H79" s="80">
        <v>3</v>
      </c>
      <c r="I79" s="80">
        <v>19</v>
      </c>
      <c r="J79" s="80" t="s">
        <v>30</v>
      </c>
      <c r="K79" s="80" t="s">
        <v>36</v>
      </c>
      <c r="L79" s="80" t="s">
        <v>30</v>
      </c>
      <c r="M79" s="80" t="s">
        <v>30</v>
      </c>
      <c r="N79" s="79">
        <v>62</v>
      </c>
      <c r="O79" s="79">
        <v>49</v>
      </c>
      <c r="P79" s="79">
        <v>9</v>
      </c>
      <c r="Q79" s="79">
        <v>4</v>
      </c>
      <c r="R79" s="79" t="s">
        <v>36</v>
      </c>
      <c r="S79" s="79" t="s">
        <v>36</v>
      </c>
      <c r="T79" s="79" t="s">
        <v>36</v>
      </c>
      <c r="U79" s="79" t="s">
        <v>36</v>
      </c>
    </row>
    <row r="80" spans="1:21">
      <c r="A80" s="71" t="s">
        <v>90</v>
      </c>
      <c r="B80" s="83">
        <v>0.47</v>
      </c>
      <c r="C80" s="80">
        <v>24</v>
      </c>
      <c r="D80" s="80">
        <v>15</v>
      </c>
      <c r="E80" s="80">
        <v>1</v>
      </c>
      <c r="F80" s="80">
        <v>3</v>
      </c>
      <c r="G80" s="80">
        <v>1</v>
      </c>
      <c r="H80" s="80">
        <v>1</v>
      </c>
      <c r="I80" s="80">
        <v>8</v>
      </c>
      <c r="J80" s="80">
        <v>1</v>
      </c>
      <c r="K80" s="80" t="s">
        <v>30</v>
      </c>
      <c r="L80" s="80" t="s">
        <v>30</v>
      </c>
      <c r="M80" s="80" t="s">
        <v>30</v>
      </c>
      <c r="N80" s="79">
        <v>3</v>
      </c>
      <c r="O80" s="79">
        <v>1</v>
      </c>
      <c r="P80" s="79">
        <v>1</v>
      </c>
      <c r="Q80" s="79">
        <v>1</v>
      </c>
      <c r="R80" s="79">
        <v>6</v>
      </c>
      <c r="S80" s="79">
        <v>3</v>
      </c>
      <c r="T80" s="79">
        <v>2</v>
      </c>
      <c r="U80" s="79">
        <v>2</v>
      </c>
    </row>
    <row r="81" spans="1:21" ht="28.5">
      <c r="A81" s="71" t="s">
        <v>91</v>
      </c>
      <c r="B81" s="83" t="s">
        <v>30</v>
      </c>
      <c r="C81" s="80" t="s">
        <v>30</v>
      </c>
      <c r="D81" s="80" t="s">
        <v>30</v>
      </c>
      <c r="E81" s="80" t="s">
        <v>30</v>
      </c>
      <c r="F81" s="80" t="s">
        <v>30</v>
      </c>
      <c r="G81" s="80" t="s">
        <v>30</v>
      </c>
      <c r="H81" s="80" t="s">
        <v>30</v>
      </c>
      <c r="I81" s="80" t="s">
        <v>30</v>
      </c>
      <c r="J81" s="80" t="s">
        <v>30</v>
      </c>
      <c r="K81" s="80" t="s">
        <v>36</v>
      </c>
      <c r="L81" s="80" t="s">
        <v>36</v>
      </c>
      <c r="M81" s="80" t="s">
        <v>30</v>
      </c>
      <c r="N81" s="79" t="s">
        <v>30</v>
      </c>
      <c r="O81" s="79" t="s">
        <v>36</v>
      </c>
      <c r="P81" s="79" t="s">
        <v>36</v>
      </c>
      <c r="Q81" s="79" t="s">
        <v>30</v>
      </c>
      <c r="R81" s="79" t="s">
        <v>30</v>
      </c>
      <c r="S81" s="79" t="s">
        <v>30</v>
      </c>
      <c r="T81" s="79" t="s">
        <v>36</v>
      </c>
      <c r="U81" s="79" t="s">
        <v>30</v>
      </c>
    </row>
    <row r="82" spans="1:21" ht="64.5">
      <c r="A82" s="71" t="s">
        <v>92</v>
      </c>
      <c r="B82" s="83">
        <v>0.12</v>
      </c>
      <c r="C82" s="80">
        <v>3</v>
      </c>
      <c r="D82" s="80">
        <v>2</v>
      </c>
      <c r="E82" s="80" t="s">
        <v>36</v>
      </c>
      <c r="F82" s="80" t="s">
        <v>30</v>
      </c>
      <c r="G82" s="80" t="s">
        <v>30</v>
      </c>
      <c r="H82" s="80" t="s">
        <v>29</v>
      </c>
      <c r="I82" s="80">
        <v>1</v>
      </c>
      <c r="J82" s="80">
        <v>1</v>
      </c>
      <c r="K82" s="80" t="s">
        <v>36</v>
      </c>
      <c r="L82" s="80" t="s">
        <v>30</v>
      </c>
      <c r="M82" s="80" t="s">
        <v>29</v>
      </c>
      <c r="N82" s="79" t="s">
        <v>30</v>
      </c>
      <c r="O82" s="79" t="s">
        <v>36</v>
      </c>
      <c r="P82" s="79" t="s">
        <v>36</v>
      </c>
      <c r="Q82" s="79" t="s">
        <v>30</v>
      </c>
      <c r="R82" s="79" t="s">
        <v>30</v>
      </c>
      <c r="S82" s="79" t="s">
        <v>36</v>
      </c>
      <c r="T82" s="79" t="s">
        <v>30</v>
      </c>
      <c r="U82" s="79" t="s">
        <v>36</v>
      </c>
    </row>
    <row r="83" spans="1:21" ht="15.75" thickBot="1">
      <c r="A83" s="72"/>
      <c r="B83" s="90"/>
      <c r="C83" s="72"/>
      <c r="D83" s="72"/>
      <c r="E83" s="72"/>
      <c r="F83" s="72"/>
      <c r="G83" s="72"/>
      <c r="H83" s="72"/>
      <c r="I83" s="72"/>
      <c r="J83" s="72"/>
      <c r="K83" s="72"/>
      <c r="L83" s="72"/>
      <c r="M83" s="72"/>
      <c r="N83" s="72"/>
      <c r="O83" s="72"/>
      <c r="P83" s="72"/>
      <c r="Q83" s="72"/>
      <c r="R83" s="72"/>
      <c r="S83" s="72"/>
      <c r="T83" s="72"/>
      <c r="U83" s="72"/>
    </row>
    <row r="84" spans="1:21">
      <c r="A84" s="119" t="s">
        <v>93</v>
      </c>
      <c r="B84" s="119"/>
      <c r="C84" s="119"/>
      <c r="D84" s="119"/>
      <c r="E84" s="119"/>
      <c r="F84" s="119"/>
      <c r="G84" s="119"/>
      <c r="H84" s="119"/>
      <c r="I84" s="119"/>
      <c r="J84" s="119"/>
      <c r="K84" s="119"/>
      <c r="L84" s="119"/>
      <c r="M84" s="119"/>
      <c r="N84" s="119"/>
      <c r="O84" s="119"/>
      <c r="P84" s="119"/>
      <c r="Q84" s="119"/>
      <c r="R84" s="119"/>
      <c r="S84" s="119"/>
      <c r="T84" s="119"/>
      <c r="U84" s="119"/>
    </row>
  </sheetData>
  <mergeCells count="7">
    <mergeCell ref="A84:U84"/>
    <mergeCell ref="N5:Q5"/>
    <mergeCell ref="R5:U5"/>
    <mergeCell ref="C3:U3"/>
    <mergeCell ref="A2:M2"/>
    <mergeCell ref="D5:I5"/>
    <mergeCell ref="J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B4C5B-4736-4068-974F-6E485F953D47}">
  <dimension ref="A1:BD543"/>
  <sheetViews>
    <sheetView topLeftCell="U1" workbookViewId="0">
      <selection activeCell="AN37" sqref="AN37"/>
    </sheetView>
  </sheetViews>
  <sheetFormatPr defaultColWidth="8.85546875" defaultRowHeight="15"/>
  <cols>
    <col min="1" max="1" width="3.42578125" customWidth="1"/>
    <col min="2" max="2" width="5" customWidth="1"/>
    <col min="3" max="3" width="53.7109375" customWidth="1"/>
    <col min="4" max="4" width="9.85546875" customWidth="1"/>
    <col min="5" max="5" width="8.42578125" customWidth="1"/>
    <col min="6" max="10" width="7" customWidth="1"/>
    <col min="11" max="11" width="7.5703125" customWidth="1"/>
    <col min="12" max="12" width="7" customWidth="1"/>
    <col min="13" max="13" width="8.42578125" customWidth="1"/>
    <col min="14" max="22" width="8" customWidth="1"/>
    <col min="23" max="23" width="8.140625" customWidth="1"/>
    <col min="24" max="24" width="8.42578125" customWidth="1"/>
    <col min="25" max="25" width="9.5703125" customWidth="1"/>
    <col min="26" max="26" width="7.42578125" customWidth="1"/>
    <col min="27" max="28" width="9.42578125" customWidth="1"/>
    <col min="29" max="30" width="8.42578125" customWidth="1"/>
    <col min="31" max="31" width="7.85546875" customWidth="1"/>
    <col min="32" max="33" width="8.42578125" bestFit="1" customWidth="1"/>
    <col min="34" max="38" width="9.42578125" customWidth="1"/>
    <col min="39" max="39" width="22.7109375" customWidth="1"/>
    <col min="40" max="44" width="9.42578125" customWidth="1"/>
    <col min="45" max="46" width="7.85546875" customWidth="1"/>
    <col min="47" max="48" width="10.42578125" bestFit="1" customWidth="1"/>
    <col min="49" max="49" width="9.42578125" customWidth="1"/>
    <col min="50" max="50" width="12.42578125" customWidth="1"/>
    <col min="51" max="51" width="11.42578125" customWidth="1"/>
    <col min="52" max="52" width="13.5703125" customWidth="1"/>
    <col min="53" max="54" width="11.42578125" customWidth="1"/>
    <col min="55" max="55" width="11.5703125" customWidth="1"/>
    <col min="56" max="56" width="12.42578125" style="16" customWidth="1"/>
    <col min="57" max="59" width="11.42578125" bestFit="1" customWidth="1"/>
    <col min="62" max="62" width="13.5703125" customWidth="1"/>
  </cols>
  <sheetData>
    <row r="1" spans="1:56">
      <c r="A1" t="s">
        <v>94</v>
      </c>
    </row>
    <row r="2" spans="1:56">
      <c r="A2" t="s">
        <v>95</v>
      </c>
      <c r="B2" s="18"/>
      <c r="AC2" s="21"/>
      <c r="AD2" s="21"/>
      <c r="AE2" s="22"/>
      <c r="AF2" s="57">
        <f>52.91/96.1</f>
        <v>0.55057232049947968</v>
      </c>
      <c r="AG2" s="57">
        <f>52.91/74.14</f>
        <v>0.71364985163204742</v>
      </c>
      <c r="AH2" s="21"/>
      <c r="AI2" s="21" t="s">
        <v>96</v>
      </c>
      <c r="AJ2" s="21" t="s">
        <v>96</v>
      </c>
      <c r="AK2" s="21"/>
      <c r="AL2" s="21"/>
      <c r="AM2" s="21"/>
      <c r="AN2" s="21"/>
      <c r="AO2" s="21"/>
      <c r="AP2" s="21"/>
      <c r="AQ2" s="21"/>
      <c r="AR2" s="21"/>
      <c r="AS2" s="17"/>
      <c r="AU2" s="23"/>
      <c r="AV2" s="23"/>
      <c r="AW2" s="23"/>
    </row>
    <row r="3" spans="1:56">
      <c r="B3" t="s">
        <v>97</v>
      </c>
      <c r="D3" s="19"/>
      <c r="AC3" s="21"/>
      <c r="AD3" s="21"/>
      <c r="AE3" s="22"/>
      <c r="AF3" s="21"/>
      <c r="AG3" s="21"/>
      <c r="AH3" s="21"/>
      <c r="AI3" s="21"/>
      <c r="AJ3" s="21"/>
      <c r="AK3" s="21"/>
      <c r="AL3" s="21"/>
      <c r="AM3" s="21"/>
      <c r="AN3" s="21"/>
      <c r="AO3" s="21"/>
      <c r="AP3" s="21"/>
      <c r="AQ3" s="21"/>
      <c r="AR3" s="21"/>
      <c r="AS3" s="17"/>
      <c r="AU3" s="23"/>
      <c r="AV3" s="23"/>
      <c r="AW3" s="23"/>
    </row>
    <row r="4" spans="1:56">
      <c r="B4" s="19" t="s">
        <v>98</v>
      </c>
      <c r="D4" s="19"/>
      <c r="AC4" s="21"/>
      <c r="AD4" s="21"/>
      <c r="AE4" s="22"/>
      <c r="AF4" s="21"/>
      <c r="AG4" s="21"/>
      <c r="AH4" s="21"/>
      <c r="AI4" s="21"/>
      <c r="AJ4" s="21"/>
      <c r="AK4" s="21"/>
      <c r="AL4" s="21"/>
      <c r="AM4" s="21"/>
      <c r="AN4" s="21"/>
      <c r="AO4" s="21"/>
      <c r="AP4" s="21"/>
      <c r="AQ4" s="21"/>
      <c r="AR4" s="21"/>
      <c r="AS4" s="17"/>
      <c r="AU4" s="23"/>
      <c r="AV4" s="23"/>
      <c r="AW4" s="23"/>
    </row>
    <row r="5" spans="1:56">
      <c r="B5" s="18"/>
      <c r="D5" s="19"/>
      <c r="AC5" s="21"/>
      <c r="AD5" s="21"/>
      <c r="AE5" s="22"/>
      <c r="AF5" s="21"/>
      <c r="AG5" s="21"/>
      <c r="AH5" s="21"/>
      <c r="AI5" s="21"/>
      <c r="AJ5" s="21"/>
      <c r="AK5" s="21"/>
      <c r="AL5" s="21"/>
      <c r="AM5" s="21"/>
      <c r="AN5" s="21"/>
      <c r="AO5" s="21"/>
      <c r="AP5" s="21"/>
      <c r="AQ5" s="21"/>
      <c r="AR5" s="21"/>
      <c r="AS5" s="17"/>
      <c r="AU5" s="23"/>
      <c r="AV5" s="23"/>
      <c r="AW5" s="23"/>
    </row>
    <row r="6" spans="1:56" ht="15.75" thickBot="1">
      <c r="B6" s="18"/>
      <c r="D6" s="19"/>
      <c r="W6" s="20"/>
      <c r="X6" s="20"/>
      <c r="Y6" s="20"/>
      <c r="Z6" s="20"/>
      <c r="AC6" s="21"/>
      <c r="AD6" s="21"/>
      <c r="AE6" s="22"/>
      <c r="AF6" s="21"/>
      <c r="AG6" s="21"/>
      <c r="AH6" s="21"/>
      <c r="AI6" s="21"/>
      <c r="AJ6" s="21"/>
      <c r="AK6" s="21"/>
      <c r="AL6" s="21"/>
      <c r="AM6" s="21"/>
      <c r="AN6" s="21"/>
      <c r="AO6" s="21"/>
      <c r="AP6" s="21"/>
      <c r="AQ6" s="21"/>
      <c r="AR6" s="21"/>
      <c r="AS6" s="17"/>
      <c r="AU6" s="23"/>
      <c r="AV6" s="23"/>
      <c r="AW6" s="23"/>
    </row>
    <row r="7" spans="1:56" ht="16.5" thickBot="1">
      <c r="B7" s="18"/>
      <c r="C7" s="24" t="s">
        <v>99</v>
      </c>
      <c r="D7" s="25">
        <v>1990</v>
      </c>
      <c r="E7" s="26">
        <v>1991</v>
      </c>
      <c r="F7" s="26">
        <v>1992</v>
      </c>
      <c r="G7" s="26">
        <v>1993</v>
      </c>
      <c r="H7" s="26">
        <v>1994</v>
      </c>
      <c r="I7" s="26">
        <v>1995</v>
      </c>
      <c r="J7" s="26">
        <v>1996</v>
      </c>
      <c r="K7" s="26">
        <v>1997</v>
      </c>
      <c r="L7" s="26">
        <v>1998</v>
      </c>
      <c r="M7" s="26">
        <v>1999</v>
      </c>
      <c r="N7" s="26">
        <v>2000</v>
      </c>
      <c r="O7" s="26">
        <v>2001</v>
      </c>
      <c r="P7" s="26">
        <v>2002</v>
      </c>
      <c r="Q7" s="26">
        <v>2003</v>
      </c>
      <c r="R7" s="26">
        <v>2004</v>
      </c>
      <c r="S7" s="26">
        <v>2005</v>
      </c>
      <c r="T7" s="26">
        <v>2006</v>
      </c>
      <c r="U7" s="26">
        <v>2007</v>
      </c>
      <c r="V7" s="26">
        <v>2008</v>
      </c>
      <c r="W7" s="26">
        <v>2009</v>
      </c>
      <c r="X7" s="26">
        <v>2010</v>
      </c>
      <c r="Y7" s="26">
        <v>2011</v>
      </c>
      <c r="Z7" s="26">
        <v>2012</v>
      </c>
      <c r="AA7" s="26">
        <v>2013</v>
      </c>
      <c r="AB7" s="26">
        <v>2014</v>
      </c>
      <c r="AC7" s="26">
        <v>2015</v>
      </c>
      <c r="AD7" s="26">
        <v>2016</v>
      </c>
      <c r="AE7" s="26">
        <v>2017</v>
      </c>
      <c r="AF7" s="26">
        <v>2018</v>
      </c>
      <c r="AG7" s="26">
        <v>2019</v>
      </c>
      <c r="AH7" s="26">
        <v>2020</v>
      </c>
      <c r="AI7" s="26">
        <v>2021</v>
      </c>
      <c r="AJ7" s="26">
        <v>2022</v>
      </c>
      <c r="AK7" s="26">
        <v>2023</v>
      </c>
      <c r="AL7" s="26">
        <v>2024</v>
      </c>
      <c r="AM7" s="26">
        <v>2025</v>
      </c>
      <c r="AN7" s="26">
        <v>2026</v>
      </c>
      <c r="AO7" s="26">
        <v>2027</v>
      </c>
      <c r="AP7" s="26">
        <v>2028</v>
      </c>
      <c r="AQ7" s="26">
        <v>2029</v>
      </c>
      <c r="AR7" s="26">
        <v>2030</v>
      </c>
      <c r="AS7" s="17"/>
      <c r="AU7" s="27"/>
      <c r="AV7" s="27"/>
      <c r="AW7" s="27"/>
    </row>
    <row r="8" spans="1:56" ht="15.75">
      <c r="B8" s="18"/>
      <c r="C8" s="28" t="s">
        <v>100</v>
      </c>
      <c r="D8" s="29">
        <f t="shared" ref="D8:AJ8" si="0">D9+D10</f>
        <v>15.31365040534536</v>
      </c>
      <c r="E8" s="30">
        <f t="shared" si="0"/>
        <v>14.527052552404657</v>
      </c>
      <c r="F8" s="30">
        <f t="shared" si="0"/>
        <v>16.646700373508807</v>
      </c>
      <c r="G8" s="30">
        <f t="shared" si="0"/>
        <v>16.769539190858623</v>
      </c>
      <c r="H8" s="30">
        <f t="shared" si="0"/>
        <v>16.586519731598614</v>
      </c>
      <c r="I8" s="30">
        <f t="shared" si="0"/>
        <v>14.985199822275373</v>
      </c>
      <c r="J8" s="30">
        <f t="shared" si="0"/>
        <v>14.783556353142796</v>
      </c>
      <c r="K8" s="30">
        <f t="shared" si="0"/>
        <v>14.56570222247966</v>
      </c>
      <c r="L8" s="30">
        <f t="shared" si="0"/>
        <v>13.362508808295884</v>
      </c>
      <c r="M8" s="30">
        <f t="shared" si="0"/>
        <v>14.18686330894133</v>
      </c>
      <c r="N8" s="30">
        <f t="shared" si="0"/>
        <v>15.778292716413683</v>
      </c>
      <c r="O8" s="30">
        <f t="shared" si="0"/>
        <v>16.11701473598843</v>
      </c>
      <c r="P8" s="30">
        <f t="shared" si="0"/>
        <v>16.032713551712639</v>
      </c>
      <c r="Q8" s="30">
        <f t="shared" si="0"/>
        <v>16.516900162386992</v>
      </c>
      <c r="R8" s="30">
        <f t="shared" si="0"/>
        <v>15.108299284136143</v>
      </c>
      <c r="S8" s="30">
        <f t="shared" si="0"/>
        <v>14.951847636382787</v>
      </c>
      <c r="T8" s="30">
        <f t="shared" si="0"/>
        <v>12.879569748426253</v>
      </c>
      <c r="U8" s="30">
        <f t="shared" si="0"/>
        <v>13.586642567934586</v>
      </c>
      <c r="V8" s="30">
        <f t="shared" si="0"/>
        <v>14.461750214851556</v>
      </c>
      <c r="W8" s="30">
        <f t="shared" si="0"/>
        <v>13.969207047972812</v>
      </c>
      <c r="X8" s="30">
        <f t="shared" si="0"/>
        <v>13.706046217576358</v>
      </c>
      <c r="Y8" s="30">
        <f t="shared" si="0"/>
        <v>13.742483130830253</v>
      </c>
      <c r="Z8" s="30">
        <f t="shared" si="0"/>
        <v>11.89975308236065</v>
      </c>
      <c r="AA8" s="30">
        <f t="shared" si="0"/>
        <v>12.407155413227548</v>
      </c>
      <c r="AB8" s="30">
        <f t="shared" si="0"/>
        <v>13.722341929197254</v>
      </c>
      <c r="AC8" s="30">
        <f t="shared" si="0"/>
        <v>13.633222460346639</v>
      </c>
      <c r="AD8" s="30">
        <f t="shared" si="0"/>
        <v>11.38956845448174</v>
      </c>
      <c r="AE8" s="30">
        <f t="shared" si="0"/>
        <v>12.353878584496393</v>
      </c>
      <c r="AF8" s="31">
        <f t="shared" si="0"/>
        <v>13.395876569756707</v>
      </c>
      <c r="AG8" s="30">
        <f t="shared" si="0"/>
        <v>13.740750936829723</v>
      </c>
      <c r="AH8" s="30">
        <f t="shared" si="0"/>
        <v>12.215425162776652</v>
      </c>
      <c r="AI8" s="32">
        <f t="shared" si="0"/>
        <v>12.07153180699277</v>
      </c>
      <c r="AJ8" s="32">
        <f t="shared" si="0"/>
        <v>0</v>
      </c>
      <c r="AK8" s="30"/>
      <c r="AL8" s="30"/>
      <c r="AM8" s="30"/>
      <c r="AN8" s="30"/>
      <c r="AO8" s="30"/>
      <c r="AP8" s="30"/>
      <c r="AQ8" s="30"/>
      <c r="AR8" s="30"/>
      <c r="AS8" s="17"/>
      <c r="AU8" s="33"/>
      <c r="AV8" s="33"/>
      <c r="AW8" s="33"/>
    </row>
    <row r="9" spans="1:56">
      <c r="B9" s="18"/>
      <c r="C9" s="34" t="s">
        <v>101</v>
      </c>
      <c r="D9" s="35">
        <f>[1]CO2_FFC!C5</f>
        <v>15.09218729035536</v>
      </c>
      <c r="E9" s="36">
        <f>[1]CO2_FFC!D5</f>
        <v>14.303855533404656</v>
      </c>
      <c r="F9" s="36">
        <f>[1]CO2_FFC!E5</f>
        <v>16.405397212988806</v>
      </c>
      <c r="G9" s="36">
        <f>[1]CO2_FFC!F5</f>
        <v>16.522609998468624</v>
      </c>
      <c r="H9" s="36">
        <f>[1]CO2_FFC!G5</f>
        <v>16.349445260718614</v>
      </c>
      <c r="I9" s="36">
        <f>[1]CO2_FFC!H5</f>
        <v>14.755065732665372</v>
      </c>
      <c r="J9" s="36">
        <f>[1]CO2_FFC!I5</f>
        <v>14.549689113932796</v>
      </c>
      <c r="K9" s="36">
        <f>[1]CO2_FFC!J5</f>
        <v>14.379982177559659</v>
      </c>
      <c r="L9" s="36">
        <f>[1]CO2_FFC!K5</f>
        <v>13.195293039655883</v>
      </c>
      <c r="M9" s="36">
        <f>[1]CO2_FFC!L5</f>
        <v>14.013129575781329</v>
      </c>
      <c r="N9" s="36">
        <f>[1]CO2_FFC!M5</f>
        <v>15.588634595493682</v>
      </c>
      <c r="O9" s="36">
        <f>[1]CO2_FFC!N5</f>
        <v>15.947004559649596</v>
      </c>
      <c r="P9" s="36">
        <f>[1]CO2_FFC!O5</f>
        <v>15.86050617899458</v>
      </c>
      <c r="Q9" s="36">
        <f>[1]CO2_FFC!P5</f>
        <v>16.340043069708546</v>
      </c>
      <c r="R9" s="36">
        <f>[1]CO2_FFC!Q5</f>
        <v>14.935535229929251</v>
      </c>
      <c r="S9" s="36">
        <f>[1]CO2_FFC!R5</f>
        <v>14.854571872883273</v>
      </c>
      <c r="T9" s="36">
        <f>[1]CO2_FFC!S5</f>
        <v>12.795435056036158</v>
      </c>
      <c r="U9" s="36">
        <f>[1]CO2_FFC!T5</f>
        <v>13.497453604670172</v>
      </c>
      <c r="V9" s="36">
        <f>[1]CO2_FFC!U5</f>
        <v>14.367303555781316</v>
      </c>
      <c r="W9" s="36">
        <f>[1]CO2_FFC!V5</f>
        <v>13.826473707619709</v>
      </c>
      <c r="X9" s="36">
        <f>[1]CO2_FFC!W5</f>
        <v>13.557642768461069</v>
      </c>
      <c r="Y9" s="36">
        <f>[1]CO2_FFC!X5</f>
        <v>13.596982504786817</v>
      </c>
      <c r="Z9" s="36">
        <f>[1]CO2_FFC!Y5</f>
        <v>11.777103269371192</v>
      </c>
      <c r="AA9" s="36">
        <f>[1]CO2_FFC!Z5</f>
        <v>12.259490270125456</v>
      </c>
      <c r="AB9" s="36">
        <f>[1]CO2_FFC!AA5</f>
        <v>13.567387167200254</v>
      </c>
      <c r="AC9" s="36">
        <f>[1]CO2_FFC!AB5</f>
        <v>13.488631948658384</v>
      </c>
      <c r="AD9" s="36">
        <f>[1]CO2_FFC!AC5</f>
        <v>11.272913044797342</v>
      </c>
      <c r="AE9" s="36">
        <f>[1]CO2_FFC!AD5</f>
        <v>12.233847645145593</v>
      </c>
      <c r="AF9" s="37">
        <f>[1]CO2_FFC!AE5</f>
        <v>13.271459779124175</v>
      </c>
      <c r="AG9" s="36">
        <f>[1]CO2_FFC!AF5</f>
        <v>13.599779170232134</v>
      </c>
      <c r="AH9" s="36">
        <f>[1]CO2_FFC!AG5</f>
        <v>12.100645487882803</v>
      </c>
      <c r="AI9" s="33">
        <f>[1]CO2_FFC!AH5</f>
        <v>12.022249789322769</v>
      </c>
      <c r="AJ9" s="33">
        <f>[1]CO2_FFC!AI5</f>
        <v>0</v>
      </c>
      <c r="AK9" s="36"/>
      <c r="AL9" s="36"/>
      <c r="AM9" s="36"/>
      <c r="AN9" s="36"/>
      <c r="AO9" s="36"/>
      <c r="AP9" s="36"/>
      <c r="AQ9" s="36"/>
      <c r="AR9" s="36"/>
      <c r="AS9" s="17"/>
      <c r="AU9" s="33"/>
      <c r="AV9" s="33"/>
      <c r="AW9" s="33"/>
    </row>
    <row r="10" spans="1:56">
      <c r="B10" s="18"/>
      <c r="C10" s="38" t="s">
        <v>102</v>
      </c>
      <c r="D10" s="39">
        <f>[1]Stationary!C40</f>
        <v>0.22146311499000002</v>
      </c>
      <c r="E10" s="40">
        <f>[1]Stationary!D40</f>
        <v>0.22319701900000002</v>
      </c>
      <c r="F10" s="40">
        <f>[1]Stationary!E40</f>
        <v>0.24130316051999998</v>
      </c>
      <c r="G10" s="40">
        <f>[1]Stationary!F40</f>
        <v>0.24692919239</v>
      </c>
      <c r="H10" s="40">
        <f>[1]Stationary!G40</f>
        <v>0.23707447088</v>
      </c>
      <c r="I10" s="40">
        <f>[1]Stationary!H40</f>
        <v>0.23013408961000001</v>
      </c>
      <c r="J10" s="40">
        <f>[1]Stationary!I40</f>
        <v>0.23386723920999997</v>
      </c>
      <c r="K10" s="40">
        <f>[1]Stationary!J40</f>
        <v>0.18572004491999997</v>
      </c>
      <c r="L10" s="40">
        <f>[1]Stationary!K40</f>
        <v>0.16721576863999998</v>
      </c>
      <c r="M10" s="40">
        <f>[1]Stationary!L40</f>
        <v>0.17373373315999999</v>
      </c>
      <c r="N10" s="40">
        <f>[1]Stationary!M40</f>
        <v>0.18965812091999998</v>
      </c>
      <c r="O10" s="40">
        <f>[1]Stationary!N40</f>
        <v>0.17001017633883481</v>
      </c>
      <c r="P10" s="40">
        <f>[1]Stationary!O40</f>
        <v>0.17220737271805805</v>
      </c>
      <c r="Q10" s="40">
        <f>[1]Stationary!P40</f>
        <v>0.1768570926784464</v>
      </c>
      <c r="R10" s="40">
        <f>[1]Stationary!Q40</f>
        <v>0.17276405420689284</v>
      </c>
      <c r="S10" s="40">
        <f>[1]Stationary!R40</f>
        <v>9.7275763499513487E-2</v>
      </c>
      <c r="T10" s="40">
        <f>[1]Stationary!S40</f>
        <v>8.4134692390093954E-2</v>
      </c>
      <c r="U10" s="40">
        <f>[1]Stationary!T40</f>
        <v>8.9188963264413237E-2</v>
      </c>
      <c r="V10" s="40">
        <f>[1]Stationary!U40</f>
        <v>9.4446659070239081E-2</v>
      </c>
      <c r="W10" s="40">
        <f>[1]Stationary!V40</f>
        <v>0.14273334035310292</v>
      </c>
      <c r="X10" s="40">
        <f>[1]Stationary!W40</f>
        <v>0.14840344911528816</v>
      </c>
      <c r="Y10" s="40">
        <f>[1]Stationary!X40</f>
        <v>0.145500626043436</v>
      </c>
      <c r="Z10" s="40">
        <f>[1]Stationary!Y40</f>
        <v>0.12264981298945812</v>
      </c>
      <c r="AA10" s="40">
        <f>[1]Stationary!Z40</f>
        <v>0.14766514310209233</v>
      </c>
      <c r="AB10" s="40">
        <f>[1]Stationary!AA40</f>
        <v>0.15495476199700042</v>
      </c>
      <c r="AC10" s="41">
        <f>[1]Stationary!AB40</f>
        <v>0.1445905116882554</v>
      </c>
      <c r="AD10" s="41">
        <f>[1]Stationary!AC40</f>
        <v>0.11665540968439764</v>
      </c>
      <c r="AE10" s="41">
        <f>[1]Stationary!AD40</f>
        <v>0.12003093935079981</v>
      </c>
      <c r="AF10" s="42">
        <f>[1]Stationary!AE40</f>
        <v>0.12441679063253187</v>
      </c>
      <c r="AG10" s="41">
        <f>[1]Stationary!AF40</f>
        <v>0.14097176659758928</v>
      </c>
      <c r="AH10" s="41">
        <f>[1]Stationary!AG40</f>
        <v>0.11477967489385052</v>
      </c>
      <c r="AI10" s="43">
        <f>[1]Stationary!AH40</f>
        <v>4.9282017669999997E-2</v>
      </c>
      <c r="AJ10" s="43">
        <f>[1]Stationary!AI40</f>
        <v>0</v>
      </c>
      <c r="AK10" s="41"/>
      <c r="AL10" s="41"/>
      <c r="AM10" s="41"/>
      <c r="AN10" s="41"/>
      <c r="AO10" s="41"/>
      <c r="AP10" s="41"/>
      <c r="AQ10" s="41"/>
      <c r="AR10" s="41"/>
      <c r="AS10" s="17"/>
      <c r="AU10" s="33"/>
      <c r="AV10" s="33"/>
      <c r="AW10" s="33"/>
    </row>
    <row r="11" spans="1:56" s="48" customFormat="1" ht="15.75">
      <c r="B11" s="44"/>
      <c r="C11" s="45" t="s">
        <v>103</v>
      </c>
      <c r="D11" s="46">
        <f>D8</f>
        <v>15.31365040534536</v>
      </c>
      <c r="E11" s="46">
        <f t="shared" ref="E11:AH11" si="1">E8</f>
        <v>14.527052552404657</v>
      </c>
      <c r="F11" s="46">
        <f t="shared" si="1"/>
        <v>16.646700373508807</v>
      </c>
      <c r="G11" s="46">
        <f t="shared" si="1"/>
        <v>16.769539190858623</v>
      </c>
      <c r="H11" s="46">
        <f t="shared" si="1"/>
        <v>16.586519731598614</v>
      </c>
      <c r="I11" s="46">
        <f t="shared" si="1"/>
        <v>14.985199822275373</v>
      </c>
      <c r="J11" s="46">
        <f t="shared" si="1"/>
        <v>14.783556353142796</v>
      </c>
      <c r="K11" s="46">
        <f t="shared" si="1"/>
        <v>14.56570222247966</v>
      </c>
      <c r="L11" s="46">
        <f t="shared" si="1"/>
        <v>13.362508808295884</v>
      </c>
      <c r="M11" s="46">
        <f t="shared" si="1"/>
        <v>14.18686330894133</v>
      </c>
      <c r="N11" s="46">
        <f t="shared" si="1"/>
        <v>15.778292716413683</v>
      </c>
      <c r="O11" s="46">
        <f t="shared" si="1"/>
        <v>16.11701473598843</v>
      </c>
      <c r="P11" s="46">
        <f t="shared" si="1"/>
        <v>16.032713551712639</v>
      </c>
      <c r="Q11" s="46">
        <f t="shared" si="1"/>
        <v>16.516900162386992</v>
      </c>
      <c r="R11" s="46">
        <f t="shared" si="1"/>
        <v>15.108299284136143</v>
      </c>
      <c r="S11" s="46">
        <f t="shared" si="1"/>
        <v>14.951847636382787</v>
      </c>
      <c r="T11" s="46">
        <f t="shared" si="1"/>
        <v>12.879569748426253</v>
      </c>
      <c r="U11" s="46">
        <f t="shared" si="1"/>
        <v>13.586642567934586</v>
      </c>
      <c r="V11" s="46">
        <f t="shared" si="1"/>
        <v>14.461750214851556</v>
      </c>
      <c r="W11" s="46">
        <f t="shared" si="1"/>
        <v>13.969207047972812</v>
      </c>
      <c r="X11" s="46">
        <f t="shared" si="1"/>
        <v>13.706046217576358</v>
      </c>
      <c r="Y11" s="46">
        <f t="shared" si="1"/>
        <v>13.742483130830253</v>
      </c>
      <c r="Z11" s="46">
        <f t="shared" si="1"/>
        <v>11.89975308236065</v>
      </c>
      <c r="AA11" s="46">
        <f t="shared" si="1"/>
        <v>12.407155413227548</v>
      </c>
      <c r="AB11" s="46">
        <f t="shared" si="1"/>
        <v>13.722341929197254</v>
      </c>
      <c r="AC11" s="46">
        <f t="shared" si="1"/>
        <v>13.633222460346639</v>
      </c>
      <c r="AD11" s="46">
        <f t="shared" si="1"/>
        <v>11.38956845448174</v>
      </c>
      <c r="AE11" s="46">
        <f t="shared" si="1"/>
        <v>12.353878584496393</v>
      </c>
      <c r="AF11" s="46">
        <f t="shared" si="1"/>
        <v>13.395876569756707</v>
      </c>
      <c r="AG11" s="46">
        <f t="shared" si="1"/>
        <v>13.740750936829723</v>
      </c>
      <c r="AH11" s="46">
        <f t="shared" si="1"/>
        <v>12.215425162776652</v>
      </c>
      <c r="AI11" s="46"/>
      <c r="AJ11" s="46"/>
      <c r="AK11" s="46"/>
      <c r="AL11" s="46"/>
      <c r="AM11" s="46"/>
      <c r="AN11" s="46"/>
      <c r="AO11" s="46"/>
      <c r="AP11" s="46"/>
      <c r="AQ11" s="46"/>
      <c r="AR11" s="46"/>
      <c r="AS11" s="47"/>
      <c r="AU11" s="36"/>
      <c r="AV11" s="36"/>
      <c r="AW11" s="36"/>
      <c r="BD11" s="49"/>
    </row>
    <row r="12" spans="1:56" s="48" customFormat="1">
      <c r="B12" s="44"/>
      <c r="C12" s="50" t="s">
        <v>104</v>
      </c>
      <c r="D12" s="46">
        <f t="shared" ref="D12:D13" si="2">D9</f>
        <v>15.09218729035536</v>
      </c>
      <c r="E12" s="51">
        <f>-(100-((E11/D11)*100))</f>
        <v>-5.1365796666360808</v>
      </c>
      <c r="F12" s="51">
        <f t="shared" ref="F12:AH12" si="3">-(100-((F11/E11)*100))</f>
        <v>14.591038433004684</v>
      </c>
      <c r="G12" s="51">
        <f t="shared" si="3"/>
        <v>0.73791691202238496</v>
      </c>
      <c r="H12" s="51">
        <f t="shared" si="3"/>
        <v>-1.0913803723347115</v>
      </c>
      <c r="I12" s="51">
        <f t="shared" si="3"/>
        <v>-9.6543454277065734</v>
      </c>
      <c r="J12" s="51">
        <f t="shared" si="3"/>
        <v>-1.3456174860800729</v>
      </c>
      <c r="K12" s="51">
        <f t="shared" si="3"/>
        <v>-1.4736246506533206</v>
      </c>
      <c r="L12" s="51">
        <f t="shared" si="3"/>
        <v>-8.2604559382441209</v>
      </c>
      <c r="M12" s="51">
        <f t="shared" si="3"/>
        <v>6.1691596426388173</v>
      </c>
      <c r="N12" s="51">
        <f t="shared" si="3"/>
        <v>11.21762698925383</v>
      </c>
      <c r="O12" s="51">
        <f t="shared" si="3"/>
        <v>2.1467596378306837</v>
      </c>
      <c r="P12" s="51">
        <f t="shared" si="3"/>
        <v>-0.52305706519925366</v>
      </c>
      <c r="Q12" s="51">
        <f t="shared" si="3"/>
        <v>3.0199916508994988</v>
      </c>
      <c r="R12" s="51">
        <f t="shared" si="3"/>
        <v>-8.5282399506087501</v>
      </c>
      <c r="S12" s="51">
        <f t="shared" si="3"/>
        <v>-1.0355344755291611</v>
      </c>
      <c r="T12" s="51">
        <f t="shared" si="3"/>
        <v>-13.859677668959108</v>
      </c>
      <c r="U12" s="51">
        <f t="shared" si="3"/>
        <v>5.4898791909933919</v>
      </c>
      <c r="V12" s="51">
        <f t="shared" si="3"/>
        <v>6.4409411121352633</v>
      </c>
      <c r="W12" s="51">
        <f t="shared" si="3"/>
        <v>-3.4058337307812394</v>
      </c>
      <c r="X12" s="51">
        <f t="shared" si="3"/>
        <v>-1.8838637690221987</v>
      </c>
      <c r="Y12" s="51">
        <f t="shared" si="3"/>
        <v>0.26584554491849133</v>
      </c>
      <c r="Z12" s="51">
        <f t="shared" si="3"/>
        <v>-13.409003532524437</v>
      </c>
      <c r="AA12" s="51">
        <f t="shared" si="3"/>
        <v>4.2639736081501809</v>
      </c>
      <c r="AB12" s="51">
        <f t="shared" si="3"/>
        <v>10.600226016090346</v>
      </c>
      <c r="AC12" s="51">
        <f t="shared" si="3"/>
        <v>-0.64944795363970798</v>
      </c>
      <c r="AD12" s="51">
        <f t="shared" si="3"/>
        <v>-16.457253685918744</v>
      </c>
      <c r="AE12" s="51">
        <f t="shared" si="3"/>
        <v>8.4666081411996004</v>
      </c>
      <c r="AF12" s="51">
        <f t="shared" si="3"/>
        <v>8.4345817237347518</v>
      </c>
      <c r="AG12" s="51">
        <f t="shared" si="3"/>
        <v>2.5744815225576616</v>
      </c>
      <c r="AH12" s="51">
        <f t="shared" si="3"/>
        <v>-11.100745374582814</v>
      </c>
      <c r="AI12" s="51"/>
      <c r="AJ12" s="46"/>
      <c r="AK12" s="46"/>
      <c r="AL12" s="46"/>
      <c r="AM12" s="46"/>
      <c r="AN12" s="46"/>
      <c r="AO12" s="46"/>
      <c r="AP12" s="46"/>
      <c r="AQ12" s="46"/>
      <c r="AR12" s="46"/>
      <c r="AS12" s="47"/>
      <c r="AU12" s="36"/>
      <c r="AV12" s="36"/>
      <c r="AW12" s="36"/>
      <c r="BD12" s="49"/>
    </row>
    <row r="13" spans="1:56" s="48" customFormat="1">
      <c r="B13" s="44"/>
      <c r="C13" s="50" t="s">
        <v>105</v>
      </c>
      <c r="D13" s="46">
        <f t="shared" si="2"/>
        <v>0.22146311499000002</v>
      </c>
      <c r="E13" s="51">
        <f>-(100-((E11/$D$11)*100))</f>
        <v>-5.1365796666360808</v>
      </c>
      <c r="F13" s="51">
        <f t="shared" ref="F13:AH13" si="4">-(100-((F11/$D$11)*100))</f>
        <v>8.704978453067838</v>
      </c>
      <c r="G13" s="51">
        <f t="shared" si="4"/>
        <v>9.5071308732833018</v>
      </c>
      <c r="H13" s="51">
        <f t="shared" si="4"/>
        <v>8.3119915406254137</v>
      </c>
      <c r="I13" s="51">
        <f t="shared" si="4"/>
        <v>-2.1448222623349125</v>
      </c>
      <c r="J13" s="51">
        <f t="shared" si="4"/>
        <v>-3.4615786450076627</v>
      </c>
      <c r="K13" s="51">
        <f t="shared" si="4"/>
        <v>-4.8841926194463952</v>
      </c>
      <c r="L13" s="51">
        <f t="shared" si="4"/>
        <v>-12.741191978422165</v>
      </c>
      <c r="M13" s="51">
        <f t="shared" si="4"/>
        <v>-7.3580568093072998</v>
      </c>
      <c r="N13" s="51">
        <f t="shared" si="4"/>
        <v>3.0341708134210563</v>
      </c>
      <c r="O13" s="51">
        <f t="shared" si="4"/>
        <v>5.2460668056171045</v>
      </c>
      <c r="P13" s="51">
        <f t="shared" si="4"/>
        <v>4.6955698173459979</v>
      </c>
      <c r="Q13" s="51">
        <f t="shared" si="4"/>
        <v>7.8573672846914917</v>
      </c>
      <c r="R13" s="51">
        <f t="shared" si="4"/>
        <v>-1.340967801756392</v>
      </c>
      <c r="S13" s="51">
        <f t="shared" si="4"/>
        <v>-2.3626160933926172</v>
      </c>
      <c r="T13" s="51">
        <f t="shared" si="4"/>
        <v>-15.894842787252543</v>
      </c>
      <c r="U13" s="51">
        <f t="shared" si="4"/>
        <v>-11.277571262877643</v>
      </c>
      <c r="V13" s="51">
        <f t="shared" si="4"/>
        <v>-5.5630118746634167</v>
      </c>
      <c r="W13" s="51">
        <f t="shared" si="4"/>
        <v>-8.7793786705699972</v>
      </c>
      <c r="X13" s="51">
        <f t="shared" si="4"/>
        <v>-10.497850905672067</v>
      </c>
      <c r="Y13" s="51">
        <f t="shared" si="4"/>
        <v>-10.2599134296985</v>
      </c>
      <c r="Z13" s="51">
        <f t="shared" si="4"/>
        <v>-22.293164808000711</v>
      </c>
      <c r="AA13" s="51">
        <f t="shared" si="4"/>
        <v>-18.979765863685088</v>
      </c>
      <c r="AB13" s="51">
        <f t="shared" si="4"/>
        <v>-10.391437926470132</v>
      </c>
      <c r="AC13" s="51">
        <f t="shared" si="4"/>
        <v>-10.973398899142651</v>
      </c>
      <c r="AD13" s="51">
        <f t="shared" si="4"/>
        <v>-25.624732490261664</v>
      </c>
      <c r="AE13" s="51">
        <f t="shared" si="4"/>
        <v>-19.327670036243177</v>
      </c>
      <c r="AF13" s="51">
        <f t="shared" si="4"/>
        <v>-12.523296437009151</v>
      </c>
      <c r="AG13" s="51">
        <f t="shared" si="4"/>
        <v>-10.271224867237422</v>
      </c>
      <c r="AH13" s="51">
        <f t="shared" si="4"/>
        <v>-20.231787722457383</v>
      </c>
      <c r="AI13" s="51"/>
      <c r="AJ13" s="46"/>
      <c r="AK13" s="46"/>
      <c r="AL13" s="46"/>
      <c r="AM13" s="46"/>
      <c r="AN13" s="46"/>
      <c r="AO13" s="46"/>
      <c r="AP13" s="46"/>
      <c r="AQ13" s="46"/>
      <c r="AR13" s="46"/>
      <c r="AS13" s="47"/>
      <c r="AU13" s="36"/>
      <c r="AV13" s="36"/>
      <c r="AW13" s="36"/>
      <c r="BD13" s="49"/>
    </row>
    <row r="14" spans="1:56">
      <c r="D14" s="56">
        <f>+D10/D9</f>
        <v>1.4674023766689252E-2</v>
      </c>
      <c r="E14" s="56">
        <f t="shared" ref="E14:AI14" si="5">+E10/E9</f>
        <v>1.5603976038401295E-2</v>
      </c>
      <c r="F14" s="56">
        <f t="shared" si="5"/>
        <v>1.4708766717879325E-2</v>
      </c>
      <c r="G14" s="56">
        <f t="shared" si="5"/>
        <v>1.4944926522679303E-2</v>
      </c>
      <c r="H14" s="56">
        <f t="shared" si="5"/>
        <v>1.4500459624131599E-2</v>
      </c>
      <c r="I14" s="56">
        <f t="shared" si="5"/>
        <v>1.5596954549685243E-2</v>
      </c>
      <c r="J14" s="56">
        <f t="shared" si="5"/>
        <v>1.6073693216307177E-2</v>
      </c>
      <c r="K14" s="56">
        <f t="shared" si="5"/>
        <v>1.2915179075104904E-2</v>
      </c>
      <c r="L14" s="56">
        <f t="shared" si="5"/>
        <v>1.2672380078067653E-2</v>
      </c>
      <c r="M14" s="56">
        <f t="shared" si="5"/>
        <v>1.2397925261482007E-2</v>
      </c>
      <c r="N14" s="56">
        <f t="shared" si="5"/>
        <v>1.2166435729709503E-2</v>
      </c>
      <c r="O14" s="56">
        <f t="shared" si="5"/>
        <v>1.0660947371207779E-2</v>
      </c>
      <c r="P14" s="56">
        <f t="shared" si="5"/>
        <v>1.0857621489163249E-2</v>
      </c>
      <c r="Q14" s="56">
        <f t="shared" si="5"/>
        <v>1.0823538954209193E-2</v>
      </c>
      <c r="R14" s="56">
        <f t="shared" si="5"/>
        <v>1.1567315904467336E-2</v>
      </c>
      <c r="S14" s="56">
        <f t="shared" si="5"/>
        <v>6.5485403639998852E-3</v>
      </c>
      <c r="T14" s="56">
        <f t="shared" si="5"/>
        <v>6.5753678574925825E-3</v>
      </c>
      <c r="U14" s="56">
        <f t="shared" si="5"/>
        <v>6.6078362539104046E-3</v>
      </c>
      <c r="V14" s="56">
        <f t="shared" si="5"/>
        <v>6.5737219725015361E-3</v>
      </c>
      <c r="W14" s="56">
        <f t="shared" si="5"/>
        <v>1.0323191825435809E-2</v>
      </c>
      <c r="X14" s="56">
        <f t="shared" si="5"/>
        <v>1.0946110002287181E-2</v>
      </c>
      <c r="Y14" s="56">
        <f t="shared" si="5"/>
        <v>1.0700949713821614E-2</v>
      </c>
      <c r="Z14" s="56">
        <f t="shared" si="5"/>
        <v>1.0414259787331107E-2</v>
      </c>
      <c r="AA14" s="56">
        <f t="shared" si="5"/>
        <v>1.2044965969093364E-2</v>
      </c>
      <c r="AB14" s="56">
        <f t="shared" si="5"/>
        <v>1.1421120373981091E-2</v>
      </c>
      <c r="AC14" s="56">
        <f t="shared" si="5"/>
        <v>1.0719434872165578E-2</v>
      </c>
      <c r="AD14" s="56">
        <f t="shared" si="5"/>
        <v>1.0348293224725642E-2</v>
      </c>
      <c r="AE14" s="56">
        <f t="shared" si="5"/>
        <v>9.8113809189399413E-3</v>
      </c>
      <c r="AF14" s="56">
        <f t="shared" si="5"/>
        <v>9.3747630406293206E-3</v>
      </c>
      <c r="AG14" s="56">
        <f t="shared" si="5"/>
        <v>1.0365739386868519E-2</v>
      </c>
      <c r="AH14" s="56">
        <f t="shared" si="5"/>
        <v>9.4854175348568961E-3</v>
      </c>
      <c r="AI14" s="56">
        <f t="shared" si="5"/>
        <v>4.0992342143621463E-3</v>
      </c>
      <c r="BD14"/>
    </row>
    <row r="15" spans="1:56">
      <c r="BD15"/>
    </row>
    <row r="16" spans="1:56">
      <c r="D16" t="s">
        <v>106</v>
      </c>
      <c r="BD16"/>
    </row>
    <row r="17" spans="4:56">
      <c r="D17">
        <v>1990</v>
      </c>
      <c r="E17">
        <v>15.31365040534536</v>
      </c>
      <c r="BD17"/>
    </row>
    <row r="18" spans="4:56">
      <c r="D18">
        <v>1991</v>
      </c>
      <c r="E18">
        <v>14.527052552404657</v>
      </c>
      <c r="BD18"/>
    </row>
    <row r="19" spans="4:56">
      <c r="D19">
        <v>1992</v>
      </c>
      <c r="E19">
        <v>16.646700373508807</v>
      </c>
      <c r="AK19">
        <v>2009</v>
      </c>
      <c r="AL19">
        <v>13.969207047972812</v>
      </c>
      <c r="AM19" t="s">
        <v>107</v>
      </c>
      <c r="BD19"/>
    </row>
    <row r="20" spans="4:56" ht="15.75" thickBot="1">
      <c r="D20">
        <v>1993</v>
      </c>
      <c r="E20">
        <v>16.769539190858623</v>
      </c>
      <c r="AK20">
        <v>2010</v>
      </c>
      <c r="AL20">
        <v>13.706046217576358</v>
      </c>
      <c r="BD20"/>
    </row>
    <row r="21" spans="4:56">
      <c r="D21">
        <v>1994</v>
      </c>
      <c r="E21">
        <v>16.586519731598614</v>
      </c>
      <c r="AK21">
        <v>2011</v>
      </c>
      <c r="AL21">
        <v>13.742483130830253</v>
      </c>
      <c r="AM21" s="60" t="s">
        <v>108</v>
      </c>
      <c r="AN21" s="60"/>
      <c r="BD21"/>
    </row>
    <row r="22" spans="4:56">
      <c r="D22">
        <v>1995</v>
      </c>
      <c r="E22">
        <v>14.985199822275373</v>
      </c>
      <c r="AK22">
        <v>2012</v>
      </c>
      <c r="AL22">
        <v>11.89975308236065</v>
      </c>
      <c r="AM22" t="s">
        <v>109</v>
      </c>
      <c r="AN22">
        <v>0.40133973804591699</v>
      </c>
      <c r="BD22"/>
    </row>
    <row r="23" spans="4:56">
      <c r="D23">
        <v>1996</v>
      </c>
      <c r="E23">
        <v>14.783556353142796</v>
      </c>
      <c r="AK23">
        <v>2013</v>
      </c>
      <c r="AL23">
        <v>12.407155413227548</v>
      </c>
      <c r="AM23" t="s">
        <v>110</v>
      </c>
      <c r="AN23">
        <v>0.16107358533476526</v>
      </c>
      <c r="BD23"/>
    </row>
    <row r="24" spans="4:56">
      <c r="D24">
        <v>1997</v>
      </c>
      <c r="E24">
        <v>14.56570222247966</v>
      </c>
      <c r="AK24">
        <v>2014</v>
      </c>
      <c r="AL24">
        <v>13.722341929197254</v>
      </c>
      <c r="AM24" t="s">
        <v>111</v>
      </c>
      <c r="AN24">
        <v>8.4807547637925751E-2</v>
      </c>
      <c r="BD24"/>
    </row>
    <row r="25" spans="4:56">
      <c r="D25">
        <v>1998</v>
      </c>
      <c r="E25">
        <v>13.362508808295884</v>
      </c>
      <c r="AK25">
        <v>2015</v>
      </c>
      <c r="AL25">
        <v>13.633222460346639</v>
      </c>
      <c r="AM25" t="s">
        <v>112</v>
      </c>
      <c r="AN25">
        <v>0.85674296592682841</v>
      </c>
      <c r="BD25"/>
    </row>
    <row r="26" spans="4:56" ht="15.75" thickBot="1">
      <c r="D26">
        <v>1999</v>
      </c>
      <c r="E26">
        <v>14.18686330894133</v>
      </c>
      <c r="AK26">
        <v>2016</v>
      </c>
      <c r="AL26">
        <v>11.38956845448174</v>
      </c>
      <c r="AM26" s="58" t="s">
        <v>113</v>
      </c>
      <c r="AN26" s="58">
        <v>13</v>
      </c>
      <c r="BD26"/>
    </row>
    <row r="27" spans="4:56">
      <c r="D27">
        <v>2000</v>
      </c>
      <c r="E27">
        <v>15.778292716413683</v>
      </c>
      <c r="AK27">
        <v>2017</v>
      </c>
      <c r="AL27">
        <v>12.353878584496393</v>
      </c>
      <c r="BD27"/>
    </row>
    <row r="28" spans="4:56" ht="15.75" thickBot="1">
      <c r="D28">
        <v>2001</v>
      </c>
      <c r="E28">
        <v>16.11701473598843</v>
      </c>
      <c r="AK28">
        <v>2018</v>
      </c>
      <c r="AL28">
        <v>13.395876569756707</v>
      </c>
      <c r="AM28" t="s">
        <v>114</v>
      </c>
      <c r="BD28"/>
    </row>
    <row r="29" spans="4:56">
      <c r="D29">
        <v>2002</v>
      </c>
      <c r="E29">
        <v>16.032713551712639</v>
      </c>
      <c r="AK29">
        <v>2019</v>
      </c>
      <c r="AL29">
        <v>13.740750936829723</v>
      </c>
      <c r="AM29" s="59"/>
      <c r="AN29" s="59" t="s">
        <v>115</v>
      </c>
      <c r="AO29" s="59" t="s">
        <v>116</v>
      </c>
      <c r="AP29" s="59" t="s">
        <v>117</v>
      </c>
      <c r="AQ29" s="59" t="s">
        <v>118</v>
      </c>
      <c r="AR29" s="59" t="s">
        <v>119</v>
      </c>
      <c r="BD29"/>
    </row>
    <row r="30" spans="4:56">
      <c r="D30">
        <v>2003</v>
      </c>
      <c r="E30">
        <v>16.516900162386992</v>
      </c>
      <c r="AK30">
        <v>2020</v>
      </c>
      <c r="AL30">
        <v>12.215425162776652</v>
      </c>
      <c r="AM30" t="s">
        <v>120</v>
      </c>
      <c r="AN30">
        <v>1</v>
      </c>
      <c r="AO30">
        <v>1.5502232171540307</v>
      </c>
      <c r="AP30">
        <v>1.5502232171540307</v>
      </c>
      <c r="AQ30">
        <v>2.1119962462851296</v>
      </c>
      <c r="AR30">
        <v>0.174074661179282</v>
      </c>
      <c r="BD30"/>
    </row>
    <row r="31" spans="4:56">
      <c r="D31">
        <v>2004</v>
      </c>
      <c r="E31">
        <v>15.108299284136143</v>
      </c>
      <c r="AK31">
        <v>2021</v>
      </c>
      <c r="AL31">
        <v>12.07153180699277</v>
      </c>
      <c r="AM31" t="s">
        <v>121</v>
      </c>
      <c r="AN31">
        <v>11</v>
      </c>
      <c r="AO31">
        <v>8.0740936063160849</v>
      </c>
      <c r="AP31">
        <v>0.73400850966509867</v>
      </c>
      <c r="BD31"/>
    </row>
    <row r="32" spans="4:56" ht="15.75" thickBot="1">
      <c r="D32">
        <v>2005</v>
      </c>
      <c r="E32">
        <v>14.951847636382787</v>
      </c>
      <c r="AM32" s="58" t="s">
        <v>10</v>
      </c>
      <c r="AN32" s="58">
        <v>12</v>
      </c>
      <c r="AO32" s="58">
        <v>9.6243168234701155</v>
      </c>
      <c r="AP32" s="58"/>
      <c r="AQ32" s="58"/>
      <c r="AR32" s="58"/>
      <c r="BD32"/>
    </row>
    <row r="33" spans="4:56" ht="15.75" thickBot="1">
      <c r="D33">
        <v>2006</v>
      </c>
      <c r="E33">
        <v>12.879569748426253</v>
      </c>
      <c r="BD33"/>
    </row>
    <row r="34" spans="4:56">
      <c r="D34">
        <v>2007</v>
      </c>
      <c r="E34">
        <v>13.586642567934586</v>
      </c>
      <c r="AM34" s="59"/>
      <c r="AN34" s="59" t="s">
        <v>122</v>
      </c>
      <c r="AO34" s="59" t="s">
        <v>112</v>
      </c>
      <c r="AP34" s="59" t="s">
        <v>123</v>
      </c>
      <c r="AQ34" s="59" t="s">
        <v>124</v>
      </c>
      <c r="AR34" s="59" t="s">
        <v>125</v>
      </c>
      <c r="AS34" s="59" t="s">
        <v>126</v>
      </c>
      <c r="AT34" s="59" t="s">
        <v>127</v>
      </c>
      <c r="AU34" s="59" t="s">
        <v>128</v>
      </c>
      <c r="BD34"/>
    </row>
    <row r="35" spans="4:56">
      <c r="D35">
        <v>2008</v>
      </c>
      <c r="E35">
        <v>14.461750214851556</v>
      </c>
      <c r="AM35" t="s">
        <v>129</v>
      </c>
      <c r="AN35">
        <v>198.90934799662088</v>
      </c>
      <c r="AO35">
        <v>127.96483843279947</v>
      </c>
      <c r="AP35">
        <v>1.5544062762293707</v>
      </c>
      <c r="AQ35">
        <v>0.14836994520900706</v>
      </c>
      <c r="AR35">
        <v>-82.739362407494895</v>
      </c>
      <c r="AS35">
        <v>480.55805840073663</v>
      </c>
      <c r="AT35">
        <v>-82.739362407494895</v>
      </c>
      <c r="AU35">
        <v>480.55805840073663</v>
      </c>
      <c r="BD35"/>
    </row>
    <row r="36" spans="4:56" ht="15.75" thickBot="1">
      <c r="D36">
        <v>2009</v>
      </c>
      <c r="E36">
        <v>13.969207047972812</v>
      </c>
      <c r="AM36" s="58" t="s">
        <v>130</v>
      </c>
      <c r="AN36" s="58">
        <v>-9.2291440471816227E-2</v>
      </c>
      <c r="AO36" s="58">
        <v>6.3506013804746658E-2</v>
      </c>
      <c r="AP36" s="58">
        <v>-1.4532708784962038</v>
      </c>
      <c r="AQ36" s="58">
        <v>0.17407466117928189</v>
      </c>
      <c r="AR36" s="58">
        <v>-0.23206723443263835</v>
      </c>
      <c r="AS36" s="58">
        <v>4.7484353489005898E-2</v>
      </c>
      <c r="AT36" s="58">
        <v>-0.23206723443263835</v>
      </c>
      <c r="AU36" s="58">
        <v>4.7484353489005898E-2</v>
      </c>
      <c r="BD36"/>
    </row>
    <row r="37" spans="4:56">
      <c r="D37">
        <v>2010</v>
      </c>
      <c r="E37">
        <v>13.706046217576358</v>
      </c>
      <c r="AN37" s="63">
        <f>AN36/AL19</f>
        <v>-6.6067773320898273E-3</v>
      </c>
      <c r="BD37"/>
    </row>
    <row r="38" spans="4:56">
      <c r="D38">
        <v>2011</v>
      </c>
      <c r="E38">
        <v>13.742483130830253</v>
      </c>
      <c r="BD38"/>
    </row>
    <row r="39" spans="4:56">
      <c r="D39">
        <v>2012</v>
      </c>
      <c r="E39">
        <v>11.89975308236065</v>
      </c>
      <c r="BD39"/>
    </row>
    <row r="40" spans="4:56">
      <c r="D40">
        <v>2013</v>
      </c>
      <c r="E40">
        <v>12.407155413227548</v>
      </c>
      <c r="AM40" t="s">
        <v>131</v>
      </c>
      <c r="BD40"/>
    </row>
    <row r="41" spans="4:56" ht="15.75" thickBot="1">
      <c r="D41">
        <v>2014</v>
      </c>
      <c r="E41">
        <v>13.722341929197254</v>
      </c>
      <c r="BD41"/>
    </row>
    <row r="42" spans="4:56">
      <c r="D42">
        <v>2015</v>
      </c>
      <c r="E42">
        <v>13.633222460346639</v>
      </c>
      <c r="AM42" s="59" t="s">
        <v>132</v>
      </c>
      <c r="AN42" s="59" t="s">
        <v>133</v>
      </c>
      <c r="AO42" s="59" t="s">
        <v>134</v>
      </c>
      <c r="BD42"/>
    </row>
    <row r="43" spans="4:56">
      <c r="D43">
        <v>2016</v>
      </c>
      <c r="E43">
        <v>11.38956845448174</v>
      </c>
      <c r="AM43">
        <v>1</v>
      </c>
      <c r="AN43">
        <v>13.495844088742075</v>
      </c>
      <c r="AO43">
        <v>0.47336295923073735</v>
      </c>
      <c r="BD43"/>
    </row>
    <row r="44" spans="4:56">
      <c r="D44">
        <v>2017</v>
      </c>
      <c r="E44">
        <v>12.353878584496393</v>
      </c>
      <c r="AM44">
        <v>2</v>
      </c>
      <c r="AN44">
        <v>13.403552648270249</v>
      </c>
      <c r="AO44">
        <v>0.30249356930610816</v>
      </c>
      <c r="BD44"/>
    </row>
    <row r="45" spans="4:56">
      <c r="D45">
        <v>2018</v>
      </c>
      <c r="E45">
        <v>13.395876569756707</v>
      </c>
      <c r="AM45">
        <v>3</v>
      </c>
      <c r="AN45">
        <v>13.311261207798452</v>
      </c>
      <c r="AO45">
        <v>0.43122192303180107</v>
      </c>
      <c r="BD45"/>
    </row>
    <row r="46" spans="4:56">
      <c r="D46">
        <v>2019</v>
      </c>
      <c r="E46">
        <v>13.740750936829723</v>
      </c>
      <c r="AM46">
        <v>4</v>
      </c>
      <c r="AN46">
        <v>13.218969767326627</v>
      </c>
      <c r="AO46">
        <v>-1.3192166849659763</v>
      </c>
      <c r="BD46"/>
    </row>
    <row r="47" spans="4:56">
      <c r="D47">
        <v>2020</v>
      </c>
      <c r="E47">
        <v>12.215425162776652</v>
      </c>
      <c r="AM47">
        <v>5</v>
      </c>
      <c r="AN47">
        <v>13.126678326854801</v>
      </c>
      <c r="AO47">
        <v>-0.7195229136272534</v>
      </c>
      <c r="BD47"/>
    </row>
    <row r="48" spans="4:56">
      <c r="D48">
        <v>2021</v>
      </c>
      <c r="E48">
        <v>12.07153180699277</v>
      </c>
      <c r="AM48">
        <v>6</v>
      </c>
      <c r="AN48">
        <v>13.034386886383004</v>
      </c>
      <c r="AO48">
        <v>0.68795504281425046</v>
      </c>
      <c r="BD48"/>
    </row>
    <row r="49" spans="39:56">
      <c r="AM49">
        <v>7</v>
      </c>
      <c r="AN49">
        <v>12.942095445911178</v>
      </c>
      <c r="AO49">
        <v>0.69112701443546065</v>
      </c>
      <c r="BD49"/>
    </row>
    <row r="50" spans="39:56">
      <c r="AM50">
        <v>8</v>
      </c>
      <c r="AN50">
        <v>12.849804005439353</v>
      </c>
      <c r="AO50">
        <v>-1.4602355509576128</v>
      </c>
      <c r="BD50"/>
    </row>
    <row r="51" spans="39:56">
      <c r="AM51">
        <v>9</v>
      </c>
      <c r="AN51">
        <v>12.757512564967556</v>
      </c>
      <c r="AO51">
        <v>-0.40363398047116306</v>
      </c>
      <c r="BD51"/>
    </row>
    <row r="52" spans="39:56">
      <c r="AM52">
        <v>10</v>
      </c>
      <c r="AN52">
        <v>12.66522112449573</v>
      </c>
      <c r="AO52">
        <v>0.73065544526097703</v>
      </c>
      <c r="BD52"/>
    </row>
    <row r="53" spans="39:56">
      <c r="AM53">
        <v>11</v>
      </c>
      <c r="AN53">
        <v>12.572929684023904</v>
      </c>
      <c r="AO53">
        <v>1.1678212528058189</v>
      </c>
      <c r="BD53"/>
    </row>
    <row r="54" spans="39:56">
      <c r="AM54">
        <v>12</v>
      </c>
      <c r="AN54">
        <v>12.480638243552107</v>
      </c>
      <c r="AO54">
        <v>-0.26521308077545491</v>
      </c>
      <c r="BD54"/>
    </row>
    <row r="55" spans="39:56" ht="15.75" thickBot="1">
      <c r="AM55" s="58">
        <v>13</v>
      </c>
      <c r="AN55" s="58">
        <v>12.388346803080282</v>
      </c>
      <c r="AO55" s="58">
        <v>-0.31681499608751196</v>
      </c>
      <c r="BD55"/>
    </row>
    <row r="56" spans="39:56">
      <c r="BD56"/>
    </row>
    <row r="57" spans="39:56">
      <c r="BD57"/>
    </row>
    <row r="58" spans="39:56">
      <c r="BD58"/>
    </row>
    <row r="59" spans="39:56">
      <c r="BD59"/>
    </row>
    <row r="60" spans="39:56">
      <c r="BD60"/>
    </row>
    <row r="61" spans="39:56">
      <c r="BD61"/>
    </row>
    <row r="62" spans="39:56">
      <c r="BD62"/>
    </row>
    <row r="63" spans="39:56">
      <c r="BD63"/>
    </row>
    <row r="64" spans="39:56">
      <c r="BD64"/>
    </row>
    <row r="65" spans="56:56">
      <c r="BD65"/>
    </row>
    <row r="66" spans="56:56">
      <c r="BD66"/>
    </row>
    <row r="67" spans="56:56">
      <c r="BD67"/>
    </row>
    <row r="68" spans="56:56">
      <c r="BD68"/>
    </row>
    <row r="69" spans="56:56">
      <c r="BD69"/>
    </row>
    <row r="70" spans="56:56">
      <c r="BD70"/>
    </row>
    <row r="71" spans="56:56">
      <c r="BD71"/>
    </row>
    <row r="72" spans="56:56">
      <c r="BD72"/>
    </row>
    <row r="73" spans="56:56">
      <c r="BD73"/>
    </row>
    <row r="74" spans="56:56">
      <c r="BD74"/>
    </row>
    <row r="75" spans="56:56">
      <c r="BD75"/>
    </row>
    <row r="76" spans="56:56">
      <c r="BD76"/>
    </row>
    <row r="77" spans="56:56">
      <c r="BD77"/>
    </row>
    <row r="78" spans="56:56">
      <c r="BD78"/>
    </row>
    <row r="79" spans="56:56">
      <c r="BD79"/>
    </row>
    <row r="80" spans="56:56">
      <c r="BD80"/>
    </row>
    <row r="81" spans="56:56">
      <c r="BD81"/>
    </row>
    <row r="82" spans="56:56">
      <c r="BD82"/>
    </row>
    <row r="83" spans="56:56">
      <c r="BD83"/>
    </row>
    <row r="84" spans="56:56">
      <c r="BD84"/>
    </row>
    <row r="85" spans="56:56">
      <c r="BD85"/>
    </row>
    <row r="86" spans="56:56">
      <c r="BD86"/>
    </row>
    <row r="87" spans="56:56">
      <c r="BD87"/>
    </row>
    <row r="88" spans="56:56">
      <c r="BD88"/>
    </row>
    <row r="89" spans="56:56">
      <c r="BD89"/>
    </row>
    <row r="90" spans="56:56">
      <c r="BD90"/>
    </row>
    <row r="91" spans="56:56">
      <c r="BD91"/>
    </row>
    <row r="92" spans="56:56">
      <c r="BD92"/>
    </row>
    <row r="93" spans="56:56">
      <c r="BD93"/>
    </row>
    <row r="94" spans="56:56">
      <c r="BD94"/>
    </row>
    <row r="95" spans="56:56">
      <c r="BD95"/>
    </row>
    <row r="96" spans="56:56">
      <c r="BD96"/>
    </row>
    <row r="97" spans="56:56">
      <c r="BD97"/>
    </row>
    <row r="98" spans="56:56">
      <c r="BD98"/>
    </row>
    <row r="99" spans="56:56">
      <c r="BD99"/>
    </row>
    <row r="100" spans="56:56">
      <c r="BD100"/>
    </row>
    <row r="101" spans="56:56">
      <c r="BD101"/>
    </row>
    <row r="102" spans="56:56">
      <c r="BD102"/>
    </row>
    <row r="103" spans="56:56">
      <c r="BD103"/>
    </row>
    <row r="104" spans="56:56">
      <c r="BD104"/>
    </row>
    <row r="105" spans="56:56">
      <c r="BD105"/>
    </row>
    <row r="106" spans="56:56">
      <c r="BD106"/>
    </row>
    <row r="107" spans="56:56">
      <c r="BD107"/>
    </row>
    <row r="108" spans="56:56">
      <c r="BD108"/>
    </row>
    <row r="109" spans="56:56">
      <c r="BD109"/>
    </row>
    <row r="110" spans="56:56">
      <c r="BD110"/>
    </row>
    <row r="111" spans="56:56">
      <c r="BD111"/>
    </row>
    <row r="112" spans="56:56">
      <c r="BD112"/>
    </row>
    <row r="113" spans="56:56">
      <c r="BD113"/>
    </row>
    <row r="114" spans="56:56">
      <c r="BD114"/>
    </row>
    <row r="115" spans="56:56">
      <c r="BD115"/>
    </row>
    <row r="116" spans="56:56">
      <c r="BD116"/>
    </row>
    <row r="117" spans="56:56">
      <c r="BD117"/>
    </row>
    <row r="118" spans="56:56">
      <c r="BD118"/>
    </row>
    <row r="119" spans="56:56">
      <c r="BD119"/>
    </row>
    <row r="120" spans="56:56">
      <c r="BD120"/>
    </row>
    <row r="121" spans="56:56">
      <c r="BD121"/>
    </row>
    <row r="122" spans="56:56">
      <c r="BD122"/>
    </row>
    <row r="123" spans="56:56">
      <c r="BD123"/>
    </row>
    <row r="124" spans="56:56">
      <c r="BD124"/>
    </row>
    <row r="125" spans="56:56">
      <c r="BD125"/>
    </row>
    <row r="126" spans="56:56">
      <c r="BD126"/>
    </row>
    <row r="127" spans="56:56">
      <c r="BD127"/>
    </row>
    <row r="128" spans="56:56">
      <c r="BD128"/>
    </row>
    <row r="129" spans="56:56">
      <c r="BD129"/>
    </row>
    <row r="130" spans="56:56">
      <c r="BD130"/>
    </row>
    <row r="131" spans="56:56">
      <c r="BD131"/>
    </row>
    <row r="132" spans="56:56">
      <c r="BD132"/>
    </row>
    <row r="133" spans="56:56">
      <c r="BD133"/>
    </row>
    <row r="134" spans="56:56">
      <c r="BD134"/>
    </row>
    <row r="135" spans="56:56">
      <c r="BD135"/>
    </row>
    <row r="136" spans="56:56">
      <c r="BD136"/>
    </row>
    <row r="137" spans="56:56">
      <c r="BD137"/>
    </row>
    <row r="138" spans="56:56">
      <c r="BD138"/>
    </row>
    <row r="139" spans="56:56">
      <c r="BD139"/>
    </row>
    <row r="140" spans="56:56">
      <c r="BD140"/>
    </row>
    <row r="141" spans="56:56">
      <c r="BD141"/>
    </row>
    <row r="142" spans="56:56">
      <c r="BD142"/>
    </row>
    <row r="143" spans="56:56">
      <c r="BD143"/>
    </row>
    <row r="144" spans="56:56">
      <c r="BD144"/>
    </row>
    <row r="145" spans="56:56">
      <c r="BD145"/>
    </row>
    <row r="146" spans="56:56">
      <c r="BD146"/>
    </row>
    <row r="147" spans="56:56">
      <c r="BD147"/>
    </row>
    <row r="148" spans="56:56">
      <c r="BD148"/>
    </row>
    <row r="149" spans="56:56">
      <c r="BD149"/>
    </row>
    <row r="150" spans="56:56">
      <c r="BD150"/>
    </row>
    <row r="151" spans="56:56">
      <c r="BD151"/>
    </row>
    <row r="152" spans="56:56">
      <c r="BD152"/>
    </row>
    <row r="153" spans="56:56">
      <c r="BD153"/>
    </row>
    <row r="154" spans="56:56">
      <c r="BD154"/>
    </row>
    <row r="155" spans="56:56">
      <c r="BD155"/>
    </row>
    <row r="156" spans="56:56">
      <c r="BD156"/>
    </row>
    <row r="157" spans="56:56">
      <c r="BD157"/>
    </row>
    <row r="158" spans="56:56">
      <c r="BD158"/>
    </row>
    <row r="159" spans="56:56">
      <c r="BD159"/>
    </row>
    <row r="160" spans="56:56">
      <c r="BD160"/>
    </row>
    <row r="161" spans="56:56">
      <c r="BD161"/>
    </row>
    <row r="162" spans="56:56">
      <c r="BD162"/>
    </row>
    <row r="163" spans="56:56">
      <c r="BD163"/>
    </row>
    <row r="164" spans="56:56">
      <c r="BD164"/>
    </row>
    <row r="165" spans="56:56">
      <c r="BD165"/>
    </row>
    <row r="166" spans="56:56">
      <c r="BD166"/>
    </row>
    <row r="167" spans="56:56">
      <c r="BD167"/>
    </row>
    <row r="168" spans="56:56">
      <c r="BD168"/>
    </row>
    <row r="169" spans="56:56">
      <c r="BD169"/>
    </row>
    <row r="170" spans="56:56">
      <c r="BD170"/>
    </row>
    <row r="171" spans="56:56">
      <c r="BD171"/>
    </row>
    <row r="172" spans="56:56">
      <c r="BD172"/>
    </row>
    <row r="173" spans="56:56">
      <c r="BD173"/>
    </row>
    <row r="174" spans="56:56">
      <c r="BD174"/>
    </row>
    <row r="175" spans="56:56">
      <c r="BD175"/>
    </row>
    <row r="176" spans="56:56">
      <c r="BD176"/>
    </row>
    <row r="177" spans="56:56">
      <c r="BD177"/>
    </row>
    <row r="178" spans="56:56">
      <c r="BD178"/>
    </row>
    <row r="179" spans="56:56">
      <c r="BD179"/>
    </row>
    <row r="180" spans="56:56">
      <c r="BD180"/>
    </row>
    <row r="181" spans="56:56">
      <c r="BD181"/>
    </row>
    <row r="182" spans="56:56">
      <c r="BD182"/>
    </row>
    <row r="183" spans="56:56">
      <c r="BD183"/>
    </row>
    <row r="184" spans="56:56">
      <c r="BD184"/>
    </row>
    <row r="185" spans="56:56">
      <c r="BD185"/>
    </row>
    <row r="186" spans="56:56">
      <c r="BD186"/>
    </row>
    <row r="187" spans="56:56">
      <c r="BD187"/>
    </row>
    <row r="188" spans="56:56">
      <c r="BD188"/>
    </row>
    <row r="189" spans="56:56">
      <c r="BD189"/>
    </row>
    <row r="190" spans="56:56">
      <c r="BD190"/>
    </row>
    <row r="191" spans="56:56">
      <c r="BD191"/>
    </row>
    <row r="192" spans="56:56">
      <c r="BD192"/>
    </row>
    <row r="193" spans="56:56">
      <c r="BD193"/>
    </row>
    <row r="194" spans="56:56">
      <c r="BD194"/>
    </row>
    <row r="195" spans="56:56">
      <c r="BD195"/>
    </row>
    <row r="196" spans="56:56">
      <c r="BD196"/>
    </row>
    <row r="197" spans="56:56">
      <c r="BD197"/>
    </row>
    <row r="198" spans="56:56">
      <c r="BD198"/>
    </row>
    <row r="199" spans="56:56">
      <c r="BD199"/>
    </row>
    <row r="200" spans="56:56">
      <c r="BD200"/>
    </row>
    <row r="201" spans="56:56">
      <c r="BD201"/>
    </row>
    <row r="202" spans="56:56">
      <c r="BD202"/>
    </row>
    <row r="203" spans="56:56">
      <c r="BD203"/>
    </row>
    <row r="204" spans="56:56">
      <c r="BD204"/>
    </row>
    <row r="205" spans="56:56">
      <c r="BD205"/>
    </row>
    <row r="206" spans="56:56">
      <c r="BD206"/>
    </row>
    <row r="207" spans="56:56">
      <c r="BD207"/>
    </row>
    <row r="208" spans="56:56">
      <c r="BD208"/>
    </row>
    <row r="209" spans="56:56">
      <c r="BD209"/>
    </row>
    <row r="210" spans="56:56">
      <c r="BD210"/>
    </row>
    <row r="211" spans="56:56">
      <c r="BD211"/>
    </row>
    <row r="212" spans="56:56">
      <c r="BD212"/>
    </row>
    <row r="213" spans="56:56">
      <c r="BD213"/>
    </row>
    <row r="214" spans="56:56">
      <c r="BD214"/>
    </row>
    <row r="215" spans="56:56">
      <c r="BD215"/>
    </row>
    <row r="216" spans="56:56">
      <c r="BD216"/>
    </row>
    <row r="217" spans="56:56">
      <c r="BD217"/>
    </row>
    <row r="218" spans="56:56">
      <c r="BD218"/>
    </row>
    <row r="219" spans="56:56">
      <c r="BD219"/>
    </row>
    <row r="220" spans="56:56">
      <c r="BD220"/>
    </row>
    <row r="221" spans="56:56">
      <c r="BD221"/>
    </row>
    <row r="222" spans="56:56">
      <c r="BD222"/>
    </row>
    <row r="223" spans="56:56">
      <c r="BD223"/>
    </row>
    <row r="224" spans="56:56">
      <c r="BD224"/>
    </row>
    <row r="225" spans="56:56">
      <c r="BD225"/>
    </row>
    <row r="226" spans="56:56">
      <c r="BD226"/>
    </row>
    <row r="227" spans="56:56">
      <c r="BD227"/>
    </row>
    <row r="228" spans="56:56">
      <c r="BD228"/>
    </row>
    <row r="229" spans="56:56">
      <c r="BD229"/>
    </row>
    <row r="230" spans="56:56">
      <c r="BD230"/>
    </row>
    <row r="231" spans="56:56">
      <c r="BD231"/>
    </row>
    <row r="232" spans="56:56">
      <c r="BD232"/>
    </row>
    <row r="233" spans="56:56">
      <c r="BD233"/>
    </row>
    <row r="234" spans="56:56">
      <c r="BD234"/>
    </row>
    <row r="235" spans="56:56">
      <c r="BD235"/>
    </row>
    <row r="236" spans="56:56">
      <c r="BD236"/>
    </row>
    <row r="237" spans="56:56">
      <c r="BD237"/>
    </row>
    <row r="238" spans="56:56">
      <c r="BD238"/>
    </row>
    <row r="239" spans="56:56">
      <c r="BD239"/>
    </row>
    <row r="240" spans="56:56">
      <c r="BD240"/>
    </row>
    <row r="241" spans="56:56">
      <c r="BD241"/>
    </row>
    <row r="242" spans="56:56">
      <c r="BD242"/>
    </row>
    <row r="243" spans="56:56">
      <c r="BD243"/>
    </row>
    <row r="244" spans="56:56">
      <c r="BD244"/>
    </row>
    <row r="245" spans="56:56">
      <c r="BD245"/>
    </row>
    <row r="246" spans="56:56">
      <c r="BD246"/>
    </row>
    <row r="247" spans="56:56">
      <c r="BD247"/>
    </row>
    <row r="248" spans="56:56">
      <c r="BD248"/>
    </row>
    <row r="249" spans="56:56">
      <c r="BD249"/>
    </row>
    <row r="250" spans="56:56">
      <c r="BD250"/>
    </row>
    <row r="251" spans="56:56">
      <c r="BD251"/>
    </row>
    <row r="252" spans="56:56">
      <c r="BD252"/>
    </row>
    <row r="253" spans="56:56">
      <c r="BD253"/>
    </row>
    <row r="254" spans="56:56">
      <c r="BD254"/>
    </row>
    <row r="255" spans="56:56">
      <c r="BD255"/>
    </row>
    <row r="256" spans="56:56">
      <c r="BD256"/>
    </row>
    <row r="257" spans="56:56">
      <c r="BD257"/>
    </row>
    <row r="258" spans="56:56">
      <c r="BD258"/>
    </row>
    <row r="259" spans="56:56">
      <c r="BD259"/>
    </row>
    <row r="260" spans="56:56">
      <c r="BD260"/>
    </row>
    <row r="261" spans="56:56">
      <c r="BD261"/>
    </row>
    <row r="262" spans="56:56">
      <c r="BD262"/>
    </row>
    <row r="263" spans="56:56">
      <c r="BD263"/>
    </row>
    <row r="264" spans="56:56">
      <c r="BD264"/>
    </row>
    <row r="265" spans="56:56">
      <c r="BD265"/>
    </row>
    <row r="266" spans="56:56">
      <c r="BD266"/>
    </row>
    <row r="267" spans="56:56">
      <c r="BD267"/>
    </row>
    <row r="268" spans="56:56">
      <c r="BD268"/>
    </row>
    <row r="269" spans="56:56">
      <c r="BD269"/>
    </row>
    <row r="270" spans="56:56">
      <c r="BD270"/>
    </row>
    <row r="271" spans="56:56">
      <c r="BD271"/>
    </row>
    <row r="272" spans="56:56">
      <c r="BD272"/>
    </row>
    <row r="273" spans="56:56">
      <c r="BD273"/>
    </row>
    <row r="274" spans="56:56">
      <c r="BD274"/>
    </row>
    <row r="275" spans="56:56">
      <c r="BD275"/>
    </row>
    <row r="276" spans="56:56">
      <c r="BD276"/>
    </row>
    <row r="277" spans="56:56">
      <c r="BD277"/>
    </row>
    <row r="278" spans="56:56">
      <c r="BD278"/>
    </row>
    <row r="279" spans="56:56">
      <c r="BD279"/>
    </row>
    <row r="280" spans="56:56">
      <c r="BD280"/>
    </row>
    <row r="281" spans="56:56">
      <c r="BD281"/>
    </row>
    <row r="282" spans="56:56">
      <c r="BD282"/>
    </row>
    <row r="283" spans="56:56">
      <c r="BD283"/>
    </row>
    <row r="284" spans="56:56">
      <c r="BD284"/>
    </row>
    <row r="285" spans="56:56">
      <c r="BD285"/>
    </row>
    <row r="286" spans="56:56">
      <c r="BD286"/>
    </row>
    <row r="287" spans="56:56">
      <c r="BD287"/>
    </row>
    <row r="288" spans="56:56">
      <c r="BD288"/>
    </row>
    <row r="289" spans="56:56">
      <c r="BD289"/>
    </row>
    <row r="290" spans="56:56">
      <c r="BD290"/>
    </row>
    <row r="291" spans="56:56">
      <c r="BD291"/>
    </row>
    <row r="292" spans="56:56">
      <c r="BD292"/>
    </row>
    <row r="293" spans="56:56">
      <c r="BD293"/>
    </row>
    <row r="294" spans="56:56">
      <c r="BD294"/>
    </row>
    <row r="295" spans="56:56">
      <c r="BD295"/>
    </row>
    <row r="296" spans="56:56">
      <c r="BD296"/>
    </row>
    <row r="297" spans="56:56">
      <c r="BD297"/>
    </row>
    <row r="298" spans="56:56">
      <c r="BD298"/>
    </row>
    <row r="299" spans="56:56">
      <c r="BD299"/>
    </row>
    <row r="300" spans="56:56">
      <c r="BD300"/>
    </row>
    <row r="301" spans="56:56">
      <c r="BD301"/>
    </row>
    <row r="302" spans="56:56">
      <c r="BD302"/>
    </row>
    <row r="303" spans="56:56">
      <c r="BD303"/>
    </row>
    <row r="304" spans="56:56">
      <c r="BD304"/>
    </row>
    <row r="305" spans="56:56">
      <c r="BD305"/>
    </row>
    <row r="306" spans="56:56">
      <c r="BD306"/>
    </row>
    <row r="307" spans="56:56">
      <c r="BD307"/>
    </row>
    <row r="308" spans="56:56">
      <c r="BD308"/>
    </row>
    <row r="309" spans="56:56">
      <c r="BD309"/>
    </row>
    <row r="310" spans="56:56">
      <c r="BD310"/>
    </row>
    <row r="311" spans="56:56">
      <c r="BD311"/>
    </row>
    <row r="312" spans="56:56">
      <c r="BD312"/>
    </row>
    <row r="313" spans="56:56">
      <c r="BD313"/>
    </row>
    <row r="314" spans="56:56">
      <c r="BD314"/>
    </row>
    <row r="315" spans="56:56">
      <c r="BD315"/>
    </row>
    <row r="316" spans="56:56">
      <c r="BD316"/>
    </row>
    <row r="317" spans="56:56">
      <c r="BD317"/>
    </row>
    <row r="318" spans="56:56">
      <c r="BD318"/>
    </row>
    <row r="319" spans="56:56">
      <c r="BD319"/>
    </row>
    <row r="320" spans="56:56">
      <c r="BD320"/>
    </row>
    <row r="321" spans="56:56">
      <c r="BD321"/>
    </row>
    <row r="322" spans="56:56">
      <c r="BD322"/>
    </row>
    <row r="323" spans="56:56">
      <c r="BD323"/>
    </row>
    <row r="324" spans="56:56">
      <c r="BD324"/>
    </row>
    <row r="325" spans="56:56">
      <c r="BD325"/>
    </row>
    <row r="326" spans="56:56">
      <c r="BD326"/>
    </row>
    <row r="327" spans="56:56">
      <c r="BD327"/>
    </row>
    <row r="328" spans="56:56">
      <c r="BD328"/>
    </row>
    <row r="329" spans="56:56">
      <c r="BD329"/>
    </row>
    <row r="330" spans="56:56">
      <c r="BD330"/>
    </row>
    <row r="331" spans="56:56">
      <c r="BD331"/>
    </row>
    <row r="332" spans="56:56">
      <c r="BD332"/>
    </row>
    <row r="333" spans="56:56">
      <c r="BD333"/>
    </row>
    <row r="334" spans="56:56">
      <c r="BD334"/>
    </row>
    <row r="335" spans="56:56">
      <c r="BD335"/>
    </row>
    <row r="336" spans="56:56">
      <c r="BD336"/>
    </row>
    <row r="337" spans="56:56">
      <c r="BD337"/>
    </row>
    <row r="338" spans="56:56">
      <c r="BD338"/>
    </row>
    <row r="339" spans="56:56">
      <c r="BD339"/>
    </row>
    <row r="340" spans="56:56">
      <c r="BD340"/>
    </row>
    <row r="341" spans="56:56">
      <c r="BD341"/>
    </row>
    <row r="342" spans="56:56">
      <c r="BD342"/>
    </row>
    <row r="343" spans="56:56">
      <c r="BD343"/>
    </row>
    <row r="344" spans="56:56">
      <c r="BD344"/>
    </row>
    <row r="345" spans="56:56">
      <c r="BD345"/>
    </row>
    <row r="346" spans="56:56">
      <c r="BD346"/>
    </row>
    <row r="347" spans="56:56">
      <c r="BD347"/>
    </row>
    <row r="348" spans="56:56">
      <c r="BD348"/>
    </row>
    <row r="349" spans="56:56">
      <c r="BD349"/>
    </row>
    <row r="350" spans="56:56">
      <c r="BD350"/>
    </row>
    <row r="351" spans="56:56">
      <c r="BD351"/>
    </row>
    <row r="352" spans="56:56">
      <c r="BD352"/>
    </row>
    <row r="353" spans="56:56">
      <c r="BD353"/>
    </row>
    <row r="354" spans="56:56">
      <c r="BD354"/>
    </row>
    <row r="355" spans="56:56">
      <c r="BD355"/>
    </row>
    <row r="356" spans="56:56">
      <c r="BD356"/>
    </row>
    <row r="357" spans="56:56">
      <c r="BD357"/>
    </row>
    <row r="358" spans="56:56">
      <c r="BD358"/>
    </row>
    <row r="359" spans="56:56">
      <c r="BD359"/>
    </row>
    <row r="360" spans="56:56">
      <c r="BD360"/>
    </row>
    <row r="361" spans="56:56">
      <c r="BD361"/>
    </row>
    <row r="362" spans="56:56">
      <c r="BD362"/>
    </row>
    <row r="363" spans="56:56">
      <c r="BD363"/>
    </row>
    <row r="364" spans="56:56">
      <c r="BD364"/>
    </row>
    <row r="365" spans="56:56">
      <c r="BD365"/>
    </row>
    <row r="366" spans="56:56">
      <c r="BD366"/>
    </row>
    <row r="367" spans="56:56">
      <c r="BD367"/>
    </row>
    <row r="368" spans="56:56">
      <c r="BD368"/>
    </row>
    <row r="369" spans="56:56">
      <c r="BD369"/>
    </row>
    <row r="370" spans="56:56">
      <c r="BD370"/>
    </row>
    <row r="371" spans="56:56">
      <c r="BD371"/>
    </row>
    <row r="372" spans="56:56">
      <c r="BD372"/>
    </row>
    <row r="373" spans="56:56">
      <c r="BD373"/>
    </row>
    <row r="374" spans="56:56">
      <c r="BD374"/>
    </row>
    <row r="375" spans="56:56">
      <c r="BD375"/>
    </row>
    <row r="376" spans="56:56">
      <c r="BD376"/>
    </row>
    <row r="377" spans="56:56">
      <c r="BD377"/>
    </row>
    <row r="378" spans="56:56">
      <c r="BD378"/>
    </row>
    <row r="379" spans="56:56">
      <c r="BD379"/>
    </row>
    <row r="380" spans="56:56">
      <c r="BD380"/>
    </row>
    <row r="381" spans="56:56">
      <c r="BD381"/>
    </row>
    <row r="382" spans="56:56">
      <c r="BD382"/>
    </row>
    <row r="383" spans="56:56">
      <c r="BD383"/>
    </row>
    <row r="384" spans="56:56">
      <c r="BD384"/>
    </row>
    <row r="385" spans="56:56">
      <c r="BD385"/>
    </row>
    <row r="386" spans="56:56">
      <c r="BD386"/>
    </row>
    <row r="387" spans="56:56">
      <c r="BD387"/>
    </row>
    <row r="388" spans="56:56">
      <c r="BD388"/>
    </row>
    <row r="389" spans="56:56">
      <c r="BD389"/>
    </row>
    <row r="390" spans="56:56">
      <c r="BD390"/>
    </row>
    <row r="391" spans="56:56">
      <c r="BD391"/>
    </row>
    <row r="392" spans="56:56">
      <c r="BD392"/>
    </row>
    <row r="393" spans="56:56">
      <c r="BD393"/>
    </row>
    <row r="394" spans="56:56">
      <c r="BD394"/>
    </row>
    <row r="395" spans="56:56">
      <c r="BD395"/>
    </row>
    <row r="396" spans="56:56">
      <c r="BD396"/>
    </row>
    <row r="397" spans="56:56">
      <c r="BD397"/>
    </row>
    <row r="398" spans="56:56">
      <c r="BD398"/>
    </row>
    <row r="399" spans="56:56">
      <c r="BD399"/>
    </row>
    <row r="400" spans="56:56">
      <c r="BD400"/>
    </row>
    <row r="401" spans="56:56">
      <c r="BD401"/>
    </row>
    <row r="402" spans="56:56">
      <c r="BD402"/>
    </row>
    <row r="403" spans="56:56">
      <c r="BD403"/>
    </row>
    <row r="404" spans="56:56">
      <c r="BD404"/>
    </row>
    <row r="405" spans="56:56">
      <c r="BD405"/>
    </row>
    <row r="406" spans="56:56">
      <c r="BD406"/>
    </row>
    <row r="407" spans="56:56">
      <c r="BD407"/>
    </row>
    <row r="408" spans="56:56">
      <c r="BD408"/>
    </row>
    <row r="409" spans="56:56">
      <c r="BD409"/>
    </row>
    <row r="410" spans="56:56">
      <c r="BD410"/>
    </row>
    <row r="411" spans="56:56">
      <c r="BD411"/>
    </row>
    <row r="412" spans="56:56">
      <c r="BD412"/>
    </row>
    <row r="413" spans="56:56">
      <c r="BD413"/>
    </row>
    <row r="414" spans="56:56">
      <c r="BD414"/>
    </row>
    <row r="415" spans="56:56">
      <c r="BD415"/>
    </row>
    <row r="416" spans="56:56">
      <c r="BD416"/>
    </row>
    <row r="417" spans="56:56">
      <c r="BD417"/>
    </row>
    <row r="418" spans="56:56">
      <c r="BD418"/>
    </row>
    <row r="419" spans="56:56">
      <c r="BD419"/>
    </row>
    <row r="420" spans="56:56">
      <c r="BD420"/>
    </row>
    <row r="421" spans="56:56">
      <c r="BD421"/>
    </row>
    <row r="422" spans="56:56">
      <c r="BD422"/>
    </row>
    <row r="423" spans="56:56">
      <c r="BD423"/>
    </row>
    <row r="424" spans="56:56">
      <c r="BD424"/>
    </row>
    <row r="425" spans="56:56">
      <c r="BD425"/>
    </row>
    <row r="426" spans="56:56">
      <c r="BD426"/>
    </row>
    <row r="427" spans="56:56">
      <c r="BD427"/>
    </row>
    <row r="428" spans="56:56">
      <c r="BD428"/>
    </row>
    <row r="429" spans="56:56">
      <c r="BD429"/>
    </row>
    <row r="430" spans="56:56">
      <c r="BD430"/>
    </row>
    <row r="431" spans="56:56">
      <c r="BD431"/>
    </row>
    <row r="432" spans="56:56">
      <c r="BD432"/>
    </row>
    <row r="433" spans="56:56">
      <c r="BD433"/>
    </row>
    <row r="434" spans="56:56">
      <c r="BD434"/>
    </row>
    <row r="435" spans="56:56">
      <c r="BD435"/>
    </row>
    <row r="436" spans="56:56">
      <c r="BD436"/>
    </row>
    <row r="437" spans="56:56">
      <c r="BD437"/>
    </row>
    <row r="438" spans="56:56">
      <c r="BD438"/>
    </row>
    <row r="439" spans="56:56">
      <c r="BD439"/>
    </row>
    <row r="440" spans="56:56">
      <c r="BD440"/>
    </row>
    <row r="441" spans="56:56">
      <c r="BD441"/>
    </row>
    <row r="442" spans="56:56">
      <c r="BD442"/>
    </row>
    <row r="443" spans="56:56">
      <c r="BD443"/>
    </row>
    <row r="444" spans="56:56">
      <c r="BD444"/>
    </row>
    <row r="445" spans="56:56">
      <c r="BD445"/>
    </row>
    <row r="446" spans="56:56">
      <c r="BD446"/>
    </row>
    <row r="447" spans="56:56">
      <c r="BD447"/>
    </row>
    <row r="448" spans="56:56">
      <c r="BD448"/>
    </row>
    <row r="449" spans="56:56">
      <c r="BD449"/>
    </row>
    <row r="450" spans="56:56">
      <c r="BD450"/>
    </row>
    <row r="451" spans="56:56">
      <c r="BD451"/>
    </row>
    <row r="452" spans="56:56">
      <c r="BD452"/>
    </row>
    <row r="453" spans="56:56">
      <c r="BD453"/>
    </row>
    <row r="454" spans="56:56">
      <c r="BD454"/>
    </row>
    <row r="455" spans="56:56">
      <c r="BD455"/>
    </row>
    <row r="456" spans="56:56">
      <c r="BD456"/>
    </row>
    <row r="457" spans="56:56">
      <c r="BD457"/>
    </row>
    <row r="458" spans="56:56">
      <c r="BD458"/>
    </row>
    <row r="459" spans="56:56">
      <c r="BD459"/>
    </row>
    <row r="460" spans="56:56">
      <c r="BD460"/>
    </row>
    <row r="461" spans="56:56">
      <c r="BD461"/>
    </row>
    <row r="462" spans="56:56">
      <c r="BD462"/>
    </row>
    <row r="463" spans="56:56">
      <c r="BD463"/>
    </row>
    <row r="464" spans="56:56">
      <c r="BD464"/>
    </row>
    <row r="465" spans="56:56">
      <c r="BD465"/>
    </row>
    <row r="466" spans="56:56">
      <c r="BD466"/>
    </row>
    <row r="467" spans="56:56">
      <c r="BD467"/>
    </row>
    <row r="468" spans="56:56">
      <c r="BD468"/>
    </row>
    <row r="469" spans="56:56">
      <c r="BD469"/>
    </row>
    <row r="470" spans="56:56">
      <c r="BD470"/>
    </row>
    <row r="471" spans="56:56">
      <c r="BD471"/>
    </row>
    <row r="472" spans="56:56">
      <c r="BD472"/>
    </row>
    <row r="473" spans="56:56">
      <c r="BD473"/>
    </row>
    <row r="474" spans="56:56">
      <c r="BD474"/>
    </row>
    <row r="475" spans="56:56">
      <c r="BD475"/>
    </row>
    <row r="476" spans="56:56">
      <c r="BD476"/>
    </row>
    <row r="477" spans="56:56">
      <c r="BD477"/>
    </row>
    <row r="478" spans="56:56">
      <c r="BD478"/>
    </row>
    <row r="479" spans="56:56">
      <c r="BD479"/>
    </row>
    <row r="480" spans="56:56">
      <c r="BD480"/>
    </row>
    <row r="481" spans="56:56">
      <c r="BD481"/>
    </row>
    <row r="482" spans="56:56">
      <c r="BD482"/>
    </row>
    <row r="483" spans="56:56">
      <c r="BD483"/>
    </row>
    <row r="484" spans="56:56">
      <c r="BD484"/>
    </row>
    <row r="485" spans="56:56">
      <c r="BD485"/>
    </row>
    <row r="486" spans="56:56">
      <c r="BD486"/>
    </row>
    <row r="487" spans="56:56">
      <c r="BD487"/>
    </row>
    <row r="488" spans="56:56">
      <c r="BD488"/>
    </row>
    <row r="489" spans="56:56">
      <c r="BD489"/>
    </row>
    <row r="490" spans="56:56">
      <c r="BD490"/>
    </row>
    <row r="491" spans="56:56">
      <c r="BD491"/>
    </row>
    <row r="492" spans="56:56">
      <c r="BD492"/>
    </row>
    <row r="493" spans="56:56">
      <c r="BD493"/>
    </row>
    <row r="494" spans="56:56">
      <c r="BD494"/>
    </row>
    <row r="495" spans="56:56">
      <c r="BD495"/>
    </row>
    <row r="496" spans="56:56">
      <c r="BD496"/>
    </row>
    <row r="497" spans="56:56">
      <c r="BD497"/>
    </row>
    <row r="498" spans="56:56">
      <c r="BD498"/>
    </row>
    <row r="499" spans="56:56">
      <c r="BD499"/>
    </row>
    <row r="500" spans="56:56">
      <c r="BD500"/>
    </row>
    <row r="501" spans="56:56">
      <c r="BD501"/>
    </row>
    <row r="502" spans="56:56">
      <c r="BD502"/>
    </row>
    <row r="503" spans="56:56">
      <c r="BD503"/>
    </row>
    <row r="504" spans="56:56">
      <c r="BD504"/>
    </row>
    <row r="505" spans="56:56">
      <c r="BD505"/>
    </row>
    <row r="506" spans="56:56">
      <c r="BD506"/>
    </row>
    <row r="507" spans="56:56">
      <c r="BD507"/>
    </row>
    <row r="508" spans="56:56">
      <c r="BD508"/>
    </row>
    <row r="509" spans="56:56">
      <c r="BD509"/>
    </row>
    <row r="510" spans="56:56">
      <c r="BD510"/>
    </row>
    <row r="511" spans="56:56">
      <c r="BD511"/>
    </row>
    <row r="512" spans="56:56">
      <c r="BD512"/>
    </row>
    <row r="513" spans="56:56">
      <c r="BD513"/>
    </row>
    <row r="514" spans="56:56">
      <c r="BD514"/>
    </row>
    <row r="515" spans="56:56">
      <c r="BD515"/>
    </row>
    <row r="516" spans="56:56">
      <c r="BD516"/>
    </row>
    <row r="517" spans="56:56">
      <c r="BD517"/>
    </row>
    <row r="518" spans="56:56">
      <c r="BD518"/>
    </row>
    <row r="519" spans="56:56">
      <c r="BD519"/>
    </row>
    <row r="520" spans="56:56">
      <c r="BD520"/>
    </row>
    <row r="521" spans="56:56">
      <c r="BD521"/>
    </row>
    <row r="522" spans="56:56">
      <c r="BD522"/>
    </row>
    <row r="523" spans="56:56">
      <c r="BD523"/>
    </row>
    <row r="524" spans="56:56">
      <c r="BD524"/>
    </row>
    <row r="525" spans="56:56">
      <c r="BD525"/>
    </row>
    <row r="526" spans="56:56">
      <c r="BD526"/>
    </row>
    <row r="527" spans="56:56">
      <c r="BD527"/>
    </row>
    <row r="528" spans="56:56">
      <c r="BD528"/>
    </row>
    <row r="529" spans="56:56">
      <c r="BD529"/>
    </row>
    <row r="530" spans="56:56">
      <c r="BD530"/>
    </row>
    <row r="531" spans="56:56">
      <c r="BD531"/>
    </row>
    <row r="532" spans="56:56">
      <c r="BD532"/>
    </row>
    <row r="533" spans="56:56">
      <c r="BD533"/>
    </row>
    <row r="534" spans="56:56">
      <c r="BD534"/>
    </row>
    <row r="535" spans="56:56">
      <c r="BD535"/>
    </row>
    <row r="536" spans="56:56">
      <c r="BD536"/>
    </row>
    <row r="537" spans="56:56">
      <c r="BD537"/>
    </row>
    <row r="538" spans="56:56">
      <c r="BD538"/>
    </row>
    <row r="539" spans="56:56">
      <c r="BD539"/>
    </row>
    <row r="540" spans="56:56">
      <c r="BD540"/>
    </row>
    <row r="541" spans="56:56">
      <c r="BD541"/>
    </row>
    <row r="542" spans="56:56">
      <c r="BD542"/>
    </row>
    <row r="543" spans="56:56">
      <c r="BD54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C6F0E-ED84-448C-A7D5-67146D97AF3A}">
  <dimension ref="A1:Y70"/>
  <sheetViews>
    <sheetView workbookViewId="0">
      <selection activeCell="C3" sqref="C3"/>
    </sheetView>
  </sheetViews>
  <sheetFormatPr defaultRowHeight="15"/>
  <cols>
    <col min="2" max="2" width="13.42578125" customWidth="1"/>
    <col min="3" max="3" width="14.7109375" bestFit="1" customWidth="1"/>
    <col min="16" max="16" width="11.5703125" customWidth="1"/>
    <col min="21" max="21" width="9.5703125" bestFit="1" customWidth="1"/>
  </cols>
  <sheetData>
    <row r="1" spans="1:21">
      <c r="A1" s="3" t="s">
        <v>135</v>
      </c>
    </row>
    <row r="2" spans="1:21">
      <c r="A2" s="3" t="s">
        <v>136</v>
      </c>
    </row>
    <row r="3" spans="1:21" ht="30">
      <c r="A3" s="5" t="s">
        <v>137</v>
      </c>
      <c r="B3" s="1">
        <f>1758.4*1000</f>
        <v>1758400</v>
      </c>
      <c r="C3" s="10">
        <f>54.87*1000000</f>
        <v>54870000</v>
      </c>
      <c r="D3">
        <f>10.19*42*1000</f>
        <v>427979.99999999994</v>
      </c>
      <c r="E3">
        <f>5.75*42*1000</f>
        <v>241500</v>
      </c>
      <c r="F3">
        <f>9.88*42*1000</f>
        <v>414960.00000000006</v>
      </c>
    </row>
    <row r="4" spans="1:21" ht="23.25">
      <c r="A4" s="4" t="s">
        <v>138</v>
      </c>
    </row>
    <row r="5" spans="1:21" ht="20.25" customHeight="1">
      <c r="A5" s="128" t="s">
        <v>139</v>
      </c>
      <c r="B5" s="128" t="s">
        <v>140</v>
      </c>
      <c r="C5" s="128" t="s">
        <v>141</v>
      </c>
      <c r="D5" s="129" t="s">
        <v>142</v>
      </c>
      <c r="E5" s="129"/>
      <c r="F5" s="129"/>
      <c r="G5" s="61" t="s">
        <v>143</v>
      </c>
      <c r="H5" s="128" t="s">
        <v>144</v>
      </c>
      <c r="I5" s="128" t="s">
        <v>145</v>
      </c>
      <c r="J5" s="128" t="s">
        <v>146</v>
      </c>
      <c r="K5" s="128" t="s">
        <v>147</v>
      </c>
      <c r="L5" s="128" t="s">
        <v>148</v>
      </c>
      <c r="M5" s="129"/>
      <c r="N5" s="128" t="s">
        <v>149</v>
      </c>
      <c r="O5" s="129"/>
    </row>
    <row r="6" spans="1:21" ht="42" customHeight="1">
      <c r="A6" s="129"/>
      <c r="B6" s="129"/>
      <c r="C6" s="129"/>
      <c r="D6" s="91" t="s">
        <v>150</v>
      </c>
      <c r="E6" s="91" t="s">
        <v>151</v>
      </c>
      <c r="F6" s="91" t="s">
        <v>152</v>
      </c>
      <c r="G6" s="128" t="s">
        <v>153</v>
      </c>
      <c r="H6" s="129"/>
      <c r="I6" s="129"/>
      <c r="J6" s="129"/>
      <c r="K6" s="129"/>
      <c r="L6" s="129"/>
      <c r="M6" s="129"/>
      <c r="N6" s="129"/>
      <c r="O6" s="129"/>
      <c r="P6" t="s">
        <v>154</v>
      </c>
      <c r="U6" s="52"/>
    </row>
    <row r="7" spans="1:21" ht="57.75" customHeight="1">
      <c r="A7" s="129"/>
      <c r="B7" s="91" t="s">
        <v>155</v>
      </c>
      <c r="C7" s="91" t="s">
        <v>156</v>
      </c>
      <c r="D7" s="128" t="s">
        <v>157</v>
      </c>
      <c r="E7" s="129"/>
      <c r="F7" s="129"/>
      <c r="G7" s="129"/>
      <c r="H7" s="129"/>
      <c r="I7" s="129"/>
      <c r="J7" s="91" t="s">
        <v>158</v>
      </c>
      <c r="K7" s="129"/>
      <c r="L7" s="129"/>
      <c r="M7" s="129"/>
      <c r="N7" s="129"/>
      <c r="O7" s="129"/>
      <c r="P7" t="s">
        <v>159</v>
      </c>
      <c r="Q7" t="s">
        <v>6</v>
      </c>
      <c r="R7" t="s">
        <v>160</v>
      </c>
      <c r="S7" t="s">
        <v>7</v>
      </c>
      <c r="T7" t="s">
        <v>161</v>
      </c>
      <c r="U7" s="52" t="s">
        <v>162</v>
      </c>
    </row>
    <row r="8" spans="1:21">
      <c r="A8">
        <v>1960</v>
      </c>
      <c r="B8">
        <v>487</v>
      </c>
      <c r="C8">
        <v>45</v>
      </c>
      <c r="D8" s="1">
        <v>34305</v>
      </c>
      <c r="E8">
        <v>631</v>
      </c>
      <c r="F8" s="1">
        <v>4858</v>
      </c>
      <c r="G8" t="s">
        <v>163</v>
      </c>
      <c r="H8" t="s">
        <v>163</v>
      </c>
      <c r="I8" t="s">
        <v>163</v>
      </c>
      <c r="J8" s="1">
        <v>4190</v>
      </c>
      <c r="K8" t="s">
        <v>163</v>
      </c>
      <c r="L8" t="s">
        <v>163</v>
      </c>
      <c r="N8" t="s">
        <v>163</v>
      </c>
      <c r="P8">
        <f t="shared" ref="P8:T9" si="0">+B$3*B8/1000000</f>
        <v>856.34079999999994</v>
      </c>
      <c r="Q8">
        <f t="shared" si="0"/>
        <v>2469.15</v>
      </c>
      <c r="R8">
        <f t="shared" si="0"/>
        <v>14681.853899999998</v>
      </c>
      <c r="S8">
        <f t="shared" si="0"/>
        <v>152.38650000000001</v>
      </c>
      <c r="T8">
        <f t="shared" si="0"/>
        <v>2015.8756800000003</v>
      </c>
      <c r="U8" s="53">
        <f>SUM(P8:T8)/1000</f>
        <v>20.17560688</v>
      </c>
    </row>
    <row r="9" spans="1:21">
      <c r="A9">
        <v>1961</v>
      </c>
      <c r="B9">
        <v>384</v>
      </c>
      <c r="C9">
        <v>50</v>
      </c>
      <c r="D9" s="1">
        <v>35292</v>
      </c>
      <c r="E9">
        <v>560</v>
      </c>
      <c r="F9" s="1">
        <v>4719</v>
      </c>
      <c r="G9" t="s">
        <v>163</v>
      </c>
      <c r="H9" t="s">
        <v>163</v>
      </c>
      <c r="I9" t="s">
        <v>163</v>
      </c>
      <c r="J9" s="1">
        <v>4466</v>
      </c>
      <c r="K9" t="s">
        <v>163</v>
      </c>
      <c r="L9" t="s">
        <v>163</v>
      </c>
      <c r="N9" t="s">
        <v>163</v>
      </c>
      <c r="P9">
        <f t="shared" si="0"/>
        <v>675.22559999999999</v>
      </c>
      <c r="Q9">
        <f t="shared" si="0"/>
        <v>2743.5</v>
      </c>
      <c r="R9">
        <f t="shared" si="0"/>
        <v>15104.270159999998</v>
      </c>
      <c r="S9">
        <f t="shared" si="0"/>
        <v>135.24</v>
      </c>
      <c r="T9">
        <f t="shared" si="0"/>
        <v>1958.1962400000002</v>
      </c>
      <c r="U9" s="53">
        <f t="shared" ref="U9:U69" si="1">SUM(P9:T9)/1000</f>
        <v>20.616432</v>
      </c>
    </row>
    <row r="10" spans="1:21">
      <c r="A10">
        <v>1962</v>
      </c>
      <c r="B10">
        <v>368</v>
      </c>
      <c r="C10">
        <v>54</v>
      </c>
      <c r="D10" s="1">
        <v>36192</v>
      </c>
      <c r="E10">
        <v>676</v>
      </c>
      <c r="F10" s="1">
        <v>4587</v>
      </c>
      <c r="G10" t="s">
        <v>163</v>
      </c>
      <c r="H10" t="s">
        <v>163</v>
      </c>
      <c r="I10" t="s">
        <v>163</v>
      </c>
      <c r="J10" s="1">
        <v>4718</v>
      </c>
      <c r="K10" t="s">
        <v>163</v>
      </c>
      <c r="L10" t="s">
        <v>163</v>
      </c>
      <c r="N10" t="s">
        <v>163</v>
      </c>
      <c r="P10">
        <f t="shared" ref="P10:P69" si="2">+B$3*B10/1000000</f>
        <v>647.09119999999996</v>
      </c>
      <c r="Q10">
        <f t="shared" ref="Q10:Q69" si="3">+C$3*C10/1000000</f>
        <v>2962.98</v>
      </c>
      <c r="R10">
        <f t="shared" ref="R10:R69" si="4">+D$3*D10/1000000</f>
        <v>15489.452159999999</v>
      </c>
      <c r="S10">
        <f t="shared" ref="S10:S69" si="5">+E$3*E10/1000000</f>
        <v>163.25399999999999</v>
      </c>
      <c r="T10">
        <f t="shared" ref="T10:T69" si="6">+F$3*F10/1000000</f>
        <v>1903.4215200000003</v>
      </c>
      <c r="U10" s="53">
        <f t="shared" si="1"/>
        <v>21.16619888</v>
      </c>
    </row>
    <row r="11" spans="1:21">
      <c r="A11">
        <v>1963</v>
      </c>
      <c r="B11">
        <v>271</v>
      </c>
      <c r="C11">
        <v>58</v>
      </c>
      <c r="D11" s="1">
        <v>34276</v>
      </c>
      <c r="E11">
        <v>696</v>
      </c>
      <c r="F11" s="1">
        <v>4087</v>
      </c>
      <c r="G11" t="s">
        <v>163</v>
      </c>
      <c r="H11" t="s">
        <v>163</v>
      </c>
      <c r="I11" t="s">
        <v>163</v>
      </c>
      <c r="J11" s="1">
        <v>5030</v>
      </c>
      <c r="K11" t="s">
        <v>163</v>
      </c>
      <c r="L11" t="s">
        <v>163</v>
      </c>
      <c r="N11" t="s">
        <v>163</v>
      </c>
      <c r="P11">
        <f t="shared" si="2"/>
        <v>476.52640000000002</v>
      </c>
      <c r="Q11">
        <f t="shared" si="3"/>
        <v>3182.46</v>
      </c>
      <c r="R11">
        <f t="shared" si="4"/>
        <v>14669.442479999998</v>
      </c>
      <c r="S11">
        <f t="shared" si="5"/>
        <v>168.084</v>
      </c>
      <c r="T11">
        <f t="shared" si="6"/>
        <v>1695.9415200000003</v>
      </c>
      <c r="U11" s="53">
        <f t="shared" si="1"/>
        <v>20.192454399999999</v>
      </c>
    </row>
    <row r="12" spans="1:21">
      <c r="A12">
        <v>1964</v>
      </c>
      <c r="B12">
        <v>256</v>
      </c>
      <c r="C12">
        <v>62</v>
      </c>
      <c r="D12" s="1">
        <v>33151</v>
      </c>
      <c r="E12">
        <v>696</v>
      </c>
      <c r="F12" s="1">
        <v>3270</v>
      </c>
      <c r="G12" t="s">
        <v>163</v>
      </c>
      <c r="H12" t="s">
        <v>163</v>
      </c>
      <c r="I12" t="s">
        <v>163</v>
      </c>
      <c r="J12" s="1">
        <v>5361</v>
      </c>
      <c r="K12" t="s">
        <v>163</v>
      </c>
      <c r="L12" t="s">
        <v>163</v>
      </c>
      <c r="N12" t="s">
        <v>163</v>
      </c>
      <c r="P12">
        <f t="shared" si="2"/>
        <v>450.15039999999999</v>
      </c>
      <c r="Q12">
        <f t="shared" si="3"/>
        <v>3401.94</v>
      </c>
      <c r="R12">
        <f t="shared" si="4"/>
        <v>14187.964979999999</v>
      </c>
      <c r="S12">
        <f t="shared" si="5"/>
        <v>168.084</v>
      </c>
      <c r="T12">
        <f t="shared" si="6"/>
        <v>1356.9192000000003</v>
      </c>
      <c r="U12" s="53">
        <f t="shared" si="1"/>
        <v>19.565058579999999</v>
      </c>
    </row>
    <row r="13" spans="1:21">
      <c r="A13">
        <v>1965</v>
      </c>
      <c r="B13">
        <v>210</v>
      </c>
      <c r="C13">
        <v>65</v>
      </c>
      <c r="D13" s="1">
        <v>37082</v>
      </c>
      <c r="E13">
        <v>777</v>
      </c>
      <c r="F13" s="1">
        <v>2682</v>
      </c>
      <c r="G13" t="s">
        <v>163</v>
      </c>
      <c r="H13" t="s">
        <v>163</v>
      </c>
      <c r="I13" t="s">
        <v>163</v>
      </c>
      <c r="J13" s="1">
        <v>5766</v>
      </c>
      <c r="K13" t="s">
        <v>163</v>
      </c>
      <c r="L13" t="s">
        <v>163</v>
      </c>
      <c r="N13" t="s">
        <v>163</v>
      </c>
      <c r="P13">
        <f t="shared" si="2"/>
        <v>369.26400000000001</v>
      </c>
      <c r="Q13">
        <f t="shared" si="3"/>
        <v>3566.55</v>
      </c>
      <c r="R13">
        <f t="shared" si="4"/>
        <v>15870.354359999998</v>
      </c>
      <c r="S13">
        <f t="shared" si="5"/>
        <v>187.6455</v>
      </c>
      <c r="T13">
        <f t="shared" si="6"/>
        <v>1112.9227200000003</v>
      </c>
      <c r="U13" s="53">
        <f t="shared" si="1"/>
        <v>21.106736579999993</v>
      </c>
    </row>
    <row r="14" spans="1:21">
      <c r="A14">
        <v>1966</v>
      </c>
      <c r="B14">
        <v>190</v>
      </c>
      <c r="C14">
        <v>66</v>
      </c>
      <c r="D14" s="1">
        <v>33128</v>
      </c>
      <c r="E14">
        <v>681</v>
      </c>
      <c r="F14" s="1">
        <v>1905</v>
      </c>
      <c r="G14" t="s">
        <v>163</v>
      </c>
      <c r="H14" t="s">
        <v>163</v>
      </c>
      <c r="I14" t="s">
        <v>163</v>
      </c>
      <c r="J14" s="1">
        <v>6222</v>
      </c>
      <c r="K14" t="s">
        <v>163</v>
      </c>
      <c r="L14" t="s">
        <v>163</v>
      </c>
      <c r="N14" t="s">
        <v>163</v>
      </c>
      <c r="P14">
        <f t="shared" si="2"/>
        <v>334.096</v>
      </c>
      <c r="Q14">
        <f t="shared" si="3"/>
        <v>3621.42</v>
      </c>
      <c r="R14">
        <f t="shared" si="4"/>
        <v>14178.121439999999</v>
      </c>
      <c r="S14">
        <f t="shared" si="5"/>
        <v>164.4615</v>
      </c>
      <c r="T14">
        <f t="shared" si="6"/>
        <v>790.49880000000007</v>
      </c>
      <c r="U14" s="53">
        <f t="shared" si="1"/>
        <v>19.088597740000001</v>
      </c>
    </row>
    <row r="15" spans="1:21">
      <c r="A15">
        <v>1967</v>
      </c>
      <c r="B15">
        <v>173</v>
      </c>
      <c r="C15">
        <v>73</v>
      </c>
      <c r="D15" s="1">
        <v>35775</v>
      </c>
      <c r="E15">
        <v>683</v>
      </c>
      <c r="F15" s="1">
        <v>1635</v>
      </c>
      <c r="G15" t="s">
        <v>163</v>
      </c>
      <c r="H15" t="s">
        <v>163</v>
      </c>
      <c r="I15" t="s">
        <v>163</v>
      </c>
      <c r="J15" s="1">
        <v>6929</v>
      </c>
      <c r="K15" t="s">
        <v>163</v>
      </c>
      <c r="L15" t="s">
        <v>163</v>
      </c>
      <c r="N15" t="s">
        <v>163</v>
      </c>
      <c r="P15">
        <f t="shared" si="2"/>
        <v>304.20319999999998</v>
      </c>
      <c r="Q15">
        <f t="shared" si="3"/>
        <v>4005.51</v>
      </c>
      <c r="R15">
        <f t="shared" si="4"/>
        <v>15310.984499999999</v>
      </c>
      <c r="S15">
        <f t="shared" si="5"/>
        <v>164.94450000000001</v>
      </c>
      <c r="T15">
        <f t="shared" si="6"/>
        <v>678.45960000000014</v>
      </c>
      <c r="U15" s="53">
        <f t="shared" si="1"/>
        <v>20.464101799999998</v>
      </c>
    </row>
    <row r="16" spans="1:21">
      <c r="A16">
        <v>1968</v>
      </c>
      <c r="B16">
        <v>163</v>
      </c>
      <c r="C16">
        <v>75</v>
      </c>
      <c r="D16" s="1">
        <v>36820</v>
      </c>
      <c r="E16">
        <v>733</v>
      </c>
      <c r="F16" s="1">
        <v>1415</v>
      </c>
      <c r="G16" t="s">
        <v>163</v>
      </c>
      <c r="H16" t="s">
        <v>163</v>
      </c>
      <c r="I16" t="s">
        <v>163</v>
      </c>
      <c r="J16" s="1">
        <v>7578</v>
      </c>
      <c r="K16" t="s">
        <v>163</v>
      </c>
      <c r="L16" t="s">
        <v>163</v>
      </c>
      <c r="N16" t="s">
        <v>163</v>
      </c>
      <c r="P16">
        <f t="shared" si="2"/>
        <v>286.61919999999998</v>
      </c>
      <c r="Q16">
        <f t="shared" si="3"/>
        <v>4115.25</v>
      </c>
      <c r="R16">
        <f t="shared" si="4"/>
        <v>15758.223599999998</v>
      </c>
      <c r="S16">
        <f t="shared" si="5"/>
        <v>177.01949999999999</v>
      </c>
      <c r="T16">
        <f t="shared" si="6"/>
        <v>587.16840000000013</v>
      </c>
      <c r="U16" s="53">
        <f t="shared" si="1"/>
        <v>20.924280699999997</v>
      </c>
    </row>
    <row r="17" spans="1:21">
      <c r="A17">
        <v>1969</v>
      </c>
      <c r="B17">
        <v>126</v>
      </c>
      <c r="C17">
        <v>78</v>
      </c>
      <c r="D17" s="1">
        <v>37934</v>
      </c>
      <c r="E17">
        <v>821</v>
      </c>
      <c r="F17" s="1">
        <v>1420</v>
      </c>
      <c r="G17" t="s">
        <v>163</v>
      </c>
      <c r="H17" t="s">
        <v>163</v>
      </c>
      <c r="I17" t="s">
        <v>163</v>
      </c>
      <c r="J17" s="1">
        <v>8406</v>
      </c>
      <c r="K17" t="s">
        <v>163</v>
      </c>
      <c r="L17" t="s">
        <v>163</v>
      </c>
      <c r="N17" t="s">
        <v>163</v>
      </c>
      <c r="P17">
        <f t="shared" si="2"/>
        <v>221.55840000000001</v>
      </c>
      <c r="Q17">
        <f t="shared" si="3"/>
        <v>4279.8599999999997</v>
      </c>
      <c r="R17">
        <f t="shared" si="4"/>
        <v>16234.993319999998</v>
      </c>
      <c r="S17">
        <f t="shared" si="5"/>
        <v>198.2715</v>
      </c>
      <c r="T17">
        <f t="shared" si="6"/>
        <v>589.24320000000012</v>
      </c>
      <c r="U17" s="53">
        <f t="shared" si="1"/>
        <v>21.523926419999995</v>
      </c>
    </row>
    <row r="18" spans="1:21">
      <c r="A18">
        <v>1970</v>
      </c>
      <c r="B18">
        <v>104</v>
      </c>
      <c r="C18">
        <v>83</v>
      </c>
      <c r="D18" s="1">
        <v>38530</v>
      </c>
      <c r="E18">
        <v>784</v>
      </c>
      <c r="F18" s="1">
        <v>1434</v>
      </c>
      <c r="G18" t="s">
        <v>163</v>
      </c>
      <c r="H18" t="s">
        <v>163</v>
      </c>
      <c r="I18" t="s">
        <v>163</v>
      </c>
      <c r="J18" s="1">
        <v>9335</v>
      </c>
      <c r="K18" t="s">
        <v>163</v>
      </c>
      <c r="L18" t="s">
        <v>163</v>
      </c>
      <c r="N18" t="s">
        <v>163</v>
      </c>
      <c r="P18">
        <f t="shared" si="2"/>
        <v>182.87360000000001</v>
      </c>
      <c r="Q18">
        <f t="shared" si="3"/>
        <v>4554.21</v>
      </c>
      <c r="R18">
        <f t="shared" si="4"/>
        <v>16490.069399999997</v>
      </c>
      <c r="S18">
        <f t="shared" si="5"/>
        <v>189.33600000000001</v>
      </c>
      <c r="T18">
        <f t="shared" si="6"/>
        <v>595.05264000000011</v>
      </c>
      <c r="U18" s="53">
        <f t="shared" si="1"/>
        <v>22.011541640000001</v>
      </c>
    </row>
    <row r="19" spans="1:21">
      <c r="A19">
        <v>1971</v>
      </c>
      <c r="B19">
        <v>83</v>
      </c>
      <c r="C19">
        <v>83</v>
      </c>
      <c r="D19" s="1">
        <v>40113</v>
      </c>
      <c r="E19">
        <v>792</v>
      </c>
      <c r="F19" s="1">
        <v>1427</v>
      </c>
      <c r="G19" t="s">
        <v>163</v>
      </c>
      <c r="H19" t="s">
        <v>163</v>
      </c>
      <c r="I19" t="s">
        <v>163</v>
      </c>
      <c r="J19" s="1">
        <v>10200</v>
      </c>
      <c r="K19" t="s">
        <v>163</v>
      </c>
      <c r="L19" t="s">
        <v>163</v>
      </c>
      <c r="N19" t="s">
        <v>163</v>
      </c>
      <c r="P19">
        <f t="shared" si="2"/>
        <v>145.94720000000001</v>
      </c>
      <c r="Q19">
        <f t="shared" si="3"/>
        <v>4554.21</v>
      </c>
      <c r="R19">
        <f t="shared" si="4"/>
        <v>17167.561739999997</v>
      </c>
      <c r="S19">
        <f t="shared" si="5"/>
        <v>191.268</v>
      </c>
      <c r="T19">
        <f t="shared" si="6"/>
        <v>592.14792000000011</v>
      </c>
      <c r="U19" s="53">
        <f t="shared" si="1"/>
        <v>22.651134859999999</v>
      </c>
    </row>
    <row r="20" spans="1:21">
      <c r="A20">
        <v>1972</v>
      </c>
      <c r="B20">
        <v>56</v>
      </c>
      <c r="C20">
        <v>86</v>
      </c>
      <c r="D20" s="1">
        <v>41406</v>
      </c>
      <c r="E20">
        <v>880</v>
      </c>
      <c r="F20" s="1">
        <v>1512</v>
      </c>
      <c r="G20" t="s">
        <v>163</v>
      </c>
      <c r="H20" t="s">
        <v>163</v>
      </c>
      <c r="I20" t="s">
        <v>163</v>
      </c>
      <c r="J20" s="1">
        <v>10965</v>
      </c>
      <c r="K20" t="s">
        <v>163</v>
      </c>
      <c r="L20" t="s">
        <v>163</v>
      </c>
      <c r="N20" t="s">
        <v>163</v>
      </c>
      <c r="P20">
        <f t="shared" si="2"/>
        <v>98.470399999999998</v>
      </c>
      <c r="Q20">
        <f t="shared" si="3"/>
        <v>4718.82</v>
      </c>
      <c r="R20">
        <f t="shared" si="4"/>
        <v>17720.939879999994</v>
      </c>
      <c r="S20">
        <f t="shared" si="5"/>
        <v>212.52</v>
      </c>
      <c r="T20">
        <f t="shared" si="6"/>
        <v>627.41952000000015</v>
      </c>
      <c r="U20" s="53">
        <f t="shared" si="1"/>
        <v>23.378169799999995</v>
      </c>
    </row>
    <row r="21" spans="1:21">
      <c r="A21">
        <v>1973</v>
      </c>
      <c r="B21">
        <v>52</v>
      </c>
      <c r="C21">
        <v>84</v>
      </c>
      <c r="D21" s="1">
        <v>41628</v>
      </c>
      <c r="E21">
        <v>810</v>
      </c>
      <c r="F21" s="1">
        <v>1041</v>
      </c>
      <c r="G21" t="s">
        <v>163</v>
      </c>
      <c r="H21" t="s">
        <v>163</v>
      </c>
      <c r="I21" t="s">
        <v>163</v>
      </c>
      <c r="J21" s="1">
        <v>11715</v>
      </c>
      <c r="K21" t="s">
        <v>163</v>
      </c>
      <c r="L21" t="s">
        <v>163</v>
      </c>
      <c r="N21" t="s">
        <v>163</v>
      </c>
      <c r="P21">
        <f t="shared" si="2"/>
        <v>91.436800000000005</v>
      </c>
      <c r="Q21">
        <f t="shared" si="3"/>
        <v>4609.08</v>
      </c>
      <c r="R21">
        <f t="shared" si="4"/>
        <v>17815.951439999997</v>
      </c>
      <c r="S21">
        <f t="shared" si="5"/>
        <v>195.61500000000001</v>
      </c>
      <c r="T21">
        <f t="shared" si="6"/>
        <v>431.97336000000007</v>
      </c>
      <c r="U21" s="53">
        <f t="shared" si="1"/>
        <v>23.144056599999999</v>
      </c>
    </row>
    <row r="22" spans="1:21">
      <c r="A22">
        <v>1974</v>
      </c>
      <c r="B22">
        <v>42</v>
      </c>
      <c r="C22">
        <v>85</v>
      </c>
      <c r="D22" s="1">
        <v>39084</v>
      </c>
      <c r="E22">
        <v>795</v>
      </c>
      <c r="F22">
        <v>637</v>
      </c>
      <c r="G22" t="s">
        <v>163</v>
      </c>
      <c r="H22" t="s">
        <v>163</v>
      </c>
      <c r="I22" t="s">
        <v>163</v>
      </c>
      <c r="J22" s="1">
        <v>11443</v>
      </c>
      <c r="K22" t="s">
        <v>163</v>
      </c>
      <c r="L22" t="s">
        <v>163</v>
      </c>
      <c r="N22" t="s">
        <v>163</v>
      </c>
      <c r="P22">
        <f t="shared" si="2"/>
        <v>73.852800000000002</v>
      </c>
      <c r="Q22">
        <f t="shared" si="3"/>
        <v>4663.95</v>
      </c>
      <c r="R22">
        <f t="shared" si="4"/>
        <v>16727.170319999997</v>
      </c>
      <c r="S22">
        <f t="shared" si="5"/>
        <v>191.99250000000001</v>
      </c>
      <c r="T22">
        <f t="shared" si="6"/>
        <v>264.32952</v>
      </c>
      <c r="U22" s="53">
        <f t="shared" si="1"/>
        <v>21.921295139999994</v>
      </c>
    </row>
    <row r="23" spans="1:21">
      <c r="A23">
        <v>1975</v>
      </c>
      <c r="B23">
        <v>30</v>
      </c>
      <c r="C23">
        <v>90</v>
      </c>
      <c r="D23" s="1">
        <v>37860</v>
      </c>
      <c r="E23">
        <v>845</v>
      </c>
      <c r="F23">
        <v>591</v>
      </c>
      <c r="G23" t="s">
        <v>163</v>
      </c>
      <c r="H23" t="s">
        <v>163</v>
      </c>
      <c r="I23" t="s">
        <v>163</v>
      </c>
      <c r="J23" s="1">
        <v>10648</v>
      </c>
      <c r="K23" t="s">
        <v>163</v>
      </c>
      <c r="L23" t="s">
        <v>163</v>
      </c>
      <c r="N23" t="s">
        <v>163</v>
      </c>
      <c r="P23">
        <f t="shared" si="2"/>
        <v>52.752000000000002</v>
      </c>
      <c r="Q23">
        <f t="shared" si="3"/>
        <v>4938.3</v>
      </c>
      <c r="R23">
        <f t="shared" si="4"/>
        <v>16203.322799999998</v>
      </c>
      <c r="S23">
        <f t="shared" si="5"/>
        <v>204.0675</v>
      </c>
      <c r="T23">
        <f t="shared" si="6"/>
        <v>245.24136000000004</v>
      </c>
      <c r="U23" s="53">
        <f t="shared" si="1"/>
        <v>21.643683659999997</v>
      </c>
    </row>
    <row r="24" spans="1:21">
      <c r="A24">
        <v>1976</v>
      </c>
      <c r="B24">
        <v>28</v>
      </c>
      <c r="C24">
        <v>95</v>
      </c>
      <c r="D24" s="1">
        <v>41000</v>
      </c>
      <c r="E24">
        <v>893</v>
      </c>
      <c r="F24">
        <v>644</v>
      </c>
      <c r="G24" t="s">
        <v>163</v>
      </c>
      <c r="H24" t="s">
        <v>163</v>
      </c>
      <c r="I24" t="s">
        <v>163</v>
      </c>
      <c r="J24" s="1">
        <v>11227</v>
      </c>
      <c r="K24" t="s">
        <v>163</v>
      </c>
      <c r="L24" t="s">
        <v>163</v>
      </c>
      <c r="N24" t="s">
        <v>163</v>
      </c>
      <c r="P24">
        <f t="shared" si="2"/>
        <v>49.235199999999999</v>
      </c>
      <c r="Q24">
        <f t="shared" si="3"/>
        <v>5212.6499999999996</v>
      </c>
      <c r="R24">
        <f t="shared" si="4"/>
        <v>17547.179999999997</v>
      </c>
      <c r="S24">
        <f t="shared" si="5"/>
        <v>215.65950000000001</v>
      </c>
      <c r="T24">
        <f t="shared" si="6"/>
        <v>267.23424000000006</v>
      </c>
      <c r="U24" s="53">
        <f t="shared" si="1"/>
        <v>23.291958940000001</v>
      </c>
    </row>
    <row r="25" spans="1:21">
      <c r="A25">
        <v>1977</v>
      </c>
      <c r="B25">
        <v>26</v>
      </c>
      <c r="C25">
        <v>93</v>
      </c>
      <c r="D25" s="1">
        <v>39889</v>
      </c>
      <c r="E25">
        <v>988</v>
      </c>
      <c r="F25">
        <v>672</v>
      </c>
      <c r="G25" t="s">
        <v>163</v>
      </c>
      <c r="H25" t="s">
        <v>163</v>
      </c>
      <c r="I25" t="s">
        <v>163</v>
      </c>
      <c r="J25" s="1">
        <v>11089</v>
      </c>
      <c r="K25" t="s">
        <v>163</v>
      </c>
      <c r="L25" t="s">
        <v>163</v>
      </c>
      <c r="N25" t="s">
        <v>163</v>
      </c>
      <c r="P25">
        <f t="shared" si="2"/>
        <v>45.718400000000003</v>
      </c>
      <c r="Q25">
        <f t="shared" si="3"/>
        <v>5102.91</v>
      </c>
      <c r="R25">
        <f t="shared" si="4"/>
        <v>17071.694219999998</v>
      </c>
      <c r="S25">
        <f t="shared" si="5"/>
        <v>238.602</v>
      </c>
      <c r="T25">
        <f t="shared" si="6"/>
        <v>278.85312000000005</v>
      </c>
      <c r="U25" s="53">
        <f t="shared" si="1"/>
        <v>22.737777739999999</v>
      </c>
    </row>
    <row r="26" spans="1:21">
      <c r="A26">
        <v>1978</v>
      </c>
      <c r="B26">
        <v>15</v>
      </c>
      <c r="C26">
        <v>87</v>
      </c>
      <c r="D26" s="1">
        <v>38110</v>
      </c>
      <c r="E26">
        <v>949</v>
      </c>
      <c r="F26">
        <v>456</v>
      </c>
      <c r="G26" t="s">
        <v>163</v>
      </c>
      <c r="H26" t="s">
        <v>163</v>
      </c>
      <c r="I26" t="s">
        <v>163</v>
      </c>
      <c r="J26" s="1">
        <v>11242</v>
      </c>
      <c r="K26" t="s">
        <v>163</v>
      </c>
      <c r="L26" t="s">
        <v>163</v>
      </c>
      <c r="N26" t="s">
        <v>163</v>
      </c>
      <c r="P26">
        <f t="shared" si="2"/>
        <v>26.376000000000001</v>
      </c>
      <c r="Q26">
        <f t="shared" si="3"/>
        <v>4773.6899999999996</v>
      </c>
      <c r="R26">
        <f t="shared" si="4"/>
        <v>16310.317799999999</v>
      </c>
      <c r="S26">
        <f t="shared" si="5"/>
        <v>229.18350000000001</v>
      </c>
      <c r="T26">
        <f t="shared" si="6"/>
        <v>189.22176000000002</v>
      </c>
      <c r="U26" s="53">
        <f t="shared" si="1"/>
        <v>21.528789059999998</v>
      </c>
    </row>
    <row r="27" spans="1:21">
      <c r="A27">
        <v>1979</v>
      </c>
      <c r="B27">
        <v>11</v>
      </c>
      <c r="C27">
        <v>81</v>
      </c>
      <c r="D27" s="1">
        <v>26272</v>
      </c>
      <c r="E27">
        <v>542</v>
      </c>
      <c r="F27">
        <v>433</v>
      </c>
      <c r="G27" t="s">
        <v>163</v>
      </c>
      <c r="H27" t="s">
        <v>163</v>
      </c>
      <c r="I27" t="s">
        <v>163</v>
      </c>
      <c r="J27" s="1">
        <v>11422</v>
      </c>
      <c r="K27" t="s">
        <v>163</v>
      </c>
      <c r="L27" t="s">
        <v>163</v>
      </c>
      <c r="N27" t="s">
        <v>163</v>
      </c>
      <c r="P27">
        <f t="shared" si="2"/>
        <v>19.342400000000001</v>
      </c>
      <c r="Q27">
        <f t="shared" si="3"/>
        <v>4444.47</v>
      </c>
      <c r="R27">
        <f t="shared" si="4"/>
        <v>11243.890559999998</v>
      </c>
      <c r="S27">
        <f t="shared" si="5"/>
        <v>130.893</v>
      </c>
      <c r="T27">
        <f t="shared" si="6"/>
        <v>179.67768000000004</v>
      </c>
      <c r="U27" s="53">
        <f t="shared" si="1"/>
        <v>16.01827364</v>
      </c>
    </row>
    <row r="28" spans="1:21">
      <c r="A28">
        <v>1980</v>
      </c>
      <c r="B28">
        <v>21</v>
      </c>
      <c r="C28">
        <v>94</v>
      </c>
      <c r="D28" s="1">
        <v>22712</v>
      </c>
      <c r="E28">
        <v>567</v>
      </c>
      <c r="F28">
        <v>323</v>
      </c>
      <c r="G28" t="s">
        <v>163</v>
      </c>
      <c r="H28" t="s">
        <v>163</v>
      </c>
      <c r="I28" t="s">
        <v>163</v>
      </c>
      <c r="J28" s="1">
        <v>11571</v>
      </c>
      <c r="K28" t="s">
        <v>163</v>
      </c>
      <c r="L28" t="s">
        <v>163</v>
      </c>
      <c r="N28" t="s">
        <v>163</v>
      </c>
      <c r="P28">
        <f t="shared" si="2"/>
        <v>36.926400000000001</v>
      </c>
      <c r="Q28">
        <f t="shared" si="3"/>
        <v>5157.78</v>
      </c>
      <c r="R28">
        <f t="shared" si="4"/>
        <v>9720.281759999998</v>
      </c>
      <c r="S28">
        <f t="shared" si="5"/>
        <v>136.93049999999999</v>
      </c>
      <c r="T28">
        <f t="shared" si="6"/>
        <v>134.03208000000001</v>
      </c>
      <c r="U28" s="53">
        <f t="shared" si="1"/>
        <v>15.185950739999999</v>
      </c>
    </row>
    <row r="29" spans="1:21">
      <c r="A29">
        <v>1981</v>
      </c>
      <c r="B29">
        <v>23</v>
      </c>
      <c r="C29">
        <v>97</v>
      </c>
      <c r="D29" s="1">
        <v>18702</v>
      </c>
      <c r="E29">
        <v>599</v>
      </c>
      <c r="F29">
        <v>181</v>
      </c>
      <c r="G29" t="s">
        <v>163</v>
      </c>
      <c r="H29" t="s">
        <v>163</v>
      </c>
      <c r="I29" t="s">
        <v>163</v>
      </c>
      <c r="J29" s="1">
        <v>11684</v>
      </c>
      <c r="K29" t="s">
        <v>163</v>
      </c>
      <c r="L29" t="s">
        <v>163</v>
      </c>
      <c r="N29" t="s">
        <v>163</v>
      </c>
      <c r="P29">
        <f t="shared" si="2"/>
        <v>40.443199999999997</v>
      </c>
      <c r="Q29">
        <f t="shared" si="3"/>
        <v>5322.39</v>
      </c>
      <c r="R29">
        <f t="shared" si="4"/>
        <v>8004.0819599999986</v>
      </c>
      <c r="S29">
        <f t="shared" si="5"/>
        <v>144.6585</v>
      </c>
      <c r="T29">
        <f t="shared" si="6"/>
        <v>75.107760000000013</v>
      </c>
      <c r="U29" s="53">
        <f t="shared" si="1"/>
        <v>13.58668142</v>
      </c>
    </row>
    <row r="30" spans="1:21">
      <c r="A30">
        <v>1982</v>
      </c>
      <c r="B30">
        <v>26</v>
      </c>
      <c r="C30">
        <v>98</v>
      </c>
      <c r="D30" s="1">
        <v>18086</v>
      </c>
      <c r="E30">
        <v>599</v>
      </c>
      <c r="F30">
        <v>510</v>
      </c>
      <c r="G30" t="s">
        <v>163</v>
      </c>
      <c r="H30" t="s">
        <v>163</v>
      </c>
      <c r="I30" t="s">
        <v>163</v>
      </c>
      <c r="J30" s="1">
        <v>11986</v>
      </c>
      <c r="K30" t="s">
        <v>163</v>
      </c>
      <c r="L30" t="s">
        <v>163</v>
      </c>
      <c r="N30" t="s">
        <v>163</v>
      </c>
      <c r="P30">
        <f t="shared" si="2"/>
        <v>45.718400000000003</v>
      </c>
      <c r="Q30">
        <f t="shared" si="3"/>
        <v>5377.26</v>
      </c>
      <c r="R30">
        <f t="shared" si="4"/>
        <v>7740.4462799999992</v>
      </c>
      <c r="S30">
        <f t="shared" si="5"/>
        <v>144.6585</v>
      </c>
      <c r="T30">
        <f t="shared" si="6"/>
        <v>211.62960000000004</v>
      </c>
      <c r="U30" s="53">
        <f t="shared" si="1"/>
        <v>13.519712779999999</v>
      </c>
    </row>
    <row r="31" spans="1:21">
      <c r="A31">
        <v>1983</v>
      </c>
      <c r="B31">
        <v>22</v>
      </c>
      <c r="C31">
        <v>92</v>
      </c>
      <c r="D31" s="1">
        <v>17563</v>
      </c>
      <c r="E31">
        <v>712</v>
      </c>
      <c r="F31">
        <v>164</v>
      </c>
      <c r="G31" t="s">
        <v>163</v>
      </c>
      <c r="H31" t="s">
        <v>163</v>
      </c>
      <c r="I31" t="s">
        <v>163</v>
      </c>
      <c r="J31" s="1">
        <v>12436</v>
      </c>
      <c r="K31" t="s">
        <v>163</v>
      </c>
      <c r="L31" t="s">
        <v>163</v>
      </c>
      <c r="N31" t="s">
        <v>163</v>
      </c>
      <c r="P31">
        <f t="shared" si="2"/>
        <v>38.684800000000003</v>
      </c>
      <c r="Q31">
        <f t="shared" si="3"/>
        <v>5048.04</v>
      </c>
      <c r="R31">
        <f t="shared" si="4"/>
        <v>7516.6127399999987</v>
      </c>
      <c r="S31">
        <f t="shared" si="5"/>
        <v>171.94800000000001</v>
      </c>
      <c r="T31">
        <f t="shared" si="6"/>
        <v>68.053440000000009</v>
      </c>
      <c r="U31" s="53">
        <f t="shared" si="1"/>
        <v>12.843338979999999</v>
      </c>
    </row>
    <row r="32" spans="1:21">
      <c r="A32">
        <v>1984</v>
      </c>
      <c r="B32">
        <v>41</v>
      </c>
      <c r="C32">
        <v>97</v>
      </c>
      <c r="D32" s="1">
        <v>20657</v>
      </c>
      <c r="E32">
        <v>722</v>
      </c>
      <c r="F32">
        <v>684</v>
      </c>
      <c r="G32" t="s">
        <v>163</v>
      </c>
      <c r="H32" t="s">
        <v>163</v>
      </c>
      <c r="I32" t="s">
        <v>163</v>
      </c>
      <c r="J32" s="1">
        <v>12702</v>
      </c>
      <c r="K32" t="s">
        <v>163</v>
      </c>
      <c r="L32" t="s">
        <v>163</v>
      </c>
      <c r="N32" t="s">
        <v>163</v>
      </c>
      <c r="P32">
        <f t="shared" si="2"/>
        <v>72.094399999999993</v>
      </c>
      <c r="Q32">
        <f t="shared" si="3"/>
        <v>5322.39</v>
      </c>
      <c r="R32">
        <f t="shared" si="4"/>
        <v>8840.7828599999975</v>
      </c>
      <c r="S32">
        <f t="shared" si="5"/>
        <v>174.363</v>
      </c>
      <c r="T32">
        <f t="shared" si="6"/>
        <v>283.83264000000008</v>
      </c>
      <c r="U32" s="53">
        <f t="shared" si="1"/>
        <v>14.693462899999997</v>
      </c>
    </row>
    <row r="33" spans="1:25">
      <c r="A33">
        <v>1985</v>
      </c>
      <c r="B33">
        <v>30</v>
      </c>
      <c r="C33">
        <v>98</v>
      </c>
      <c r="D33" s="1">
        <v>20064</v>
      </c>
      <c r="E33">
        <v>858</v>
      </c>
      <c r="F33">
        <v>577</v>
      </c>
      <c r="G33" t="s">
        <v>163</v>
      </c>
      <c r="H33" t="s">
        <v>163</v>
      </c>
      <c r="I33" t="s">
        <v>163</v>
      </c>
      <c r="J33" s="1">
        <v>12907</v>
      </c>
      <c r="K33" t="s">
        <v>163</v>
      </c>
      <c r="L33" t="s">
        <v>163</v>
      </c>
      <c r="N33" t="s">
        <v>163</v>
      </c>
      <c r="P33">
        <f t="shared" si="2"/>
        <v>52.752000000000002</v>
      </c>
      <c r="Q33">
        <f t="shared" si="3"/>
        <v>5377.26</v>
      </c>
      <c r="R33">
        <f t="shared" si="4"/>
        <v>8586.9907199999998</v>
      </c>
      <c r="S33">
        <f t="shared" si="5"/>
        <v>207.20699999999999</v>
      </c>
      <c r="T33">
        <f t="shared" si="6"/>
        <v>239.43192000000002</v>
      </c>
      <c r="U33" s="53">
        <f t="shared" si="1"/>
        <v>14.463641640000002</v>
      </c>
    </row>
    <row r="34" spans="1:25">
      <c r="A34">
        <v>1986</v>
      </c>
      <c r="B34">
        <v>18</v>
      </c>
      <c r="C34">
        <v>102</v>
      </c>
      <c r="D34" s="1">
        <v>20615</v>
      </c>
      <c r="E34">
        <v>955</v>
      </c>
      <c r="F34">
        <v>501</v>
      </c>
      <c r="G34" t="s">
        <v>163</v>
      </c>
      <c r="H34" t="s">
        <v>163</v>
      </c>
      <c r="I34" t="s">
        <v>163</v>
      </c>
      <c r="J34" s="1">
        <v>13608</v>
      </c>
      <c r="K34" t="s">
        <v>163</v>
      </c>
      <c r="L34" t="s">
        <v>163</v>
      </c>
      <c r="N34" t="s">
        <v>163</v>
      </c>
      <c r="P34">
        <f t="shared" si="2"/>
        <v>31.651199999999999</v>
      </c>
      <c r="Q34">
        <f t="shared" si="3"/>
        <v>5596.74</v>
      </c>
      <c r="R34">
        <f t="shared" si="4"/>
        <v>8822.8076999999976</v>
      </c>
      <c r="S34">
        <f t="shared" si="5"/>
        <v>230.63249999999999</v>
      </c>
      <c r="T34">
        <f t="shared" si="6"/>
        <v>207.89496000000003</v>
      </c>
      <c r="U34" s="53">
        <f t="shared" si="1"/>
        <v>14.889726359999997</v>
      </c>
    </row>
    <row r="35" spans="1:25">
      <c r="A35">
        <v>1987</v>
      </c>
      <c r="B35">
        <v>13</v>
      </c>
      <c r="C35">
        <v>105</v>
      </c>
      <c r="D35" s="1">
        <v>21218</v>
      </c>
      <c r="E35" s="1">
        <v>1142</v>
      </c>
      <c r="F35">
        <v>530</v>
      </c>
      <c r="G35" t="s">
        <v>163</v>
      </c>
      <c r="H35" t="s">
        <v>163</v>
      </c>
      <c r="I35" t="s">
        <v>163</v>
      </c>
      <c r="J35" s="1">
        <v>14475</v>
      </c>
      <c r="K35" t="s">
        <v>163</v>
      </c>
      <c r="L35" t="s">
        <v>163</v>
      </c>
      <c r="N35" t="s">
        <v>163</v>
      </c>
      <c r="P35">
        <f t="shared" si="2"/>
        <v>22.859200000000001</v>
      </c>
      <c r="Q35">
        <f t="shared" si="3"/>
        <v>5761.35</v>
      </c>
      <c r="R35">
        <f t="shared" si="4"/>
        <v>9080.8796399999974</v>
      </c>
      <c r="S35">
        <f t="shared" si="5"/>
        <v>275.79300000000001</v>
      </c>
      <c r="T35">
        <f t="shared" si="6"/>
        <v>219.92880000000002</v>
      </c>
      <c r="U35" s="53">
        <f t="shared" si="1"/>
        <v>15.360810639999997</v>
      </c>
    </row>
    <row r="36" spans="1:25">
      <c r="A36">
        <v>1988</v>
      </c>
      <c r="B36">
        <v>14</v>
      </c>
      <c r="C36">
        <v>109</v>
      </c>
      <c r="D36" s="1">
        <v>21221</v>
      </c>
      <c r="E36" s="1">
        <v>1122</v>
      </c>
      <c r="F36">
        <v>300</v>
      </c>
      <c r="G36" t="s">
        <v>163</v>
      </c>
      <c r="H36" t="s">
        <v>163</v>
      </c>
      <c r="I36" t="s">
        <v>163</v>
      </c>
      <c r="J36" s="1">
        <v>15511</v>
      </c>
      <c r="K36" t="s">
        <v>163</v>
      </c>
      <c r="L36" t="s">
        <v>163</v>
      </c>
      <c r="N36" t="s">
        <v>163</v>
      </c>
      <c r="P36">
        <f t="shared" si="2"/>
        <v>24.617599999999999</v>
      </c>
      <c r="Q36">
        <f t="shared" si="3"/>
        <v>5980.83</v>
      </c>
      <c r="R36">
        <f t="shared" si="4"/>
        <v>9082.1635799999985</v>
      </c>
      <c r="S36">
        <f t="shared" si="5"/>
        <v>270.96300000000002</v>
      </c>
      <c r="T36">
        <f t="shared" si="6"/>
        <v>124.48800000000001</v>
      </c>
      <c r="U36" s="53">
        <f t="shared" si="1"/>
        <v>15.483062179999997</v>
      </c>
      <c r="X36" s="55">
        <f>AVERAGE(X38:X69)</f>
        <v>-4.1205342424693002E-3</v>
      </c>
      <c r="Y36" s="55">
        <f>AVERAGE(Y38:Y69)</f>
        <v>7.707226104090679E-3</v>
      </c>
    </row>
    <row r="37" spans="1:25">
      <c r="A37">
        <v>1989</v>
      </c>
      <c r="B37">
        <v>11</v>
      </c>
      <c r="C37">
        <v>112</v>
      </c>
      <c r="D37" s="1">
        <v>22823</v>
      </c>
      <c r="E37" s="1">
        <v>1333</v>
      </c>
      <c r="F37">
        <v>270</v>
      </c>
      <c r="G37" t="s">
        <v>163</v>
      </c>
      <c r="H37" t="s">
        <v>163</v>
      </c>
      <c r="I37" t="s">
        <v>163</v>
      </c>
      <c r="J37" s="1">
        <v>15772</v>
      </c>
      <c r="K37" t="s">
        <v>163</v>
      </c>
      <c r="L37" t="s">
        <v>163</v>
      </c>
      <c r="N37" t="s">
        <v>163</v>
      </c>
      <c r="P37">
        <f t="shared" si="2"/>
        <v>19.342400000000001</v>
      </c>
      <c r="Q37">
        <f t="shared" si="3"/>
        <v>6145.44</v>
      </c>
      <c r="R37">
        <f t="shared" si="4"/>
        <v>9767.7875399999975</v>
      </c>
      <c r="S37">
        <f t="shared" si="5"/>
        <v>321.91950000000003</v>
      </c>
      <c r="T37">
        <f t="shared" si="6"/>
        <v>112.03920000000001</v>
      </c>
      <c r="U37" s="53">
        <f t="shared" si="1"/>
        <v>16.366528639999999</v>
      </c>
      <c r="V37" t="s">
        <v>164</v>
      </c>
    </row>
    <row r="38" spans="1:25">
      <c r="A38">
        <v>1990</v>
      </c>
      <c r="B38">
        <v>13</v>
      </c>
      <c r="C38">
        <v>107</v>
      </c>
      <c r="D38" s="1">
        <v>20540</v>
      </c>
      <c r="E38" s="1">
        <v>1141</v>
      </c>
      <c r="F38">
        <v>163</v>
      </c>
      <c r="G38" t="s">
        <v>163</v>
      </c>
      <c r="H38" t="s">
        <v>163</v>
      </c>
      <c r="I38" t="s">
        <v>163</v>
      </c>
      <c r="J38" s="1">
        <v>15581</v>
      </c>
      <c r="K38" t="s">
        <v>163</v>
      </c>
      <c r="L38" t="s">
        <v>163</v>
      </c>
      <c r="N38" t="s">
        <v>163</v>
      </c>
      <c r="P38">
        <f t="shared" si="2"/>
        <v>22.859200000000001</v>
      </c>
      <c r="Q38">
        <f t="shared" si="3"/>
        <v>5871.09</v>
      </c>
      <c r="R38">
        <f t="shared" si="4"/>
        <v>8790.7091999999975</v>
      </c>
      <c r="S38">
        <f t="shared" si="5"/>
        <v>275.55149999999998</v>
      </c>
      <c r="T38">
        <f t="shared" si="6"/>
        <v>67.638480000000015</v>
      </c>
      <c r="U38" s="53">
        <f t="shared" si="1"/>
        <v>15.027848379999996</v>
      </c>
      <c r="V38" s="11">
        <v>15.09218729035536</v>
      </c>
      <c r="W38">
        <f>V38-U38</f>
        <v>6.4338910355363765E-2</v>
      </c>
      <c r="X38" s="15">
        <f>W38/U38</f>
        <v>4.2813121831193094E-3</v>
      </c>
      <c r="Y38">
        <f>ABS(W38/U38)</f>
        <v>4.2813121831193094E-3</v>
      </c>
    </row>
    <row r="39" spans="1:25">
      <c r="A39">
        <v>1991</v>
      </c>
      <c r="B39">
        <v>5</v>
      </c>
      <c r="C39">
        <v>103</v>
      </c>
      <c r="D39" s="1">
        <v>19261</v>
      </c>
      <c r="E39" s="1">
        <v>1032</v>
      </c>
      <c r="F39">
        <v>151</v>
      </c>
      <c r="G39" t="s">
        <v>163</v>
      </c>
      <c r="H39" t="s">
        <v>163</v>
      </c>
      <c r="I39" t="s">
        <v>163</v>
      </c>
      <c r="J39" s="1">
        <v>15379</v>
      </c>
      <c r="K39" t="s">
        <v>163</v>
      </c>
      <c r="L39" t="s">
        <v>163</v>
      </c>
      <c r="N39" t="s">
        <v>163</v>
      </c>
      <c r="P39">
        <f t="shared" si="2"/>
        <v>8.7919999999999998</v>
      </c>
      <c r="Q39">
        <f t="shared" si="3"/>
        <v>5651.61</v>
      </c>
      <c r="R39">
        <f t="shared" si="4"/>
        <v>8243.3227799999986</v>
      </c>
      <c r="S39">
        <f t="shared" si="5"/>
        <v>249.22800000000001</v>
      </c>
      <c r="T39">
        <f t="shared" si="6"/>
        <v>62.658960000000008</v>
      </c>
      <c r="U39" s="53">
        <f t="shared" si="1"/>
        <v>14.215611739999998</v>
      </c>
      <c r="V39" s="12">
        <v>14.303855533404656</v>
      </c>
      <c r="W39">
        <f t="shared" ref="W39:W69" si="7">V39-U39</f>
        <v>8.8243793404657822E-2</v>
      </c>
      <c r="X39" s="15">
        <f t="shared" ref="X39:X69" si="8">W39/U39</f>
        <v>6.2075269793952486E-3</v>
      </c>
      <c r="Y39">
        <f t="shared" ref="Y39:Y69" si="9">ABS(W39/U39)</f>
        <v>6.2075269793952486E-3</v>
      </c>
    </row>
    <row r="40" spans="1:25">
      <c r="A40">
        <v>1992</v>
      </c>
      <c r="B40">
        <v>10</v>
      </c>
      <c r="C40">
        <v>120</v>
      </c>
      <c r="D40" s="1">
        <v>21874</v>
      </c>
      <c r="E40" s="1">
        <v>1024</v>
      </c>
      <c r="F40">
        <v>259</v>
      </c>
      <c r="G40" t="s">
        <v>163</v>
      </c>
      <c r="H40" t="s">
        <v>163</v>
      </c>
      <c r="I40" t="s">
        <v>163</v>
      </c>
      <c r="J40" s="1">
        <v>15560</v>
      </c>
      <c r="K40" t="s">
        <v>163</v>
      </c>
      <c r="L40" t="s">
        <v>163</v>
      </c>
      <c r="N40" t="s">
        <v>163</v>
      </c>
      <c r="P40">
        <f t="shared" si="2"/>
        <v>17.584</v>
      </c>
      <c r="Q40">
        <f t="shared" si="3"/>
        <v>6584.4</v>
      </c>
      <c r="R40">
        <f t="shared" si="4"/>
        <v>9361.6345199999978</v>
      </c>
      <c r="S40">
        <f t="shared" si="5"/>
        <v>247.29599999999999</v>
      </c>
      <c r="T40">
        <f t="shared" si="6"/>
        <v>107.47464000000001</v>
      </c>
      <c r="U40" s="53">
        <f t="shared" si="1"/>
        <v>16.318389159999995</v>
      </c>
      <c r="V40" s="12">
        <v>16.405397212988806</v>
      </c>
      <c r="W40">
        <f t="shared" si="7"/>
        <v>8.7008052988810647E-2</v>
      </c>
      <c r="X40" s="15">
        <f t="shared" si="8"/>
        <v>5.3319020729133458E-3</v>
      </c>
      <c r="Y40">
        <f t="shared" si="9"/>
        <v>5.3319020729133458E-3</v>
      </c>
    </row>
    <row r="41" spans="1:25">
      <c r="A41">
        <v>1993</v>
      </c>
      <c r="B41">
        <v>8</v>
      </c>
      <c r="C41">
        <v>121</v>
      </c>
      <c r="D41" s="1">
        <v>21893</v>
      </c>
      <c r="E41" s="1">
        <v>1129</v>
      </c>
      <c r="F41">
        <v>250</v>
      </c>
      <c r="G41" t="s">
        <v>163</v>
      </c>
      <c r="H41" t="s">
        <v>163</v>
      </c>
      <c r="I41" t="s">
        <v>163</v>
      </c>
      <c r="J41" s="1">
        <v>15785</v>
      </c>
      <c r="K41" t="s">
        <v>163</v>
      </c>
      <c r="L41" t="s">
        <v>163</v>
      </c>
      <c r="N41" t="s">
        <v>163</v>
      </c>
      <c r="P41">
        <f t="shared" si="2"/>
        <v>14.0672</v>
      </c>
      <c r="Q41">
        <f t="shared" si="3"/>
        <v>6639.27</v>
      </c>
      <c r="R41">
        <f t="shared" si="4"/>
        <v>9369.7661399999979</v>
      </c>
      <c r="S41">
        <f t="shared" si="5"/>
        <v>272.65350000000001</v>
      </c>
      <c r="T41">
        <f t="shared" si="6"/>
        <v>103.74000000000001</v>
      </c>
      <c r="U41" s="53">
        <f t="shared" si="1"/>
        <v>16.399496840000001</v>
      </c>
      <c r="V41" s="12">
        <v>16.522609998468624</v>
      </c>
      <c r="W41">
        <f t="shared" si="7"/>
        <v>0.12311315846862314</v>
      </c>
      <c r="X41" s="15">
        <f t="shared" si="8"/>
        <v>7.5071302290408036E-3</v>
      </c>
      <c r="Y41">
        <f t="shared" si="9"/>
        <v>7.5071302290408036E-3</v>
      </c>
    </row>
    <row r="42" spans="1:25">
      <c r="A42">
        <v>1994</v>
      </c>
      <c r="B42">
        <v>3</v>
      </c>
      <c r="C42">
        <v>120</v>
      </c>
      <c r="D42" s="1">
        <v>21986</v>
      </c>
      <c r="E42" s="1">
        <v>1167</v>
      </c>
      <c r="F42">
        <v>218</v>
      </c>
      <c r="G42" t="s">
        <v>163</v>
      </c>
      <c r="H42" t="s">
        <v>163</v>
      </c>
      <c r="I42" t="s">
        <v>163</v>
      </c>
      <c r="J42" s="1">
        <v>16049</v>
      </c>
      <c r="K42" t="s">
        <v>163</v>
      </c>
      <c r="L42" t="s">
        <v>163</v>
      </c>
      <c r="N42" t="s">
        <v>163</v>
      </c>
      <c r="P42">
        <f t="shared" si="2"/>
        <v>5.2751999999999999</v>
      </c>
      <c r="Q42">
        <f t="shared" si="3"/>
        <v>6584.4</v>
      </c>
      <c r="R42">
        <f t="shared" si="4"/>
        <v>9409.5682799999977</v>
      </c>
      <c r="S42">
        <f t="shared" si="5"/>
        <v>281.83049999999997</v>
      </c>
      <c r="T42">
        <f t="shared" si="6"/>
        <v>90.461280000000016</v>
      </c>
      <c r="U42" s="53">
        <f t="shared" si="1"/>
        <v>16.371535259999998</v>
      </c>
      <c r="V42" s="12">
        <v>16.349445260718614</v>
      </c>
      <c r="W42">
        <f t="shared" si="7"/>
        <v>-2.208999928138411E-2</v>
      </c>
      <c r="X42" s="15">
        <f t="shared" si="8"/>
        <v>-1.3492930828152589E-3</v>
      </c>
      <c r="Y42">
        <f t="shared" si="9"/>
        <v>1.3492930828152589E-3</v>
      </c>
    </row>
    <row r="43" spans="1:25">
      <c r="A43">
        <v>1995</v>
      </c>
      <c r="B43">
        <v>4</v>
      </c>
      <c r="C43">
        <v>106</v>
      </c>
      <c r="D43" s="1">
        <v>20064</v>
      </c>
      <c r="E43" s="1">
        <v>1218</v>
      </c>
      <c r="F43">
        <v>130</v>
      </c>
      <c r="G43" t="s">
        <v>163</v>
      </c>
      <c r="H43" t="s">
        <v>163</v>
      </c>
      <c r="I43" t="s">
        <v>163</v>
      </c>
      <c r="J43" s="1">
        <v>15993</v>
      </c>
      <c r="K43" t="s">
        <v>163</v>
      </c>
      <c r="L43" t="s">
        <v>163</v>
      </c>
      <c r="N43" t="s">
        <v>163</v>
      </c>
      <c r="P43">
        <f t="shared" si="2"/>
        <v>7.0335999999999999</v>
      </c>
      <c r="Q43">
        <f t="shared" si="3"/>
        <v>5816.22</v>
      </c>
      <c r="R43">
        <f t="shared" si="4"/>
        <v>8586.9907199999998</v>
      </c>
      <c r="S43">
        <f t="shared" si="5"/>
        <v>294.14699999999999</v>
      </c>
      <c r="T43">
        <f t="shared" si="6"/>
        <v>53.944800000000008</v>
      </c>
      <c r="U43" s="53">
        <f t="shared" si="1"/>
        <v>14.758336119999999</v>
      </c>
      <c r="V43" s="12">
        <v>14.755065732665372</v>
      </c>
      <c r="W43">
        <f t="shared" si="7"/>
        <v>-3.270387334627145E-3</v>
      </c>
      <c r="X43" s="15">
        <f t="shared" si="8"/>
        <v>-2.2159593791845047E-4</v>
      </c>
      <c r="Y43">
        <f t="shared" si="9"/>
        <v>2.2159593791845047E-4</v>
      </c>
    </row>
    <row r="44" spans="1:25">
      <c r="A44">
        <v>1996</v>
      </c>
      <c r="B44">
        <v>4</v>
      </c>
      <c r="C44">
        <v>114</v>
      </c>
      <c r="D44" s="1">
        <v>18362</v>
      </c>
      <c r="E44" s="1">
        <v>1445</v>
      </c>
      <c r="F44">
        <v>148</v>
      </c>
      <c r="G44" t="s">
        <v>163</v>
      </c>
      <c r="H44" t="s">
        <v>163</v>
      </c>
      <c r="I44" t="s">
        <v>163</v>
      </c>
      <c r="J44" s="1">
        <v>16256</v>
      </c>
      <c r="K44" t="s">
        <v>163</v>
      </c>
      <c r="L44" t="s">
        <v>163</v>
      </c>
      <c r="N44" t="s">
        <v>163</v>
      </c>
      <c r="P44">
        <f t="shared" si="2"/>
        <v>7.0335999999999999</v>
      </c>
      <c r="Q44">
        <f t="shared" si="3"/>
        <v>6255.18</v>
      </c>
      <c r="R44">
        <f t="shared" si="4"/>
        <v>7858.5687599999992</v>
      </c>
      <c r="S44">
        <f t="shared" si="5"/>
        <v>348.96749999999997</v>
      </c>
      <c r="T44">
        <f t="shared" si="6"/>
        <v>61.414080000000006</v>
      </c>
      <c r="U44" s="53">
        <f t="shared" si="1"/>
        <v>14.531163940000001</v>
      </c>
      <c r="V44" s="12">
        <v>14.549689113932796</v>
      </c>
      <c r="W44">
        <f t="shared" si="7"/>
        <v>1.8525173932795624E-2</v>
      </c>
      <c r="X44" s="15">
        <f t="shared" si="8"/>
        <v>1.2748582294774952E-3</v>
      </c>
      <c r="Y44">
        <f t="shared" si="9"/>
        <v>1.2748582294774952E-3</v>
      </c>
    </row>
    <row r="45" spans="1:25">
      <c r="A45">
        <v>1997</v>
      </c>
      <c r="B45">
        <v>3</v>
      </c>
      <c r="C45">
        <v>112</v>
      </c>
      <c r="D45" s="1">
        <v>18332</v>
      </c>
      <c r="E45" s="1">
        <v>1356</v>
      </c>
      <c r="F45">
        <v>190</v>
      </c>
      <c r="G45" t="s">
        <v>163</v>
      </c>
      <c r="H45" t="s">
        <v>163</v>
      </c>
      <c r="I45" t="s">
        <v>163</v>
      </c>
      <c r="J45" s="1">
        <v>16278</v>
      </c>
      <c r="K45" t="s">
        <v>163</v>
      </c>
      <c r="L45" t="s">
        <v>163</v>
      </c>
      <c r="N45" t="s">
        <v>163</v>
      </c>
      <c r="P45">
        <f t="shared" si="2"/>
        <v>5.2751999999999999</v>
      </c>
      <c r="Q45">
        <f t="shared" si="3"/>
        <v>6145.44</v>
      </c>
      <c r="R45">
        <f t="shared" si="4"/>
        <v>7845.7293599999994</v>
      </c>
      <c r="S45">
        <f t="shared" si="5"/>
        <v>327.47399999999999</v>
      </c>
      <c r="T45">
        <f t="shared" si="6"/>
        <v>78.842400000000012</v>
      </c>
      <c r="U45" s="53">
        <f t="shared" si="1"/>
        <v>14.40276096</v>
      </c>
      <c r="V45" s="12">
        <v>14.379982177559659</v>
      </c>
      <c r="W45">
        <f t="shared" si="7"/>
        <v>-2.2778782440340706E-2</v>
      </c>
      <c r="X45" s="15">
        <f t="shared" si="8"/>
        <v>-1.5815566545610922E-3</v>
      </c>
      <c r="Y45">
        <f t="shared" si="9"/>
        <v>1.5815566545610922E-3</v>
      </c>
    </row>
    <row r="46" spans="1:25">
      <c r="A46">
        <v>1998</v>
      </c>
      <c r="B46">
        <v>3</v>
      </c>
      <c r="C46">
        <v>102</v>
      </c>
      <c r="D46" s="1">
        <v>16979</v>
      </c>
      <c r="E46" s="1">
        <v>1242</v>
      </c>
      <c r="F46">
        <v>197</v>
      </c>
      <c r="G46" t="s">
        <v>163</v>
      </c>
      <c r="H46" t="s">
        <v>163</v>
      </c>
      <c r="I46" t="s">
        <v>163</v>
      </c>
      <c r="J46" s="1">
        <v>16388</v>
      </c>
      <c r="K46" t="s">
        <v>163</v>
      </c>
      <c r="L46" t="s">
        <v>163</v>
      </c>
      <c r="N46" t="s">
        <v>163</v>
      </c>
      <c r="P46">
        <f t="shared" si="2"/>
        <v>5.2751999999999999</v>
      </c>
      <c r="Q46">
        <f t="shared" si="3"/>
        <v>5596.74</v>
      </c>
      <c r="R46">
        <f t="shared" si="4"/>
        <v>7266.672419999999</v>
      </c>
      <c r="S46">
        <f t="shared" si="5"/>
        <v>299.94299999999998</v>
      </c>
      <c r="T46">
        <f t="shared" si="6"/>
        <v>81.74712000000001</v>
      </c>
      <c r="U46" s="53">
        <f t="shared" si="1"/>
        <v>13.250377739999998</v>
      </c>
      <c r="V46" s="12">
        <v>13.195293039655883</v>
      </c>
      <c r="W46">
        <f t="shared" si="7"/>
        <v>-5.5084700344114168E-2</v>
      </c>
      <c r="X46" s="15">
        <f t="shared" si="8"/>
        <v>-4.1572173582512658E-3</v>
      </c>
      <c r="Y46">
        <f t="shared" si="9"/>
        <v>4.1572173582512658E-3</v>
      </c>
    </row>
    <row r="47" spans="1:25">
      <c r="A47">
        <v>1999</v>
      </c>
      <c r="B47">
        <v>4</v>
      </c>
      <c r="C47">
        <v>106</v>
      </c>
      <c r="D47" s="1">
        <v>17825</v>
      </c>
      <c r="E47" s="1">
        <v>1279</v>
      </c>
      <c r="F47">
        <v>179</v>
      </c>
      <c r="G47" t="s">
        <v>163</v>
      </c>
      <c r="H47" t="s">
        <v>163</v>
      </c>
      <c r="I47" t="s">
        <v>163</v>
      </c>
      <c r="J47" s="1">
        <v>17392</v>
      </c>
      <c r="K47" t="s">
        <v>163</v>
      </c>
      <c r="L47" t="s">
        <v>163</v>
      </c>
      <c r="N47" t="s">
        <v>163</v>
      </c>
      <c r="P47">
        <f t="shared" si="2"/>
        <v>7.0335999999999999</v>
      </c>
      <c r="Q47">
        <f t="shared" si="3"/>
        <v>5816.22</v>
      </c>
      <c r="R47">
        <f t="shared" si="4"/>
        <v>7628.7434999999987</v>
      </c>
      <c r="S47">
        <f t="shared" si="5"/>
        <v>308.87849999999997</v>
      </c>
      <c r="T47">
        <f t="shared" si="6"/>
        <v>74.277840000000012</v>
      </c>
      <c r="U47" s="53">
        <f t="shared" si="1"/>
        <v>13.835153440000001</v>
      </c>
      <c r="V47" s="12">
        <v>14.013129575781329</v>
      </c>
      <c r="W47">
        <f t="shared" si="7"/>
        <v>0.17797613578132854</v>
      </c>
      <c r="X47" s="15">
        <f t="shared" si="8"/>
        <v>1.2864052180785103E-2</v>
      </c>
      <c r="Y47">
        <f t="shared" si="9"/>
        <v>1.2864052180785103E-2</v>
      </c>
    </row>
    <row r="48" spans="1:25">
      <c r="A48">
        <v>2000</v>
      </c>
      <c r="B48">
        <v>2</v>
      </c>
      <c r="C48">
        <v>114</v>
      </c>
      <c r="D48" s="1">
        <v>20445</v>
      </c>
      <c r="E48" s="1">
        <v>1582</v>
      </c>
      <c r="F48">
        <v>191</v>
      </c>
      <c r="G48" t="s">
        <v>163</v>
      </c>
      <c r="H48" t="s">
        <v>163</v>
      </c>
      <c r="I48" t="s">
        <v>163</v>
      </c>
      <c r="J48" s="1">
        <v>17562</v>
      </c>
      <c r="K48" t="s">
        <v>163</v>
      </c>
      <c r="L48" t="s">
        <v>163</v>
      </c>
      <c r="N48" t="s">
        <v>163</v>
      </c>
      <c r="P48">
        <f t="shared" si="2"/>
        <v>3.5167999999999999</v>
      </c>
      <c r="Q48">
        <f t="shared" si="3"/>
        <v>6255.18</v>
      </c>
      <c r="R48">
        <f t="shared" si="4"/>
        <v>8750.0510999999988</v>
      </c>
      <c r="S48">
        <f t="shared" si="5"/>
        <v>382.053</v>
      </c>
      <c r="T48">
        <f t="shared" si="6"/>
        <v>79.25736000000002</v>
      </c>
      <c r="U48" s="53">
        <f t="shared" si="1"/>
        <v>15.470058259999998</v>
      </c>
      <c r="V48" s="12">
        <v>15.588634595493682</v>
      </c>
      <c r="W48">
        <f t="shared" si="7"/>
        <v>0.11857633549368352</v>
      </c>
      <c r="X48" s="15">
        <f t="shared" si="8"/>
        <v>7.6648926268286415E-3</v>
      </c>
      <c r="Y48">
        <f t="shared" si="9"/>
        <v>7.6648926268286415E-3</v>
      </c>
    </row>
    <row r="49" spans="1:25">
      <c r="A49">
        <v>2001</v>
      </c>
      <c r="B49">
        <v>2</v>
      </c>
      <c r="C49">
        <v>107</v>
      </c>
      <c r="D49" s="1">
        <v>22293</v>
      </c>
      <c r="E49" s="1">
        <v>1435</v>
      </c>
      <c r="F49">
        <v>197</v>
      </c>
      <c r="G49" t="s">
        <v>163</v>
      </c>
      <c r="H49" t="s">
        <v>163</v>
      </c>
      <c r="I49" t="s">
        <v>163</v>
      </c>
      <c r="J49" s="1">
        <v>17984</v>
      </c>
      <c r="K49" t="s">
        <v>163</v>
      </c>
      <c r="L49" t="s">
        <v>163</v>
      </c>
      <c r="N49" t="s">
        <v>163</v>
      </c>
      <c r="P49">
        <f t="shared" si="2"/>
        <v>3.5167999999999999</v>
      </c>
      <c r="Q49">
        <f t="shared" si="3"/>
        <v>5871.09</v>
      </c>
      <c r="R49">
        <f t="shared" si="4"/>
        <v>9540.9581399999988</v>
      </c>
      <c r="S49">
        <f t="shared" si="5"/>
        <v>346.55250000000001</v>
      </c>
      <c r="T49">
        <f t="shared" si="6"/>
        <v>81.74712000000001</v>
      </c>
      <c r="U49" s="53">
        <f t="shared" si="1"/>
        <v>15.84386456</v>
      </c>
      <c r="V49" s="12">
        <v>15.947004559649596</v>
      </c>
      <c r="W49">
        <f t="shared" si="7"/>
        <v>0.10313999964959564</v>
      </c>
      <c r="X49" s="15">
        <f t="shared" si="8"/>
        <v>6.5097753934344185E-3</v>
      </c>
      <c r="Y49">
        <f t="shared" si="9"/>
        <v>6.5097753934344185E-3</v>
      </c>
    </row>
    <row r="50" spans="1:25">
      <c r="A50">
        <v>2002</v>
      </c>
      <c r="B50">
        <v>11</v>
      </c>
      <c r="C50">
        <v>109</v>
      </c>
      <c r="D50" s="1">
        <v>22066</v>
      </c>
      <c r="E50" s="1">
        <v>1162</v>
      </c>
      <c r="F50">
        <v>127</v>
      </c>
      <c r="G50" t="s">
        <v>163</v>
      </c>
      <c r="H50" t="s">
        <v>163</v>
      </c>
      <c r="I50" t="s">
        <v>163</v>
      </c>
      <c r="J50" s="1">
        <v>18695</v>
      </c>
      <c r="K50" t="s">
        <v>163</v>
      </c>
      <c r="L50" t="s">
        <v>163</v>
      </c>
      <c r="N50" t="s">
        <v>163</v>
      </c>
      <c r="P50">
        <f t="shared" si="2"/>
        <v>19.342400000000001</v>
      </c>
      <c r="Q50">
        <f t="shared" si="3"/>
        <v>5980.83</v>
      </c>
      <c r="R50">
        <f t="shared" si="4"/>
        <v>9443.8066799999979</v>
      </c>
      <c r="S50">
        <f t="shared" si="5"/>
        <v>280.62299999999999</v>
      </c>
      <c r="T50">
        <f t="shared" si="6"/>
        <v>52.699920000000006</v>
      </c>
      <c r="U50" s="53">
        <f t="shared" si="1"/>
        <v>15.777301999999995</v>
      </c>
      <c r="V50" s="12">
        <v>15.86050617899458</v>
      </c>
      <c r="W50">
        <f t="shared" si="7"/>
        <v>8.3204178994584765E-2</v>
      </c>
      <c r="X50" s="15">
        <f t="shared" si="8"/>
        <v>5.2736633294199978E-3</v>
      </c>
      <c r="Y50">
        <f t="shared" si="9"/>
        <v>5.2736633294199978E-3</v>
      </c>
    </row>
    <row r="51" spans="1:25">
      <c r="A51">
        <v>2003</v>
      </c>
      <c r="B51">
        <v>7</v>
      </c>
      <c r="C51">
        <v>126</v>
      </c>
      <c r="D51" s="1">
        <v>20816</v>
      </c>
      <c r="E51" s="1">
        <v>1644</v>
      </c>
      <c r="F51">
        <v>244</v>
      </c>
      <c r="G51" t="s">
        <v>163</v>
      </c>
      <c r="H51" t="s">
        <v>163</v>
      </c>
      <c r="I51" t="s">
        <v>163</v>
      </c>
      <c r="J51" s="1">
        <v>19591</v>
      </c>
      <c r="K51" t="s">
        <v>163</v>
      </c>
      <c r="L51" t="s">
        <v>163</v>
      </c>
      <c r="N51" t="s">
        <v>163</v>
      </c>
      <c r="P51">
        <f t="shared" si="2"/>
        <v>12.3088</v>
      </c>
      <c r="Q51">
        <f t="shared" si="3"/>
        <v>6913.62</v>
      </c>
      <c r="R51">
        <f t="shared" si="4"/>
        <v>8908.8316799999975</v>
      </c>
      <c r="S51">
        <f t="shared" si="5"/>
        <v>397.02600000000001</v>
      </c>
      <c r="T51">
        <f t="shared" si="6"/>
        <v>101.25024000000002</v>
      </c>
      <c r="U51" s="53">
        <f t="shared" si="1"/>
        <v>16.333036719999996</v>
      </c>
      <c r="V51" s="12">
        <v>16.340043069708546</v>
      </c>
      <c r="W51">
        <f t="shared" si="7"/>
        <v>7.0063497085506299E-3</v>
      </c>
      <c r="X51" s="15">
        <f t="shared" si="8"/>
        <v>4.2896797629624333E-4</v>
      </c>
      <c r="Y51">
        <f t="shared" si="9"/>
        <v>4.2896797629624333E-4</v>
      </c>
    </row>
    <row r="52" spans="1:25">
      <c r="A52">
        <v>2004</v>
      </c>
      <c r="B52">
        <v>4</v>
      </c>
      <c r="C52">
        <v>113</v>
      </c>
      <c r="D52" s="1">
        <v>19337</v>
      </c>
      <c r="E52" s="1">
        <v>1391</v>
      </c>
      <c r="F52">
        <v>279</v>
      </c>
      <c r="G52" t="s">
        <v>163</v>
      </c>
      <c r="H52" t="s">
        <v>163</v>
      </c>
      <c r="I52" t="s">
        <v>163</v>
      </c>
      <c r="J52" s="1">
        <v>19769</v>
      </c>
      <c r="K52" t="s">
        <v>163</v>
      </c>
      <c r="L52" t="s">
        <v>163</v>
      </c>
      <c r="N52" t="s">
        <v>163</v>
      </c>
      <c r="P52">
        <f t="shared" si="2"/>
        <v>7.0335999999999999</v>
      </c>
      <c r="Q52">
        <f t="shared" si="3"/>
        <v>6200.31</v>
      </c>
      <c r="R52">
        <f t="shared" si="4"/>
        <v>8275.849259999999</v>
      </c>
      <c r="S52">
        <f t="shared" si="5"/>
        <v>335.92649999999998</v>
      </c>
      <c r="T52">
        <f t="shared" si="6"/>
        <v>115.77384000000002</v>
      </c>
      <c r="U52" s="53">
        <f t="shared" si="1"/>
        <v>14.934893199999999</v>
      </c>
      <c r="V52" s="12">
        <v>14.935535229929251</v>
      </c>
      <c r="W52">
        <f t="shared" si="7"/>
        <v>6.4202992925110891E-4</v>
      </c>
      <c r="X52" s="15">
        <f t="shared" si="8"/>
        <v>4.2988585231470485E-5</v>
      </c>
      <c r="Y52">
        <f t="shared" si="9"/>
        <v>4.2988585231470485E-5</v>
      </c>
    </row>
    <row r="53" spans="1:25">
      <c r="A53">
        <v>2005</v>
      </c>
      <c r="B53">
        <v>3</v>
      </c>
      <c r="C53">
        <v>119</v>
      </c>
      <c r="D53" s="1">
        <v>18425</v>
      </c>
      <c r="E53" s="1">
        <v>1698</v>
      </c>
      <c r="F53">
        <v>299</v>
      </c>
      <c r="G53" t="s">
        <v>163</v>
      </c>
      <c r="H53" t="s">
        <v>163</v>
      </c>
      <c r="I53" t="s">
        <v>163</v>
      </c>
      <c r="J53" s="1">
        <v>20539</v>
      </c>
      <c r="K53" t="s">
        <v>163</v>
      </c>
      <c r="L53" t="s">
        <v>163</v>
      </c>
      <c r="N53" t="s">
        <v>163</v>
      </c>
      <c r="P53">
        <f t="shared" si="2"/>
        <v>5.2751999999999999</v>
      </c>
      <c r="Q53">
        <f t="shared" si="3"/>
        <v>6529.53</v>
      </c>
      <c r="R53">
        <f t="shared" si="4"/>
        <v>7885.5314999999991</v>
      </c>
      <c r="S53">
        <f t="shared" si="5"/>
        <v>410.06700000000001</v>
      </c>
      <c r="T53">
        <f t="shared" si="6"/>
        <v>124.07304000000002</v>
      </c>
      <c r="U53" s="53">
        <f t="shared" si="1"/>
        <v>14.954476739999999</v>
      </c>
      <c r="V53" s="12">
        <v>14.854571872883273</v>
      </c>
      <c r="W53">
        <f t="shared" si="7"/>
        <v>-9.9904867116725526E-2</v>
      </c>
      <c r="X53" s="15">
        <f t="shared" si="8"/>
        <v>-6.6805993184302836E-3</v>
      </c>
      <c r="Y53">
        <f t="shared" si="9"/>
        <v>6.6805993184302836E-3</v>
      </c>
    </row>
    <row r="54" spans="1:25">
      <c r="A54">
        <v>2006</v>
      </c>
      <c r="B54">
        <v>1</v>
      </c>
      <c r="C54">
        <v>104</v>
      </c>
      <c r="D54" s="1">
        <v>15645</v>
      </c>
      <c r="E54" s="1">
        <v>1735</v>
      </c>
      <c r="F54">
        <v>238</v>
      </c>
      <c r="G54" t="s">
        <v>163</v>
      </c>
      <c r="H54" t="s">
        <v>163</v>
      </c>
      <c r="I54" t="s">
        <v>163</v>
      </c>
      <c r="J54" s="1">
        <v>19624</v>
      </c>
      <c r="K54" t="s">
        <v>163</v>
      </c>
      <c r="L54" t="s">
        <v>163</v>
      </c>
      <c r="N54" t="s">
        <v>163</v>
      </c>
      <c r="P54">
        <f t="shared" si="2"/>
        <v>1.7584</v>
      </c>
      <c r="Q54">
        <f t="shared" si="3"/>
        <v>5706.48</v>
      </c>
      <c r="R54">
        <f t="shared" si="4"/>
        <v>6695.7470999999987</v>
      </c>
      <c r="S54">
        <f t="shared" si="5"/>
        <v>419.0025</v>
      </c>
      <c r="T54">
        <f t="shared" si="6"/>
        <v>98.760480000000015</v>
      </c>
      <c r="U54" s="53">
        <f t="shared" si="1"/>
        <v>12.92174848</v>
      </c>
      <c r="V54" s="12">
        <v>12.795435056036158</v>
      </c>
      <c r="W54">
        <f t="shared" si="7"/>
        <v>-0.12631342396384149</v>
      </c>
      <c r="X54" s="15">
        <f t="shared" si="8"/>
        <v>-9.7752579040945309E-3</v>
      </c>
      <c r="Y54">
        <f t="shared" si="9"/>
        <v>9.7752579040945309E-3</v>
      </c>
    </row>
    <row r="55" spans="1:25">
      <c r="A55">
        <v>2007</v>
      </c>
      <c r="B55">
        <v>2</v>
      </c>
      <c r="C55">
        <v>115</v>
      </c>
      <c r="D55" s="1">
        <v>15882</v>
      </c>
      <c r="E55" s="1">
        <v>1794</v>
      </c>
      <c r="F55">
        <v>161</v>
      </c>
      <c r="G55" t="s">
        <v>163</v>
      </c>
      <c r="H55" t="s">
        <v>163</v>
      </c>
      <c r="I55" t="s">
        <v>163</v>
      </c>
      <c r="J55" s="1">
        <v>20138</v>
      </c>
      <c r="K55" t="s">
        <v>163</v>
      </c>
      <c r="L55" t="s">
        <v>163</v>
      </c>
      <c r="N55" t="s">
        <v>163</v>
      </c>
      <c r="P55">
        <f t="shared" si="2"/>
        <v>3.5167999999999999</v>
      </c>
      <c r="Q55">
        <f t="shared" si="3"/>
        <v>6310.05</v>
      </c>
      <c r="R55">
        <f t="shared" si="4"/>
        <v>6797.178359999999</v>
      </c>
      <c r="S55">
        <f t="shared" si="5"/>
        <v>433.25099999999998</v>
      </c>
      <c r="T55">
        <f t="shared" si="6"/>
        <v>66.808560000000014</v>
      </c>
      <c r="U55" s="53">
        <f t="shared" si="1"/>
        <v>13.610804719999999</v>
      </c>
      <c r="V55" s="12">
        <v>13.497453604670172</v>
      </c>
      <c r="W55">
        <f t="shared" si="7"/>
        <v>-0.11335111532982722</v>
      </c>
      <c r="X55" s="15">
        <f t="shared" si="8"/>
        <v>-8.3280245115313969E-3</v>
      </c>
      <c r="Y55">
        <f t="shared" si="9"/>
        <v>8.3280245115313969E-3</v>
      </c>
    </row>
    <row r="56" spans="1:25">
      <c r="A56">
        <v>2008</v>
      </c>
      <c r="B56">
        <v>0</v>
      </c>
      <c r="C56">
        <v>133</v>
      </c>
      <c r="D56" s="1">
        <v>15793</v>
      </c>
      <c r="E56" s="1">
        <v>1920</v>
      </c>
      <c r="F56">
        <v>63</v>
      </c>
      <c r="G56" t="s">
        <v>163</v>
      </c>
      <c r="H56" t="s">
        <v>163</v>
      </c>
      <c r="I56" t="s">
        <v>163</v>
      </c>
      <c r="J56" s="1">
        <v>19638</v>
      </c>
      <c r="K56" t="s">
        <v>163</v>
      </c>
      <c r="L56" t="s">
        <v>163</v>
      </c>
      <c r="N56" t="s">
        <v>163</v>
      </c>
      <c r="P56">
        <f t="shared" si="2"/>
        <v>0</v>
      </c>
      <c r="Q56">
        <f t="shared" si="3"/>
        <v>7297.71</v>
      </c>
      <c r="R56">
        <f t="shared" si="4"/>
        <v>6759.0881399999989</v>
      </c>
      <c r="S56">
        <f t="shared" si="5"/>
        <v>463.68</v>
      </c>
      <c r="T56">
        <f t="shared" si="6"/>
        <v>26.142480000000003</v>
      </c>
      <c r="U56" s="53">
        <f t="shared" si="1"/>
        <v>14.546620620000001</v>
      </c>
      <c r="V56" s="12">
        <v>14.367303555781316</v>
      </c>
      <c r="W56">
        <f t="shared" si="7"/>
        <v>-0.17931706421868476</v>
      </c>
      <c r="X56" s="15">
        <f t="shared" si="8"/>
        <v>-1.2327059933916442E-2</v>
      </c>
      <c r="Y56">
        <f t="shared" si="9"/>
        <v>1.2327059933916442E-2</v>
      </c>
    </row>
    <row r="57" spans="1:25">
      <c r="A57">
        <v>2009</v>
      </c>
      <c r="B57">
        <v>0</v>
      </c>
      <c r="C57">
        <v>133</v>
      </c>
      <c r="D57" s="1">
        <v>14276</v>
      </c>
      <c r="E57" s="1">
        <v>1795</v>
      </c>
      <c r="F57">
        <v>99</v>
      </c>
      <c r="G57" t="s">
        <v>163</v>
      </c>
      <c r="H57" t="s">
        <v>163</v>
      </c>
      <c r="I57" t="s">
        <v>163</v>
      </c>
      <c r="J57" s="1">
        <v>19475</v>
      </c>
      <c r="K57" t="s">
        <v>163</v>
      </c>
      <c r="L57" t="s">
        <v>163</v>
      </c>
      <c r="N57" t="s">
        <v>163</v>
      </c>
      <c r="P57">
        <f t="shared" si="2"/>
        <v>0</v>
      </c>
      <c r="Q57">
        <f t="shared" si="3"/>
        <v>7297.71</v>
      </c>
      <c r="R57">
        <f t="shared" si="4"/>
        <v>6109.8424799999993</v>
      </c>
      <c r="S57">
        <f t="shared" si="5"/>
        <v>433.49250000000001</v>
      </c>
      <c r="T57">
        <f t="shared" si="6"/>
        <v>41.081040000000009</v>
      </c>
      <c r="U57" s="53">
        <f t="shared" si="1"/>
        <v>13.882126019999998</v>
      </c>
      <c r="V57" s="12">
        <v>13.826473707619709</v>
      </c>
      <c r="W57">
        <f t="shared" si="7"/>
        <v>-5.5652312380289004E-2</v>
      </c>
      <c r="X57" s="15">
        <f t="shared" si="8"/>
        <v>-4.0089185402949548E-3</v>
      </c>
      <c r="Y57">
        <f t="shared" si="9"/>
        <v>4.0089185402949548E-3</v>
      </c>
    </row>
    <row r="58" spans="1:25">
      <c r="A58">
        <v>2010</v>
      </c>
      <c r="B58">
        <v>0</v>
      </c>
      <c r="C58">
        <v>126</v>
      </c>
      <c r="D58" s="1">
        <v>14593</v>
      </c>
      <c r="E58" s="1">
        <v>1685</v>
      </c>
      <c r="F58">
        <v>100</v>
      </c>
      <c r="G58" t="s">
        <v>163</v>
      </c>
      <c r="H58" t="s">
        <v>163</v>
      </c>
      <c r="I58" t="s">
        <v>163</v>
      </c>
      <c r="J58" s="1">
        <v>21409</v>
      </c>
      <c r="K58" t="s">
        <v>163</v>
      </c>
      <c r="L58" t="s">
        <v>163</v>
      </c>
      <c r="N58" t="s">
        <v>163</v>
      </c>
      <c r="P58">
        <f t="shared" si="2"/>
        <v>0</v>
      </c>
      <c r="Q58">
        <f t="shared" si="3"/>
        <v>6913.62</v>
      </c>
      <c r="R58">
        <f t="shared" si="4"/>
        <v>6245.5121399999989</v>
      </c>
      <c r="S58">
        <f t="shared" si="5"/>
        <v>406.92750000000001</v>
      </c>
      <c r="T58">
        <f t="shared" si="6"/>
        <v>41.496000000000009</v>
      </c>
      <c r="U58" s="53">
        <f t="shared" si="1"/>
        <v>13.607555639999998</v>
      </c>
      <c r="V58" s="12">
        <v>13.557642768461069</v>
      </c>
      <c r="W58">
        <f t="shared" si="7"/>
        <v>-4.9912871538928982E-2</v>
      </c>
      <c r="X58" s="15">
        <f t="shared" si="8"/>
        <v>-3.6680262685980089E-3</v>
      </c>
      <c r="Y58">
        <f t="shared" si="9"/>
        <v>3.6680262685980089E-3</v>
      </c>
    </row>
    <row r="59" spans="1:25">
      <c r="A59">
        <v>2011</v>
      </c>
      <c r="B59">
        <v>0</v>
      </c>
      <c r="C59">
        <v>129</v>
      </c>
      <c r="D59" s="1">
        <v>14210</v>
      </c>
      <c r="E59" s="1">
        <v>1989</v>
      </c>
      <c r="F59">
        <v>62</v>
      </c>
      <c r="G59" t="s">
        <v>163</v>
      </c>
      <c r="H59" t="s">
        <v>163</v>
      </c>
      <c r="I59" t="s">
        <v>163</v>
      </c>
      <c r="J59" s="1">
        <v>20473</v>
      </c>
      <c r="K59" t="s">
        <v>163</v>
      </c>
      <c r="L59" t="s">
        <v>163</v>
      </c>
      <c r="N59" t="s">
        <v>163</v>
      </c>
      <c r="P59">
        <f t="shared" si="2"/>
        <v>0</v>
      </c>
      <c r="Q59">
        <f t="shared" si="3"/>
        <v>7078.23</v>
      </c>
      <c r="R59">
        <f t="shared" si="4"/>
        <v>6081.5957999999991</v>
      </c>
      <c r="S59">
        <f t="shared" si="5"/>
        <v>480.34350000000001</v>
      </c>
      <c r="T59">
        <f t="shared" si="6"/>
        <v>25.727520000000005</v>
      </c>
      <c r="U59" s="53">
        <f t="shared" si="1"/>
        <v>13.66589682</v>
      </c>
      <c r="V59" s="12">
        <v>13.596982504786817</v>
      </c>
      <c r="W59">
        <f t="shared" si="7"/>
        <v>-6.8914315213183031E-2</v>
      </c>
      <c r="X59" s="15">
        <f t="shared" si="8"/>
        <v>-5.0427949311257153E-3</v>
      </c>
      <c r="Y59">
        <f t="shared" si="9"/>
        <v>5.0427949311257153E-3</v>
      </c>
    </row>
    <row r="60" spans="1:25">
      <c r="A60">
        <v>2012</v>
      </c>
      <c r="B60">
        <v>0</v>
      </c>
      <c r="C60">
        <v>115</v>
      </c>
      <c r="D60" s="1">
        <v>11922</v>
      </c>
      <c r="E60" s="1">
        <v>1556</v>
      </c>
      <c r="F60">
        <v>29</v>
      </c>
      <c r="G60" t="s">
        <v>163</v>
      </c>
      <c r="H60" t="s">
        <v>163</v>
      </c>
      <c r="I60" t="s">
        <v>163</v>
      </c>
      <c r="J60" s="1">
        <v>20313</v>
      </c>
      <c r="K60" t="s">
        <v>163</v>
      </c>
      <c r="L60" t="s">
        <v>163</v>
      </c>
      <c r="N60" t="s">
        <v>163</v>
      </c>
      <c r="P60">
        <f t="shared" si="2"/>
        <v>0</v>
      </c>
      <c r="Q60">
        <f t="shared" si="3"/>
        <v>6310.05</v>
      </c>
      <c r="R60">
        <f t="shared" si="4"/>
        <v>5102.377559999999</v>
      </c>
      <c r="S60">
        <f t="shared" si="5"/>
        <v>375.774</v>
      </c>
      <c r="T60">
        <f t="shared" si="6"/>
        <v>12.033840000000001</v>
      </c>
      <c r="U60" s="53">
        <f t="shared" si="1"/>
        <v>11.8002354</v>
      </c>
      <c r="V60" s="12">
        <v>11.777103269371192</v>
      </c>
      <c r="W60">
        <f t="shared" si="7"/>
        <v>-2.3132130628807701E-2</v>
      </c>
      <c r="X60" s="15">
        <f t="shared" si="8"/>
        <v>-1.9603109467466809E-3</v>
      </c>
      <c r="Y60">
        <f t="shared" si="9"/>
        <v>1.9603109467466809E-3</v>
      </c>
    </row>
    <row r="61" spans="1:25">
      <c r="A61">
        <v>2013</v>
      </c>
      <c r="B61">
        <v>0</v>
      </c>
      <c r="C61">
        <v>117</v>
      </c>
      <c r="D61" s="1">
        <v>12856</v>
      </c>
      <c r="E61" s="1">
        <v>1864</v>
      </c>
      <c r="F61">
        <v>30</v>
      </c>
      <c r="G61" t="s">
        <v>163</v>
      </c>
      <c r="H61" t="s">
        <v>163</v>
      </c>
      <c r="I61" t="s">
        <v>163</v>
      </c>
      <c r="J61" s="1">
        <v>20728</v>
      </c>
      <c r="K61" t="s">
        <v>163</v>
      </c>
      <c r="L61" t="s">
        <v>163</v>
      </c>
      <c r="N61" t="s">
        <v>163</v>
      </c>
      <c r="P61">
        <f t="shared" si="2"/>
        <v>0</v>
      </c>
      <c r="Q61">
        <f t="shared" si="3"/>
        <v>6419.79</v>
      </c>
      <c r="R61">
        <f t="shared" si="4"/>
        <v>5502.1108799999993</v>
      </c>
      <c r="S61">
        <f t="shared" si="5"/>
        <v>450.15600000000001</v>
      </c>
      <c r="T61">
        <f t="shared" si="6"/>
        <v>12.448800000000002</v>
      </c>
      <c r="U61" s="53">
        <f t="shared" si="1"/>
        <v>12.38450568</v>
      </c>
      <c r="V61" s="12">
        <v>12.259490270125456</v>
      </c>
      <c r="W61">
        <f t="shared" si="7"/>
        <v>-0.1250154098745444</v>
      </c>
      <c r="X61" s="15">
        <f t="shared" si="8"/>
        <v>-1.0094501395920422E-2</v>
      </c>
      <c r="Y61">
        <f t="shared" si="9"/>
        <v>1.0094501395920422E-2</v>
      </c>
    </row>
    <row r="62" spans="1:25">
      <c r="A62">
        <v>2014</v>
      </c>
      <c r="B62">
        <v>0</v>
      </c>
      <c r="C62">
        <v>127</v>
      </c>
      <c r="D62" s="1">
        <v>14584</v>
      </c>
      <c r="E62" s="1">
        <v>2117</v>
      </c>
      <c r="F62">
        <v>52</v>
      </c>
      <c r="G62" t="s">
        <v>163</v>
      </c>
      <c r="H62" t="s">
        <v>163</v>
      </c>
      <c r="I62" t="s">
        <v>163</v>
      </c>
      <c r="J62" s="1">
        <v>20071</v>
      </c>
      <c r="K62" t="s">
        <v>163</v>
      </c>
      <c r="L62" t="s">
        <v>163</v>
      </c>
      <c r="N62" t="s">
        <v>163</v>
      </c>
      <c r="P62">
        <f t="shared" si="2"/>
        <v>0</v>
      </c>
      <c r="Q62">
        <f t="shared" si="3"/>
        <v>6968.49</v>
      </c>
      <c r="R62">
        <f t="shared" si="4"/>
        <v>6241.660319999999</v>
      </c>
      <c r="S62">
        <f t="shared" si="5"/>
        <v>511.25549999999998</v>
      </c>
      <c r="T62">
        <f t="shared" si="6"/>
        <v>21.577920000000002</v>
      </c>
      <c r="U62" s="53">
        <f t="shared" si="1"/>
        <v>13.742983739999998</v>
      </c>
      <c r="V62" s="12">
        <v>13.567387167200254</v>
      </c>
      <c r="W62">
        <f t="shared" si="7"/>
        <v>-0.17559657279974417</v>
      </c>
      <c r="X62" s="15">
        <f t="shared" si="8"/>
        <v>-1.277717969560402E-2</v>
      </c>
      <c r="Y62">
        <f t="shared" si="9"/>
        <v>1.277717969560402E-2</v>
      </c>
    </row>
    <row r="63" spans="1:25">
      <c r="A63">
        <v>2015</v>
      </c>
      <c r="B63">
        <v>0</v>
      </c>
      <c r="C63">
        <v>127</v>
      </c>
      <c r="D63" s="1">
        <v>14465</v>
      </c>
      <c r="E63" s="1">
        <v>1979</v>
      </c>
      <c r="F63">
        <v>44</v>
      </c>
      <c r="G63" t="s">
        <v>163</v>
      </c>
      <c r="H63" t="s">
        <v>163</v>
      </c>
      <c r="I63" t="s">
        <v>163</v>
      </c>
      <c r="J63" s="1">
        <v>20175</v>
      </c>
      <c r="K63" t="s">
        <v>163</v>
      </c>
      <c r="L63" t="s">
        <v>163</v>
      </c>
      <c r="N63" t="s">
        <v>163</v>
      </c>
      <c r="P63">
        <f t="shared" si="2"/>
        <v>0</v>
      </c>
      <c r="Q63">
        <f t="shared" si="3"/>
        <v>6968.49</v>
      </c>
      <c r="R63">
        <f t="shared" si="4"/>
        <v>6190.7306999999992</v>
      </c>
      <c r="S63">
        <f t="shared" si="5"/>
        <v>477.92849999999999</v>
      </c>
      <c r="T63">
        <f t="shared" si="6"/>
        <v>18.258240000000004</v>
      </c>
      <c r="U63" s="53">
        <f t="shared" si="1"/>
        <v>13.655407439999998</v>
      </c>
      <c r="V63" s="12">
        <v>13.488631948658384</v>
      </c>
      <c r="W63">
        <f t="shared" si="7"/>
        <v>-0.16677549134161396</v>
      </c>
      <c r="X63" s="15">
        <f t="shared" si="8"/>
        <v>-1.221314648240287E-2</v>
      </c>
      <c r="Y63">
        <f t="shared" si="9"/>
        <v>1.221314648240287E-2</v>
      </c>
    </row>
    <row r="64" spans="1:25">
      <c r="A64">
        <v>2016</v>
      </c>
      <c r="B64">
        <v>0</v>
      </c>
      <c r="C64">
        <v>112</v>
      </c>
      <c r="D64" s="1">
        <v>11231</v>
      </c>
      <c r="E64" s="1">
        <v>1966</v>
      </c>
      <c r="F64">
        <v>52</v>
      </c>
      <c r="G64" t="s">
        <v>163</v>
      </c>
      <c r="H64" t="s">
        <v>163</v>
      </c>
      <c r="I64" t="s">
        <v>163</v>
      </c>
      <c r="J64" s="1">
        <v>19693</v>
      </c>
      <c r="K64" t="s">
        <v>163</v>
      </c>
      <c r="L64" t="s">
        <v>163</v>
      </c>
      <c r="N64" t="s">
        <v>163</v>
      </c>
      <c r="P64">
        <f t="shared" si="2"/>
        <v>0</v>
      </c>
      <c r="Q64">
        <f t="shared" si="3"/>
        <v>6145.44</v>
      </c>
      <c r="R64">
        <f t="shared" si="4"/>
        <v>4806.6433799999986</v>
      </c>
      <c r="S64">
        <f t="shared" si="5"/>
        <v>474.78899999999999</v>
      </c>
      <c r="T64">
        <f t="shared" si="6"/>
        <v>21.577920000000002</v>
      </c>
      <c r="U64" s="53">
        <f t="shared" si="1"/>
        <v>11.448450299999999</v>
      </c>
      <c r="V64" s="12">
        <v>11.272913044797342</v>
      </c>
      <c r="W64">
        <f t="shared" si="7"/>
        <v>-0.17553725520265751</v>
      </c>
      <c r="X64" s="15">
        <f t="shared" si="8"/>
        <v>-1.5332839869397652E-2</v>
      </c>
      <c r="Y64">
        <f t="shared" si="9"/>
        <v>1.5332839869397652E-2</v>
      </c>
    </row>
    <row r="65" spans="1:25">
      <c r="A65">
        <v>2017</v>
      </c>
      <c r="B65">
        <v>0</v>
      </c>
      <c r="C65">
        <v>121</v>
      </c>
      <c r="D65" s="1">
        <v>12279</v>
      </c>
      <c r="E65" s="1">
        <v>2118</v>
      </c>
      <c r="F65">
        <v>36</v>
      </c>
      <c r="G65" t="s">
        <v>163</v>
      </c>
      <c r="H65" t="s">
        <v>163</v>
      </c>
      <c r="I65" t="s">
        <v>163</v>
      </c>
      <c r="J65" s="1">
        <v>19338</v>
      </c>
      <c r="K65" t="s">
        <v>163</v>
      </c>
      <c r="L65" t="s">
        <v>163</v>
      </c>
      <c r="N65" t="s">
        <v>163</v>
      </c>
      <c r="P65">
        <f t="shared" si="2"/>
        <v>0</v>
      </c>
      <c r="Q65">
        <f t="shared" si="3"/>
        <v>6639.27</v>
      </c>
      <c r="R65">
        <f t="shared" si="4"/>
        <v>5255.1664199999987</v>
      </c>
      <c r="S65">
        <f t="shared" si="5"/>
        <v>511.49700000000001</v>
      </c>
      <c r="T65">
        <f t="shared" si="6"/>
        <v>14.938560000000003</v>
      </c>
      <c r="U65" s="53">
        <f t="shared" si="1"/>
        <v>12.420871979999998</v>
      </c>
      <c r="V65" s="12">
        <v>12.233847645145593</v>
      </c>
      <c r="W65">
        <f t="shared" si="7"/>
        <v>-0.18702433485440473</v>
      </c>
      <c r="X65" s="15">
        <f t="shared" si="8"/>
        <v>-1.5057262900346291E-2</v>
      </c>
      <c r="Y65">
        <f t="shared" si="9"/>
        <v>1.5057262900346291E-2</v>
      </c>
    </row>
    <row r="66" spans="1:25">
      <c r="A66">
        <v>2018</v>
      </c>
      <c r="B66">
        <v>0</v>
      </c>
      <c r="C66">
        <v>130</v>
      </c>
      <c r="D66" s="1">
        <v>13315</v>
      </c>
      <c r="E66" s="1">
        <v>2250</v>
      </c>
      <c r="F66">
        <v>35</v>
      </c>
      <c r="G66" t="s">
        <v>163</v>
      </c>
      <c r="H66" t="s">
        <v>163</v>
      </c>
      <c r="I66" t="s">
        <v>163</v>
      </c>
      <c r="J66" s="1">
        <v>20285</v>
      </c>
      <c r="K66" t="s">
        <v>163</v>
      </c>
      <c r="L66" t="s">
        <v>163</v>
      </c>
      <c r="N66" t="s">
        <v>163</v>
      </c>
      <c r="P66">
        <f t="shared" si="2"/>
        <v>0</v>
      </c>
      <c r="Q66">
        <f t="shared" si="3"/>
        <v>7133.1</v>
      </c>
      <c r="R66">
        <f t="shared" si="4"/>
        <v>5698.5536999999995</v>
      </c>
      <c r="S66">
        <f t="shared" si="5"/>
        <v>543.375</v>
      </c>
      <c r="T66">
        <f t="shared" si="6"/>
        <v>14.523600000000002</v>
      </c>
      <c r="U66" s="53">
        <f t="shared" si="1"/>
        <v>13.3895523</v>
      </c>
      <c r="V66" s="13">
        <v>13.271459779124175</v>
      </c>
      <c r="W66">
        <f t="shared" si="7"/>
        <v>-0.118092520875825</v>
      </c>
      <c r="X66" s="15">
        <f t="shared" si="8"/>
        <v>-8.819751267996093E-3</v>
      </c>
      <c r="Y66">
        <f t="shared" si="9"/>
        <v>8.819751267996093E-3</v>
      </c>
    </row>
    <row r="67" spans="1:25">
      <c r="A67">
        <v>2019</v>
      </c>
      <c r="B67">
        <v>0</v>
      </c>
      <c r="C67">
        <v>135</v>
      </c>
      <c r="D67" s="1">
        <v>13161</v>
      </c>
      <c r="E67" s="1">
        <v>2694</v>
      </c>
      <c r="F67">
        <v>43</v>
      </c>
      <c r="G67" t="s">
        <v>163</v>
      </c>
      <c r="H67" t="s">
        <v>163</v>
      </c>
      <c r="I67" t="s">
        <v>163</v>
      </c>
      <c r="J67" s="1">
        <v>19315</v>
      </c>
      <c r="K67" t="s">
        <v>163</v>
      </c>
      <c r="L67" t="s">
        <v>163</v>
      </c>
      <c r="N67" t="s">
        <v>163</v>
      </c>
      <c r="P67">
        <f t="shared" si="2"/>
        <v>0</v>
      </c>
      <c r="Q67">
        <f t="shared" si="3"/>
        <v>7407.45</v>
      </c>
      <c r="R67">
        <f t="shared" si="4"/>
        <v>5632.6447799999987</v>
      </c>
      <c r="S67">
        <f t="shared" si="5"/>
        <v>650.601</v>
      </c>
      <c r="T67">
        <f t="shared" si="6"/>
        <v>17.843280000000004</v>
      </c>
      <c r="U67" s="53">
        <f t="shared" si="1"/>
        <v>13.70853906</v>
      </c>
      <c r="V67" s="12">
        <v>13.599779170232134</v>
      </c>
      <c r="W67">
        <f t="shared" si="7"/>
        <v>-0.10875988976786566</v>
      </c>
      <c r="X67" s="15">
        <f t="shared" si="8"/>
        <v>-7.9337330762849108E-3</v>
      </c>
      <c r="Y67">
        <f t="shared" si="9"/>
        <v>7.9337330762849108E-3</v>
      </c>
    </row>
    <row r="68" spans="1:25">
      <c r="A68">
        <v>2020</v>
      </c>
      <c r="B68">
        <v>0</v>
      </c>
      <c r="C68">
        <v>120</v>
      </c>
      <c r="D68" s="1">
        <v>11817</v>
      </c>
      <c r="E68" s="1">
        <v>2249</v>
      </c>
      <c r="F68">
        <v>49</v>
      </c>
      <c r="G68" t="s">
        <v>163</v>
      </c>
      <c r="H68" t="s">
        <v>163</v>
      </c>
      <c r="I68" t="s">
        <v>163</v>
      </c>
      <c r="J68" s="1">
        <v>20345</v>
      </c>
      <c r="K68" t="s">
        <v>163</v>
      </c>
      <c r="L68" t="s">
        <v>163</v>
      </c>
      <c r="N68" t="s">
        <v>163</v>
      </c>
      <c r="P68">
        <f t="shared" si="2"/>
        <v>0</v>
      </c>
      <c r="Q68">
        <f t="shared" si="3"/>
        <v>6584.4</v>
      </c>
      <c r="R68">
        <f t="shared" si="4"/>
        <v>5057.4396599999991</v>
      </c>
      <c r="S68">
        <f t="shared" si="5"/>
        <v>543.13350000000003</v>
      </c>
      <c r="T68">
        <f t="shared" si="6"/>
        <v>20.333040000000004</v>
      </c>
      <c r="U68" s="53">
        <f t="shared" si="1"/>
        <v>12.205306199999997</v>
      </c>
      <c r="V68" s="12">
        <v>12.100645487882803</v>
      </c>
      <c r="W68">
        <f t="shared" si="7"/>
        <v>-0.10466071211719452</v>
      </c>
      <c r="X68" s="15">
        <f t="shared" si="8"/>
        <v>-8.5750173246120238E-3</v>
      </c>
      <c r="Y68">
        <f t="shared" si="9"/>
        <v>8.5750173246120238E-3</v>
      </c>
    </row>
    <row r="69" spans="1:25">
      <c r="A69">
        <v>2021</v>
      </c>
      <c r="B69">
        <v>0</v>
      </c>
      <c r="C69">
        <v>123</v>
      </c>
      <c r="D69" s="1">
        <v>12437</v>
      </c>
      <c r="E69" s="1">
        <v>2105</v>
      </c>
      <c r="F69">
        <v>37</v>
      </c>
      <c r="G69" t="s">
        <v>163</v>
      </c>
      <c r="H69" t="s">
        <v>163</v>
      </c>
      <c r="I69" t="s">
        <v>163</v>
      </c>
      <c r="J69" s="1">
        <v>20305</v>
      </c>
      <c r="K69" t="s">
        <v>163</v>
      </c>
      <c r="L69" t="s">
        <v>163</v>
      </c>
      <c r="P69">
        <f t="shared" si="2"/>
        <v>0</v>
      </c>
      <c r="Q69">
        <f t="shared" si="3"/>
        <v>6749.01</v>
      </c>
      <c r="R69">
        <f t="shared" si="4"/>
        <v>5322.7872599999992</v>
      </c>
      <c r="S69">
        <f t="shared" si="5"/>
        <v>508.35750000000002</v>
      </c>
      <c r="T69">
        <f t="shared" si="6"/>
        <v>15.353520000000001</v>
      </c>
      <c r="U69" s="53">
        <f t="shared" si="1"/>
        <v>12.595508280000001</v>
      </c>
      <c r="V69" s="14">
        <v>12.1</v>
      </c>
      <c r="W69">
        <f t="shared" si="7"/>
        <v>-0.49550828000000102</v>
      </c>
      <c r="X69" s="15">
        <f t="shared" si="8"/>
        <v>-3.9340078144111307E-2</v>
      </c>
      <c r="Y69">
        <f t="shared" si="9"/>
        <v>3.9340078144111307E-2</v>
      </c>
    </row>
    <row r="70" spans="1:25">
      <c r="U70" s="54"/>
      <c r="V70" s="14">
        <v>0</v>
      </c>
    </row>
  </sheetData>
  <mergeCells count="12">
    <mergeCell ref="D7:F7"/>
    <mergeCell ref="A5:A7"/>
    <mergeCell ref="B5:B6"/>
    <mergeCell ref="C5:C6"/>
    <mergeCell ref="D5:F5"/>
    <mergeCell ref="J5:J6"/>
    <mergeCell ref="K5:K7"/>
    <mergeCell ref="L5:M7"/>
    <mergeCell ref="N5:O7"/>
    <mergeCell ref="G6:G7"/>
    <mergeCell ref="H5:H7"/>
    <mergeCell ref="I5:I7"/>
  </mergeCells>
  <hyperlinks>
    <hyperlink ref="A2" r:id="rId1" xr:uid="{57816051-7B05-4338-B5B3-8A7385B3779C}"/>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D244D-6AE5-4E87-81B7-95100DEAC052}">
  <dimension ref="A1:W128"/>
  <sheetViews>
    <sheetView workbookViewId="0">
      <selection activeCell="L4" sqref="L4"/>
    </sheetView>
  </sheetViews>
  <sheetFormatPr defaultRowHeight="15"/>
  <cols>
    <col min="13" max="13" width="11.140625" customWidth="1"/>
    <col min="19" max="19" width="11.7109375" customWidth="1"/>
    <col min="23" max="24" width="9.140625" customWidth="1"/>
    <col min="25" max="25" width="32.7109375" customWidth="1"/>
  </cols>
  <sheetData>
    <row r="1" spans="1:19">
      <c r="A1" s="3" t="s">
        <v>135</v>
      </c>
    </row>
    <row r="2" spans="1:19" ht="23.25">
      <c r="A2" s="4" t="s">
        <v>138</v>
      </c>
    </row>
    <row r="3" spans="1:19">
      <c r="A3" s="129" t="s">
        <v>165</v>
      </c>
      <c r="B3" s="129"/>
      <c r="C3" s="129"/>
      <c r="D3" s="129"/>
      <c r="E3" s="129"/>
      <c r="F3" s="129"/>
      <c r="G3" s="129"/>
      <c r="H3" s="129"/>
      <c r="I3" s="129"/>
      <c r="J3" s="129"/>
      <c r="K3" s="129"/>
      <c r="L3" s="129"/>
      <c r="M3" s="129"/>
      <c r="N3" s="129"/>
      <c r="O3" s="129"/>
      <c r="P3" s="129"/>
      <c r="Q3" s="129"/>
      <c r="R3" s="129"/>
    </row>
    <row r="4" spans="1:19" s="5" customFormat="1" ht="67.5" customHeight="1">
      <c r="A4" s="91" t="s">
        <v>166</v>
      </c>
      <c r="B4" s="91" t="s">
        <v>167</v>
      </c>
      <c r="C4" s="91" t="s">
        <v>168</v>
      </c>
      <c r="D4" s="91" t="s">
        <v>150</v>
      </c>
      <c r="E4" s="91" t="s">
        <v>7</v>
      </c>
      <c r="F4" s="91" t="s">
        <v>161</v>
      </c>
      <c r="G4" s="91" t="s">
        <v>169</v>
      </c>
      <c r="H4" s="91" t="s">
        <v>170</v>
      </c>
      <c r="I4" s="91" t="s">
        <v>171</v>
      </c>
      <c r="J4" s="91" t="s">
        <v>172</v>
      </c>
      <c r="K4" s="91" t="s">
        <v>173</v>
      </c>
      <c r="L4" s="91" t="s">
        <v>174</v>
      </c>
      <c r="M4" s="91" t="s">
        <v>175</v>
      </c>
      <c r="N4" s="91" t="s">
        <v>176</v>
      </c>
      <c r="O4" s="91" t="s">
        <v>177</v>
      </c>
      <c r="P4" s="91" t="s">
        <v>178</v>
      </c>
      <c r="Q4" s="91" t="s">
        <v>322</v>
      </c>
      <c r="R4" s="91" t="s">
        <v>179</v>
      </c>
      <c r="S4" s="209" t="s">
        <v>449</v>
      </c>
    </row>
    <row r="5" spans="1:19">
      <c r="A5">
        <v>1960</v>
      </c>
      <c r="B5">
        <v>12.1</v>
      </c>
      <c r="C5">
        <v>46.6</v>
      </c>
      <c r="D5">
        <v>199.8</v>
      </c>
      <c r="E5">
        <v>2.4</v>
      </c>
      <c r="F5">
        <v>27.5</v>
      </c>
      <c r="G5">
        <v>229.8</v>
      </c>
      <c r="H5">
        <f>G5+C5+B5</f>
        <v>288.50000000000006</v>
      </c>
      <c r="I5">
        <v>8.5</v>
      </c>
      <c r="J5">
        <v>0</v>
      </c>
      <c r="K5">
        <v>0</v>
      </c>
      <c r="L5">
        <f>SUM(I5:K5)</f>
        <v>8.5</v>
      </c>
      <c r="M5">
        <v>14.3</v>
      </c>
      <c r="N5" s="204">
        <v>311.39999999999998</v>
      </c>
      <c r="O5" s="204">
        <f>N5-M5-L5</f>
        <v>288.59999999999997</v>
      </c>
      <c r="P5">
        <v>35.4</v>
      </c>
      <c r="Q5">
        <f t="shared" ref="Q5:Q36" si="0">M5+L5+H5-N5</f>
        <v>-9.9999999999909051E-2</v>
      </c>
      <c r="R5">
        <v>346.7</v>
      </c>
    </row>
    <row r="6" spans="1:19">
      <c r="A6">
        <v>1961</v>
      </c>
      <c r="B6">
        <v>9.6</v>
      </c>
      <c r="C6">
        <v>51.4</v>
      </c>
      <c r="D6">
        <v>205.6</v>
      </c>
      <c r="E6">
        <v>2.2000000000000002</v>
      </c>
      <c r="F6">
        <v>26.8</v>
      </c>
      <c r="G6">
        <v>234.5</v>
      </c>
      <c r="H6">
        <f t="shared" ref="H6:H66" si="1">G6+C6+B6</f>
        <v>295.5</v>
      </c>
      <c r="I6">
        <v>8.4</v>
      </c>
      <c r="J6">
        <v>0</v>
      </c>
      <c r="K6">
        <v>0</v>
      </c>
      <c r="L6">
        <f t="shared" ref="L6:L66" si="2">SUM(I6:K6)</f>
        <v>8.4</v>
      </c>
      <c r="M6">
        <v>15.2</v>
      </c>
      <c r="N6" s="204">
        <v>319</v>
      </c>
      <c r="O6" s="204">
        <f t="shared" ref="O6:O66" si="3">N6-M6-L6</f>
        <v>295.40000000000003</v>
      </c>
      <c r="P6">
        <v>37</v>
      </c>
      <c r="Q6">
        <f t="shared" si="0"/>
        <v>0.10000000000002274</v>
      </c>
      <c r="R6">
        <v>356</v>
      </c>
    </row>
    <row r="7" spans="1:19">
      <c r="A7">
        <v>1962</v>
      </c>
      <c r="B7">
        <v>9.1</v>
      </c>
      <c r="C7">
        <v>56</v>
      </c>
      <c r="D7">
        <v>210.8</v>
      </c>
      <c r="E7">
        <v>2.6</v>
      </c>
      <c r="F7">
        <v>26</v>
      </c>
      <c r="G7">
        <v>239.4</v>
      </c>
      <c r="H7">
        <f t="shared" si="1"/>
        <v>304.5</v>
      </c>
      <c r="I7">
        <v>8.3000000000000007</v>
      </c>
      <c r="J7">
        <v>0</v>
      </c>
      <c r="K7">
        <v>0</v>
      </c>
      <c r="L7">
        <f t="shared" si="2"/>
        <v>8.3000000000000007</v>
      </c>
      <c r="M7">
        <v>16.100000000000001</v>
      </c>
      <c r="N7" s="204">
        <v>328.9</v>
      </c>
      <c r="O7" s="204">
        <f t="shared" si="3"/>
        <v>304.49999999999994</v>
      </c>
      <c r="P7">
        <v>38.700000000000003</v>
      </c>
      <c r="Q7">
        <f t="shared" si="0"/>
        <v>0</v>
      </c>
      <c r="R7">
        <v>367.6</v>
      </c>
    </row>
    <row r="8" spans="1:19">
      <c r="A8">
        <v>1963</v>
      </c>
      <c r="B8">
        <v>6.6</v>
      </c>
      <c r="C8">
        <v>59.1</v>
      </c>
      <c r="D8">
        <v>199.7</v>
      </c>
      <c r="E8">
        <v>2.7</v>
      </c>
      <c r="F8">
        <v>23.2</v>
      </c>
      <c r="G8">
        <v>225.5</v>
      </c>
      <c r="H8">
        <f t="shared" si="1"/>
        <v>291.20000000000005</v>
      </c>
      <c r="I8">
        <v>8.1</v>
      </c>
      <c r="J8">
        <v>0</v>
      </c>
      <c r="K8">
        <v>0</v>
      </c>
      <c r="L8">
        <f t="shared" si="2"/>
        <v>8.1</v>
      </c>
      <c r="M8">
        <v>17.2</v>
      </c>
      <c r="N8" s="204">
        <v>316.5</v>
      </c>
      <c r="O8" s="204">
        <f t="shared" si="3"/>
        <v>291.2</v>
      </c>
      <c r="P8">
        <v>41</v>
      </c>
      <c r="Q8">
        <f t="shared" si="0"/>
        <v>0</v>
      </c>
      <c r="R8">
        <v>357.5</v>
      </c>
    </row>
    <row r="9" spans="1:19">
      <c r="A9">
        <v>1964</v>
      </c>
      <c r="B9">
        <v>6.3</v>
      </c>
      <c r="C9">
        <v>62.5</v>
      </c>
      <c r="D9">
        <v>193.1</v>
      </c>
      <c r="E9">
        <v>2.7</v>
      </c>
      <c r="F9">
        <v>18.5</v>
      </c>
      <c r="G9">
        <v>214.3</v>
      </c>
      <c r="H9">
        <f t="shared" si="1"/>
        <v>283.10000000000002</v>
      </c>
      <c r="I9">
        <v>7.7</v>
      </c>
      <c r="J9">
        <v>0</v>
      </c>
      <c r="K9">
        <v>0</v>
      </c>
      <c r="L9">
        <f t="shared" si="2"/>
        <v>7.7</v>
      </c>
      <c r="M9">
        <v>18.3</v>
      </c>
      <c r="N9" s="204">
        <v>309.2</v>
      </c>
      <c r="O9" s="204">
        <f t="shared" si="3"/>
        <v>283.2</v>
      </c>
      <c r="P9">
        <v>43.5</v>
      </c>
      <c r="Q9">
        <f t="shared" si="0"/>
        <v>-9.9999999999965894E-2</v>
      </c>
      <c r="R9">
        <v>352.6</v>
      </c>
    </row>
    <row r="10" spans="1:19">
      <c r="A10">
        <v>1965</v>
      </c>
      <c r="B10">
        <v>5.2</v>
      </c>
      <c r="C10">
        <v>65.7</v>
      </c>
      <c r="D10">
        <v>216</v>
      </c>
      <c r="E10">
        <v>3</v>
      </c>
      <c r="F10">
        <v>15.2</v>
      </c>
      <c r="G10">
        <v>234.2</v>
      </c>
      <c r="H10">
        <f t="shared" si="1"/>
        <v>305.09999999999997</v>
      </c>
      <c r="I10">
        <v>7.6</v>
      </c>
      <c r="J10">
        <v>0</v>
      </c>
      <c r="K10">
        <v>0</v>
      </c>
      <c r="L10">
        <f t="shared" si="2"/>
        <v>7.6</v>
      </c>
      <c r="M10">
        <v>19.7</v>
      </c>
      <c r="N10" s="204">
        <v>332.3</v>
      </c>
      <c r="O10" s="204">
        <f t="shared" si="3"/>
        <v>305</v>
      </c>
      <c r="P10">
        <v>47</v>
      </c>
      <c r="Q10">
        <f t="shared" si="0"/>
        <v>9.9999999999965894E-2</v>
      </c>
      <c r="R10">
        <v>379.2</v>
      </c>
    </row>
    <row r="11" spans="1:19">
      <c r="A11">
        <v>1966</v>
      </c>
      <c r="B11">
        <v>4.5999999999999996</v>
      </c>
      <c r="C11">
        <v>67.2</v>
      </c>
      <c r="D11">
        <v>193</v>
      </c>
      <c r="E11">
        <v>2.6</v>
      </c>
      <c r="F11">
        <v>10.8</v>
      </c>
      <c r="G11">
        <v>206.4</v>
      </c>
      <c r="H11">
        <f t="shared" si="1"/>
        <v>278.20000000000005</v>
      </c>
      <c r="I11">
        <v>7.6</v>
      </c>
      <c r="J11">
        <v>0</v>
      </c>
      <c r="K11">
        <v>0</v>
      </c>
      <c r="L11">
        <f t="shared" si="2"/>
        <v>7.6</v>
      </c>
      <c r="M11">
        <v>21.2</v>
      </c>
      <c r="N11" s="204">
        <v>307</v>
      </c>
      <c r="O11" s="204">
        <f t="shared" si="3"/>
        <v>278.2</v>
      </c>
      <c r="P11">
        <v>50.9</v>
      </c>
      <c r="Q11">
        <f t="shared" si="0"/>
        <v>0</v>
      </c>
      <c r="R11">
        <v>357.9</v>
      </c>
    </row>
    <row r="12" spans="1:19">
      <c r="A12">
        <v>1967</v>
      </c>
      <c r="B12">
        <v>4.0999999999999996</v>
      </c>
      <c r="C12">
        <v>74.400000000000006</v>
      </c>
      <c r="D12">
        <v>208.4</v>
      </c>
      <c r="E12">
        <v>2.6</v>
      </c>
      <c r="F12">
        <v>9.3000000000000007</v>
      </c>
      <c r="G12">
        <v>220.3</v>
      </c>
      <c r="H12">
        <f t="shared" si="1"/>
        <v>298.80000000000007</v>
      </c>
      <c r="I12">
        <v>8.1</v>
      </c>
      <c r="J12">
        <v>0</v>
      </c>
      <c r="K12">
        <v>0</v>
      </c>
      <c r="L12">
        <f t="shared" si="2"/>
        <v>8.1</v>
      </c>
      <c r="M12">
        <v>23.6</v>
      </c>
      <c r="N12" s="204">
        <v>330.6</v>
      </c>
      <c r="O12" s="204">
        <f t="shared" si="3"/>
        <v>298.89999999999998</v>
      </c>
      <c r="P12">
        <v>56.5</v>
      </c>
      <c r="Q12">
        <f t="shared" si="0"/>
        <v>-9.9999999999965894E-2</v>
      </c>
      <c r="R12">
        <v>387.1</v>
      </c>
    </row>
    <row r="13" spans="1:19">
      <c r="A13">
        <v>1968</v>
      </c>
      <c r="B13">
        <v>3.9</v>
      </c>
      <c r="C13">
        <v>75.8</v>
      </c>
      <c r="D13">
        <v>214.5</v>
      </c>
      <c r="E13">
        <v>2.8</v>
      </c>
      <c r="F13">
        <v>8</v>
      </c>
      <c r="G13">
        <v>225.3</v>
      </c>
      <c r="H13">
        <f t="shared" si="1"/>
        <v>305</v>
      </c>
      <c r="I13">
        <v>8.3000000000000007</v>
      </c>
      <c r="J13">
        <v>0</v>
      </c>
      <c r="K13">
        <v>0</v>
      </c>
      <c r="L13">
        <f t="shared" si="2"/>
        <v>8.3000000000000007</v>
      </c>
      <c r="M13">
        <v>25.9</v>
      </c>
      <c r="N13" s="204">
        <v>339.2</v>
      </c>
      <c r="O13" s="204">
        <f t="shared" si="3"/>
        <v>305</v>
      </c>
      <c r="P13">
        <v>61.7</v>
      </c>
      <c r="Q13">
        <f t="shared" si="0"/>
        <v>0</v>
      </c>
      <c r="R13">
        <v>400.9</v>
      </c>
    </row>
    <row r="14" spans="1:19">
      <c r="A14">
        <v>1969</v>
      </c>
      <c r="B14">
        <v>3</v>
      </c>
      <c r="C14">
        <v>79.400000000000006</v>
      </c>
      <c r="D14">
        <v>221</v>
      </c>
      <c r="E14">
        <v>3.2</v>
      </c>
      <c r="F14">
        <v>8.1</v>
      </c>
      <c r="G14">
        <v>232.2</v>
      </c>
      <c r="H14">
        <f t="shared" si="1"/>
        <v>314.60000000000002</v>
      </c>
      <c r="I14">
        <v>8.6</v>
      </c>
      <c r="J14">
        <v>0</v>
      </c>
      <c r="K14">
        <v>0</v>
      </c>
      <c r="L14">
        <f t="shared" si="2"/>
        <v>8.6</v>
      </c>
      <c r="M14">
        <v>28.7</v>
      </c>
      <c r="N14" s="204">
        <v>351.8</v>
      </c>
      <c r="O14" s="204">
        <f t="shared" si="3"/>
        <v>314.5</v>
      </c>
      <c r="P14">
        <v>68.400000000000006</v>
      </c>
      <c r="Q14">
        <f t="shared" si="0"/>
        <v>0.10000000000002274</v>
      </c>
      <c r="R14">
        <v>420.2</v>
      </c>
    </row>
    <row r="15" spans="1:19">
      <c r="A15">
        <v>1970</v>
      </c>
      <c r="B15">
        <v>2.5</v>
      </c>
      <c r="C15">
        <v>83.6</v>
      </c>
      <c r="D15">
        <v>224.4</v>
      </c>
      <c r="E15">
        <v>3</v>
      </c>
      <c r="F15">
        <v>8.1</v>
      </c>
      <c r="G15">
        <v>235.6</v>
      </c>
      <c r="H15">
        <f t="shared" si="1"/>
        <v>321.7</v>
      </c>
      <c r="I15">
        <v>9.1999999999999993</v>
      </c>
      <c r="J15">
        <v>0</v>
      </c>
      <c r="K15">
        <v>0</v>
      </c>
      <c r="L15">
        <f t="shared" si="2"/>
        <v>9.1999999999999993</v>
      </c>
      <c r="M15">
        <v>31.8</v>
      </c>
      <c r="N15" s="204">
        <v>362.7</v>
      </c>
      <c r="O15" s="204">
        <f t="shared" si="3"/>
        <v>321.7</v>
      </c>
      <c r="P15">
        <v>77.099999999999994</v>
      </c>
      <c r="Q15">
        <f t="shared" si="0"/>
        <v>0</v>
      </c>
      <c r="R15">
        <v>439.8</v>
      </c>
    </row>
    <row r="16" spans="1:19">
      <c r="A16">
        <v>1971</v>
      </c>
      <c r="B16">
        <v>1.9</v>
      </c>
      <c r="C16">
        <v>84.4</v>
      </c>
      <c r="D16">
        <v>233.7</v>
      </c>
      <c r="E16">
        <v>3</v>
      </c>
      <c r="F16">
        <v>8.1</v>
      </c>
      <c r="G16">
        <v>244.8</v>
      </c>
      <c r="H16">
        <f t="shared" si="1"/>
        <v>331.1</v>
      </c>
      <c r="I16">
        <v>9.1</v>
      </c>
      <c r="J16">
        <v>0</v>
      </c>
      <c r="K16">
        <v>0</v>
      </c>
      <c r="L16">
        <f t="shared" si="2"/>
        <v>9.1</v>
      </c>
      <c r="M16">
        <v>34.799999999999997</v>
      </c>
      <c r="N16" s="204">
        <v>375</v>
      </c>
      <c r="O16" s="204">
        <f t="shared" si="3"/>
        <v>331.09999999999997</v>
      </c>
      <c r="P16">
        <v>83.9</v>
      </c>
      <c r="Q16">
        <f t="shared" si="0"/>
        <v>0</v>
      </c>
      <c r="R16">
        <v>459</v>
      </c>
    </row>
    <row r="17" spans="1:23">
      <c r="A17">
        <v>1972</v>
      </c>
      <c r="B17">
        <v>1.3</v>
      </c>
      <c r="C17">
        <v>87.2</v>
      </c>
      <c r="D17">
        <v>241.2</v>
      </c>
      <c r="E17">
        <v>3.4</v>
      </c>
      <c r="F17">
        <v>8.6</v>
      </c>
      <c r="G17">
        <v>253.1</v>
      </c>
      <c r="H17">
        <f t="shared" si="1"/>
        <v>341.6</v>
      </c>
      <c r="I17">
        <v>9.4</v>
      </c>
      <c r="J17">
        <v>0</v>
      </c>
      <c r="K17">
        <v>0</v>
      </c>
      <c r="L17">
        <f t="shared" si="2"/>
        <v>9.4</v>
      </c>
      <c r="M17">
        <v>37.4</v>
      </c>
      <c r="N17" s="204">
        <v>388.5</v>
      </c>
      <c r="O17" s="204">
        <f t="shared" si="3"/>
        <v>341.70000000000005</v>
      </c>
      <c r="P17">
        <v>89.6</v>
      </c>
      <c r="Q17">
        <f>M17+L17+H17-N17</f>
        <v>-9.9999999999965894E-2</v>
      </c>
      <c r="R17">
        <v>478</v>
      </c>
    </row>
    <row r="18" spans="1:23">
      <c r="A18">
        <v>1973</v>
      </c>
      <c r="B18">
        <v>1.2</v>
      </c>
      <c r="C18">
        <v>84.9</v>
      </c>
      <c r="D18">
        <v>242.5</v>
      </c>
      <c r="E18">
        <v>3.1</v>
      </c>
      <c r="F18">
        <v>5.9</v>
      </c>
      <c r="G18">
        <v>251.5</v>
      </c>
      <c r="H18">
        <f t="shared" si="1"/>
        <v>337.59999999999997</v>
      </c>
      <c r="I18">
        <v>8.6999999999999993</v>
      </c>
      <c r="J18">
        <v>0</v>
      </c>
      <c r="K18">
        <v>0</v>
      </c>
      <c r="L18">
        <f t="shared" si="2"/>
        <v>8.6999999999999993</v>
      </c>
      <c r="M18">
        <v>40</v>
      </c>
      <c r="N18" s="204">
        <v>386.3</v>
      </c>
      <c r="O18" s="204">
        <f t="shared" si="3"/>
        <v>337.6</v>
      </c>
      <c r="P18">
        <v>94.9</v>
      </c>
      <c r="Q18">
        <f t="shared" si="0"/>
        <v>0</v>
      </c>
      <c r="R18">
        <v>481.2</v>
      </c>
    </row>
    <row r="19" spans="1:23">
      <c r="A19">
        <v>1974</v>
      </c>
      <c r="B19">
        <v>1</v>
      </c>
      <c r="C19">
        <v>86.3</v>
      </c>
      <c r="D19">
        <v>227.7</v>
      </c>
      <c r="E19">
        <v>3.1</v>
      </c>
      <c r="F19">
        <v>3.6</v>
      </c>
      <c r="G19">
        <v>234.3</v>
      </c>
      <c r="H19">
        <f t="shared" si="1"/>
        <v>321.60000000000002</v>
      </c>
      <c r="I19">
        <v>9.1</v>
      </c>
      <c r="J19">
        <v>0</v>
      </c>
      <c r="K19">
        <v>0</v>
      </c>
      <c r="L19">
        <f t="shared" si="2"/>
        <v>9.1</v>
      </c>
      <c r="M19">
        <v>39</v>
      </c>
      <c r="N19" s="204">
        <v>369.7</v>
      </c>
      <c r="O19" s="204">
        <f t="shared" si="3"/>
        <v>321.59999999999997</v>
      </c>
      <c r="P19">
        <v>94.4</v>
      </c>
      <c r="Q19">
        <f t="shared" si="0"/>
        <v>0</v>
      </c>
      <c r="R19">
        <v>464.1</v>
      </c>
    </row>
    <row r="20" spans="1:23">
      <c r="A20">
        <v>1975</v>
      </c>
      <c r="B20">
        <v>0.7</v>
      </c>
      <c r="C20">
        <v>90.6</v>
      </c>
      <c r="D20">
        <v>220.5</v>
      </c>
      <c r="E20">
        <v>3.2</v>
      </c>
      <c r="F20">
        <v>3.3</v>
      </c>
      <c r="G20">
        <v>227.1</v>
      </c>
      <c r="H20">
        <f t="shared" si="1"/>
        <v>318.39999999999998</v>
      </c>
      <c r="I20">
        <v>9.8000000000000007</v>
      </c>
      <c r="J20">
        <v>0</v>
      </c>
      <c r="K20">
        <v>0</v>
      </c>
      <c r="L20">
        <f t="shared" si="2"/>
        <v>9.8000000000000007</v>
      </c>
      <c r="M20">
        <v>36.299999999999997</v>
      </c>
      <c r="N20" s="204">
        <v>364.6</v>
      </c>
      <c r="O20" s="204">
        <f t="shared" si="3"/>
        <v>318.5</v>
      </c>
      <c r="P20">
        <v>87.1</v>
      </c>
      <c r="Q20">
        <f>M20+L20+H20-N20</f>
        <v>-0.10000000000002274</v>
      </c>
      <c r="R20">
        <v>451.7</v>
      </c>
    </row>
    <row r="21" spans="1:23">
      <c r="A21">
        <v>1976</v>
      </c>
      <c r="B21">
        <v>0.6</v>
      </c>
      <c r="C21">
        <v>95.7</v>
      </c>
      <c r="D21">
        <v>238.8</v>
      </c>
      <c r="E21">
        <v>3.4</v>
      </c>
      <c r="F21">
        <v>3.7</v>
      </c>
      <c r="G21">
        <v>245.9</v>
      </c>
      <c r="H21">
        <f t="shared" si="1"/>
        <v>342.20000000000005</v>
      </c>
      <c r="I21">
        <v>10.9</v>
      </c>
      <c r="J21">
        <v>0</v>
      </c>
      <c r="K21">
        <v>0</v>
      </c>
      <c r="L21">
        <f t="shared" si="2"/>
        <v>10.9</v>
      </c>
      <c r="M21">
        <v>38.299999999999997</v>
      </c>
      <c r="N21" s="204">
        <v>391.4</v>
      </c>
      <c r="O21" s="204">
        <f t="shared" si="3"/>
        <v>342.2</v>
      </c>
      <c r="P21">
        <v>91.7</v>
      </c>
      <c r="Q21">
        <f t="shared" si="0"/>
        <v>0</v>
      </c>
      <c r="R21">
        <v>483.1</v>
      </c>
    </row>
    <row r="22" spans="1:23">
      <c r="A22">
        <v>1977</v>
      </c>
      <c r="B22">
        <v>0.6</v>
      </c>
      <c r="C22">
        <v>93.9</v>
      </c>
      <c r="D22">
        <v>232.4</v>
      </c>
      <c r="E22">
        <v>3.8</v>
      </c>
      <c r="F22">
        <v>3.8</v>
      </c>
      <c r="G22">
        <v>240</v>
      </c>
      <c r="H22">
        <f t="shared" si="1"/>
        <v>334.5</v>
      </c>
      <c r="I22">
        <v>12</v>
      </c>
      <c r="J22">
        <v>0</v>
      </c>
      <c r="K22">
        <v>0</v>
      </c>
      <c r="L22">
        <f t="shared" si="2"/>
        <v>12</v>
      </c>
      <c r="M22">
        <v>37.799999999999997</v>
      </c>
      <c r="N22" s="204">
        <v>384.3</v>
      </c>
      <c r="O22" s="204">
        <f t="shared" si="3"/>
        <v>334.5</v>
      </c>
      <c r="P22">
        <v>90.4</v>
      </c>
      <c r="Q22">
        <f t="shared" si="0"/>
        <v>0</v>
      </c>
      <c r="R22">
        <v>474.7</v>
      </c>
    </row>
    <row r="23" spans="1:23">
      <c r="A23">
        <v>1978</v>
      </c>
      <c r="B23">
        <v>0.4</v>
      </c>
      <c r="C23">
        <v>87.6</v>
      </c>
      <c r="D23">
        <v>222</v>
      </c>
      <c r="E23">
        <v>3.6</v>
      </c>
      <c r="F23">
        <v>2.6</v>
      </c>
      <c r="G23">
        <v>228.2</v>
      </c>
      <c r="H23">
        <f t="shared" si="1"/>
        <v>316.19999999999993</v>
      </c>
      <c r="I23">
        <v>14.4</v>
      </c>
      <c r="J23">
        <v>0</v>
      </c>
      <c r="K23">
        <v>0</v>
      </c>
      <c r="L23">
        <f t="shared" si="2"/>
        <v>14.4</v>
      </c>
      <c r="M23">
        <v>38.4</v>
      </c>
      <c r="N23" s="204">
        <v>368.9</v>
      </c>
      <c r="O23" s="204">
        <f t="shared" si="3"/>
        <v>316.10000000000002</v>
      </c>
      <c r="P23">
        <v>92.9</v>
      </c>
      <c r="Q23">
        <f t="shared" si="0"/>
        <v>9.9999999999965894E-2</v>
      </c>
      <c r="R23">
        <v>461.8</v>
      </c>
      <c r="S23" s="220" t="s">
        <v>448</v>
      </c>
      <c r="T23" s="220"/>
    </row>
    <row r="24" spans="1:23">
      <c r="A24">
        <v>1979</v>
      </c>
      <c r="B24">
        <v>0.3</v>
      </c>
      <c r="C24">
        <v>81.599999999999994</v>
      </c>
      <c r="D24">
        <v>153</v>
      </c>
      <c r="E24">
        <v>2.1</v>
      </c>
      <c r="F24">
        <v>2.5</v>
      </c>
      <c r="G24">
        <v>157.6</v>
      </c>
      <c r="H24">
        <f t="shared" si="1"/>
        <v>239.5</v>
      </c>
      <c r="I24">
        <v>16.2</v>
      </c>
      <c r="J24">
        <v>0</v>
      </c>
      <c r="K24">
        <v>0</v>
      </c>
      <c r="L24">
        <f t="shared" si="2"/>
        <v>16.2</v>
      </c>
      <c r="M24">
        <v>39</v>
      </c>
      <c r="N24" s="218">
        <v>294.60000000000002</v>
      </c>
      <c r="O24" s="218">
        <f t="shared" si="3"/>
        <v>239.40000000000003</v>
      </c>
      <c r="P24">
        <v>93</v>
      </c>
      <c r="Q24">
        <f t="shared" si="0"/>
        <v>9.9999999999965894E-2</v>
      </c>
      <c r="R24">
        <v>387.6</v>
      </c>
      <c r="S24" s="220"/>
      <c r="T24" s="220"/>
    </row>
    <row r="25" spans="1:23">
      <c r="A25" s="215">
        <v>1980</v>
      </c>
      <c r="B25" s="215">
        <v>0.5</v>
      </c>
      <c r="C25" s="215">
        <v>96</v>
      </c>
      <c r="D25" s="215">
        <v>132.30000000000001</v>
      </c>
      <c r="E25" s="215">
        <v>2.2000000000000002</v>
      </c>
      <c r="F25" s="215">
        <v>1.8</v>
      </c>
      <c r="G25" s="215">
        <v>136.30000000000001</v>
      </c>
      <c r="H25" s="215">
        <f t="shared" si="1"/>
        <v>232.8</v>
      </c>
      <c r="I25" s="215">
        <v>42</v>
      </c>
      <c r="J25" s="215">
        <v>0</v>
      </c>
      <c r="K25" s="215">
        <v>0</v>
      </c>
      <c r="L25" s="215">
        <f t="shared" si="2"/>
        <v>42</v>
      </c>
      <c r="M25" s="215">
        <v>39.5</v>
      </c>
      <c r="N25" s="219">
        <v>306.10000000000002</v>
      </c>
      <c r="O25" s="219">
        <f t="shared" si="3"/>
        <v>224.60000000000002</v>
      </c>
      <c r="P25" s="215">
        <v>94.8</v>
      </c>
      <c r="Q25" s="216">
        <f t="shared" si="0"/>
        <v>8.1999999999999886</v>
      </c>
      <c r="R25" s="215">
        <v>401</v>
      </c>
      <c r="S25" s="217">
        <f>+'Double Count of SGF'!A36</f>
        <v>8.1139197377049186</v>
      </c>
      <c r="V25">
        <v>314.39999999999998</v>
      </c>
      <c r="W25">
        <v>285.39999999999998</v>
      </c>
    </row>
    <row r="26" spans="1:23">
      <c r="A26">
        <v>1981</v>
      </c>
      <c r="B26">
        <v>0.6</v>
      </c>
      <c r="C26">
        <v>98.3</v>
      </c>
      <c r="D26">
        <v>108.9</v>
      </c>
      <c r="E26">
        <v>2.2999999999999998</v>
      </c>
      <c r="F26">
        <v>1</v>
      </c>
      <c r="G26">
        <v>112.3</v>
      </c>
      <c r="H26">
        <f t="shared" si="1"/>
        <v>211.2</v>
      </c>
      <c r="I26">
        <v>38.4</v>
      </c>
      <c r="J26">
        <v>0</v>
      </c>
      <c r="K26">
        <v>0</v>
      </c>
      <c r="L26">
        <f t="shared" si="2"/>
        <v>38.4</v>
      </c>
      <c r="M26">
        <v>39.9</v>
      </c>
      <c r="N26" s="159">
        <v>277.7</v>
      </c>
      <c r="O26" s="159">
        <f t="shared" si="3"/>
        <v>199.39999999999998</v>
      </c>
      <c r="P26">
        <v>93.4</v>
      </c>
      <c r="Q26" s="204">
        <f t="shared" si="0"/>
        <v>11.800000000000011</v>
      </c>
      <c r="R26">
        <v>371</v>
      </c>
      <c r="S26" s="205">
        <f>+'Double Count of SGF'!A37</f>
        <v>11.765409989189189</v>
      </c>
      <c r="V26">
        <v>384.5</v>
      </c>
      <c r="W26">
        <v>384.52</v>
      </c>
    </row>
    <row r="27" spans="1:23">
      <c r="A27">
        <v>1982</v>
      </c>
      <c r="B27">
        <v>0.6</v>
      </c>
      <c r="C27">
        <v>99.8</v>
      </c>
      <c r="D27">
        <v>105.4</v>
      </c>
      <c r="E27">
        <v>2.2999999999999998</v>
      </c>
      <c r="F27">
        <v>2.9</v>
      </c>
      <c r="G27">
        <v>110.5</v>
      </c>
      <c r="H27">
        <f t="shared" si="1"/>
        <v>210.9</v>
      </c>
      <c r="I27">
        <v>34.799999999999997</v>
      </c>
      <c r="J27">
        <v>0</v>
      </c>
      <c r="K27">
        <v>0</v>
      </c>
      <c r="L27">
        <f t="shared" si="2"/>
        <v>34.799999999999997</v>
      </c>
      <c r="M27">
        <v>40.9</v>
      </c>
      <c r="N27" s="159">
        <v>277.60000000000002</v>
      </c>
      <c r="O27" s="159">
        <f t="shared" si="3"/>
        <v>201.90000000000003</v>
      </c>
      <c r="P27">
        <v>96.7</v>
      </c>
      <c r="Q27" s="204">
        <f t="shared" si="0"/>
        <v>9</v>
      </c>
      <c r="R27">
        <v>374.3</v>
      </c>
      <c r="S27" s="205">
        <f>+'Double Count of SGF'!A38</f>
        <v>9.0855588923076915</v>
      </c>
      <c r="V27" s="158">
        <f>+V25/V26</f>
        <v>0.8176853055916774</v>
      </c>
      <c r="W27">
        <f>+W25/W26</f>
        <v>0.74222407156974923</v>
      </c>
    </row>
    <row r="28" spans="1:23">
      <c r="A28">
        <v>1983</v>
      </c>
      <c r="B28">
        <v>0.5</v>
      </c>
      <c r="C28">
        <v>93.7</v>
      </c>
      <c r="D28">
        <v>102.3</v>
      </c>
      <c r="E28">
        <v>2.7</v>
      </c>
      <c r="F28">
        <v>0.9</v>
      </c>
      <c r="G28">
        <v>106</v>
      </c>
      <c r="H28">
        <f t="shared" si="1"/>
        <v>200.2</v>
      </c>
      <c r="I28">
        <v>42.6</v>
      </c>
      <c r="J28">
        <v>0</v>
      </c>
      <c r="K28">
        <v>0</v>
      </c>
      <c r="L28">
        <f t="shared" si="2"/>
        <v>42.6</v>
      </c>
      <c r="M28">
        <v>42.4</v>
      </c>
      <c r="N28" s="159">
        <v>280</v>
      </c>
      <c r="O28" s="159">
        <f t="shared" si="3"/>
        <v>195</v>
      </c>
      <c r="P28">
        <v>99.8</v>
      </c>
      <c r="Q28" s="204">
        <f t="shared" si="0"/>
        <v>5.1999999999999886</v>
      </c>
      <c r="R28">
        <v>379.8</v>
      </c>
      <c r="S28" s="205">
        <f>+'Double Count of SGF'!A39</f>
        <v>5.3140818429319365</v>
      </c>
    </row>
    <row r="29" spans="1:23">
      <c r="A29">
        <v>1984</v>
      </c>
      <c r="B29">
        <v>1</v>
      </c>
      <c r="C29">
        <v>99.2</v>
      </c>
      <c r="D29">
        <v>120.3</v>
      </c>
      <c r="E29">
        <v>2.8</v>
      </c>
      <c r="F29">
        <v>3.9</v>
      </c>
      <c r="G29">
        <v>127</v>
      </c>
      <c r="H29">
        <f t="shared" si="1"/>
        <v>227.2</v>
      </c>
      <c r="I29">
        <v>28.5</v>
      </c>
      <c r="J29">
        <v>0</v>
      </c>
      <c r="K29">
        <v>0</v>
      </c>
      <c r="L29">
        <f t="shared" si="2"/>
        <v>28.5</v>
      </c>
      <c r="M29">
        <v>43.3</v>
      </c>
      <c r="N29" s="159">
        <v>296</v>
      </c>
      <c r="O29" s="159">
        <f t="shared" si="3"/>
        <v>224.2</v>
      </c>
      <c r="P29">
        <v>98.8</v>
      </c>
      <c r="Q29" s="204">
        <f t="shared" si="0"/>
        <v>3</v>
      </c>
      <c r="R29">
        <v>394.8</v>
      </c>
      <c r="S29" s="205">
        <f>+'Double Count of SGF'!A40</f>
        <v>3.1226852631578947</v>
      </c>
    </row>
    <row r="30" spans="1:23">
      <c r="A30">
        <v>1985</v>
      </c>
      <c r="B30">
        <v>0.7</v>
      </c>
      <c r="C30">
        <v>100.1</v>
      </c>
      <c r="D30">
        <v>116.9</v>
      </c>
      <c r="E30">
        <v>3.3</v>
      </c>
      <c r="F30">
        <v>3.3</v>
      </c>
      <c r="G30">
        <v>123.4</v>
      </c>
      <c r="H30">
        <f t="shared" si="1"/>
        <v>224.2</v>
      </c>
      <c r="I30">
        <v>29.4</v>
      </c>
      <c r="J30">
        <v>0</v>
      </c>
      <c r="K30">
        <v>0</v>
      </c>
      <c r="L30">
        <f t="shared" si="2"/>
        <v>29.4</v>
      </c>
      <c r="M30">
        <v>44</v>
      </c>
      <c r="N30" s="159">
        <v>296</v>
      </c>
      <c r="O30" s="159">
        <f t="shared" si="3"/>
        <v>222.6</v>
      </c>
      <c r="P30">
        <v>100.9</v>
      </c>
      <c r="Q30" s="204">
        <f t="shared" si="0"/>
        <v>1.6000000000000227</v>
      </c>
      <c r="R30">
        <v>396.9</v>
      </c>
      <c r="S30" s="205">
        <f>+'Double Count of SGF'!A41</f>
        <v>1.6873469954337901</v>
      </c>
    </row>
    <row r="31" spans="1:23">
      <c r="A31">
        <v>1986</v>
      </c>
      <c r="B31">
        <v>0.4</v>
      </c>
      <c r="C31">
        <v>104.9</v>
      </c>
      <c r="D31">
        <v>120.1</v>
      </c>
      <c r="E31">
        <v>3.7</v>
      </c>
      <c r="F31">
        <v>2.8</v>
      </c>
      <c r="G31">
        <v>126.6</v>
      </c>
      <c r="H31">
        <f t="shared" si="1"/>
        <v>231.9</v>
      </c>
      <c r="I31">
        <v>26.8</v>
      </c>
      <c r="J31">
        <v>0</v>
      </c>
      <c r="K31">
        <v>0</v>
      </c>
      <c r="L31">
        <f t="shared" si="2"/>
        <v>26.8</v>
      </c>
      <c r="M31">
        <v>46.4</v>
      </c>
      <c r="N31" s="159">
        <v>303.8</v>
      </c>
      <c r="O31" s="159">
        <f t="shared" si="3"/>
        <v>230.60000000000002</v>
      </c>
      <c r="P31">
        <v>104.2</v>
      </c>
      <c r="Q31" s="204">
        <f t="shared" si="0"/>
        <v>1.3000000000000114</v>
      </c>
      <c r="R31">
        <v>408</v>
      </c>
      <c r="S31" s="205">
        <f>+'Double Count of SGF'!A42</f>
        <v>1.3411420645161289</v>
      </c>
    </row>
    <row r="32" spans="1:23">
      <c r="A32">
        <v>1987</v>
      </c>
      <c r="B32">
        <v>0.3</v>
      </c>
      <c r="C32">
        <v>108</v>
      </c>
      <c r="D32">
        <v>123.6</v>
      </c>
      <c r="E32">
        <v>4.4000000000000004</v>
      </c>
      <c r="F32">
        <v>3</v>
      </c>
      <c r="G32">
        <v>131</v>
      </c>
      <c r="H32">
        <f t="shared" si="1"/>
        <v>239.3</v>
      </c>
      <c r="I32">
        <v>19.100000000000001</v>
      </c>
      <c r="J32">
        <v>0</v>
      </c>
      <c r="K32">
        <v>0</v>
      </c>
      <c r="L32">
        <f t="shared" si="2"/>
        <v>19.100000000000001</v>
      </c>
      <c r="M32">
        <v>49.4</v>
      </c>
      <c r="N32" s="159">
        <v>307.10000000000002</v>
      </c>
      <c r="O32" s="159">
        <f t="shared" si="3"/>
        <v>238.60000000000005</v>
      </c>
      <c r="P32">
        <v>109.3</v>
      </c>
      <c r="Q32" s="204">
        <f t="shared" si="0"/>
        <v>0.69999999999998863</v>
      </c>
      <c r="R32">
        <v>416.4</v>
      </c>
      <c r="S32" s="205">
        <f>+'Double Count of SGF'!A43</f>
        <v>0.66761127753303962</v>
      </c>
    </row>
    <row r="33" spans="1:19">
      <c r="A33">
        <v>1988</v>
      </c>
      <c r="B33">
        <v>0.4</v>
      </c>
      <c r="C33">
        <v>111.9</v>
      </c>
      <c r="D33">
        <v>123.6</v>
      </c>
      <c r="E33">
        <v>4.3</v>
      </c>
      <c r="F33">
        <v>1.7</v>
      </c>
      <c r="G33">
        <v>129.6</v>
      </c>
      <c r="H33">
        <f t="shared" si="1"/>
        <v>241.9</v>
      </c>
      <c r="I33">
        <v>20.3</v>
      </c>
      <c r="J33">
        <v>0</v>
      </c>
      <c r="K33">
        <v>0</v>
      </c>
      <c r="L33">
        <f t="shared" si="2"/>
        <v>20.3</v>
      </c>
      <c r="M33">
        <v>52.9</v>
      </c>
      <c r="N33" s="159">
        <v>314.7</v>
      </c>
      <c r="O33" s="159">
        <f t="shared" si="3"/>
        <v>241.5</v>
      </c>
      <c r="P33">
        <v>117.2</v>
      </c>
      <c r="Q33" s="204">
        <f t="shared" si="0"/>
        <v>0.40000000000003411</v>
      </c>
      <c r="R33">
        <v>431.9</v>
      </c>
      <c r="S33" s="205">
        <f>+'Double Count of SGF'!A44</f>
        <v>0.46520166824644549</v>
      </c>
    </row>
    <row r="34" spans="1:19">
      <c r="A34">
        <v>1989</v>
      </c>
      <c r="B34">
        <v>0.3</v>
      </c>
      <c r="C34">
        <v>115.7</v>
      </c>
      <c r="D34">
        <v>132.9</v>
      </c>
      <c r="E34">
        <v>5.0999999999999996</v>
      </c>
      <c r="F34">
        <v>1.5</v>
      </c>
      <c r="G34">
        <v>139.6</v>
      </c>
      <c r="H34">
        <f t="shared" si="1"/>
        <v>255.60000000000002</v>
      </c>
      <c r="I34">
        <v>20.6</v>
      </c>
      <c r="J34">
        <v>0</v>
      </c>
      <c r="K34">
        <v>0.2</v>
      </c>
      <c r="L34">
        <f t="shared" si="2"/>
        <v>20.8</v>
      </c>
      <c r="M34">
        <v>53.8</v>
      </c>
      <c r="N34" s="159">
        <v>329.9</v>
      </c>
      <c r="O34" s="159">
        <f t="shared" si="3"/>
        <v>255.29999999999995</v>
      </c>
      <c r="P34">
        <v>124.2</v>
      </c>
      <c r="Q34" s="204">
        <f t="shared" si="0"/>
        <v>0.30000000000006821</v>
      </c>
      <c r="R34">
        <v>454.1</v>
      </c>
      <c r="S34" s="205">
        <f>+'Double Count of SGF'!A45</f>
        <v>0.31742674103585655</v>
      </c>
    </row>
    <row r="35" spans="1:19">
      <c r="A35">
        <v>1990</v>
      </c>
      <c r="B35">
        <v>0.3</v>
      </c>
      <c r="C35">
        <v>110.6</v>
      </c>
      <c r="D35">
        <v>119.6</v>
      </c>
      <c r="E35">
        <v>4.4000000000000004</v>
      </c>
      <c r="F35">
        <v>0.9</v>
      </c>
      <c r="G35">
        <v>124.9</v>
      </c>
      <c r="H35">
        <f t="shared" si="1"/>
        <v>235.8</v>
      </c>
      <c r="I35">
        <v>18.100000000000001</v>
      </c>
      <c r="J35">
        <v>0</v>
      </c>
      <c r="K35">
        <v>0.2</v>
      </c>
      <c r="L35">
        <f t="shared" si="2"/>
        <v>18.3</v>
      </c>
      <c r="M35">
        <v>53.2</v>
      </c>
      <c r="N35" s="159">
        <v>307.10000000000002</v>
      </c>
      <c r="O35" s="159">
        <f t="shared" si="3"/>
        <v>235.60000000000002</v>
      </c>
      <c r="P35">
        <v>125.9</v>
      </c>
      <c r="Q35" s="204">
        <f t="shared" si="0"/>
        <v>0.19999999999998863</v>
      </c>
      <c r="R35">
        <v>433</v>
      </c>
      <c r="S35" s="205">
        <f>+'Double Count of SGF'!A46</f>
        <v>0.13207853030303029</v>
      </c>
    </row>
    <row r="36" spans="1:19">
      <c r="A36">
        <v>1991</v>
      </c>
      <c r="B36">
        <v>0.1</v>
      </c>
      <c r="C36">
        <v>107</v>
      </c>
      <c r="D36">
        <v>112.2</v>
      </c>
      <c r="E36">
        <v>4</v>
      </c>
      <c r="F36">
        <v>0.9</v>
      </c>
      <c r="G36">
        <v>117</v>
      </c>
      <c r="H36">
        <f t="shared" si="1"/>
        <v>224.1</v>
      </c>
      <c r="I36">
        <v>19</v>
      </c>
      <c r="J36">
        <v>0</v>
      </c>
      <c r="K36">
        <v>0.2</v>
      </c>
      <c r="L36">
        <f t="shared" si="2"/>
        <v>19.2</v>
      </c>
      <c r="M36">
        <v>52.5</v>
      </c>
      <c r="N36" s="159">
        <v>295.7</v>
      </c>
      <c r="O36" s="159">
        <f t="shared" si="3"/>
        <v>224</v>
      </c>
      <c r="P36">
        <v>118.7</v>
      </c>
      <c r="Q36" s="204">
        <f t="shared" si="0"/>
        <v>0.10000000000002274</v>
      </c>
      <c r="R36">
        <v>414.4</v>
      </c>
      <c r="S36" s="205">
        <f>+'Double Count of SGF'!A47</f>
        <v>4.6542417582417582E-2</v>
      </c>
    </row>
    <row r="37" spans="1:19">
      <c r="A37">
        <v>1992</v>
      </c>
      <c r="B37">
        <v>0.3</v>
      </c>
      <c r="C37">
        <v>124.4</v>
      </c>
      <c r="D37">
        <v>127.4</v>
      </c>
      <c r="E37">
        <v>3.9</v>
      </c>
      <c r="F37">
        <v>1.5</v>
      </c>
      <c r="G37">
        <v>132.80000000000001</v>
      </c>
      <c r="H37">
        <f t="shared" si="1"/>
        <v>257.50000000000006</v>
      </c>
      <c r="I37">
        <v>19.899999999999999</v>
      </c>
      <c r="J37">
        <v>0</v>
      </c>
      <c r="K37">
        <v>0.2</v>
      </c>
      <c r="L37">
        <f t="shared" si="2"/>
        <v>20.099999999999998</v>
      </c>
      <c r="M37">
        <v>53.1</v>
      </c>
      <c r="N37" s="159">
        <v>330.6</v>
      </c>
      <c r="O37" s="159">
        <f t="shared" si="3"/>
        <v>257.39999999999998</v>
      </c>
      <c r="P37">
        <v>122.8</v>
      </c>
      <c r="Q37" s="204">
        <f t="shared" ref="Q37:Q66" si="4">M37+L37+H37-N37</f>
        <v>0.10000000000002274</v>
      </c>
      <c r="R37">
        <v>453.3</v>
      </c>
      <c r="S37" s="205">
        <f>+'Double Count of SGF'!A48</f>
        <v>3.9014457831325303E-2</v>
      </c>
    </row>
    <row r="38" spans="1:19">
      <c r="A38">
        <v>1993</v>
      </c>
      <c r="B38">
        <v>0.2</v>
      </c>
      <c r="C38">
        <v>126.1</v>
      </c>
      <c r="D38">
        <v>127.5</v>
      </c>
      <c r="E38">
        <v>4.3</v>
      </c>
      <c r="F38">
        <v>1.4</v>
      </c>
      <c r="G38">
        <v>133.30000000000001</v>
      </c>
      <c r="H38">
        <f t="shared" si="1"/>
        <v>259.59999999999997</v>
      </c>
      <c r="I38">
        <v>20.6</v>
      </c>
      <c r="J38">
        <v>0</v>
      </c>
      <c r="K38">
        <v>0.2</v>
      </c>
      <c r="L38">
        <f t="shared" si="2"/>
        <v>20.8</v>
      </c>
      <c r="M38">
        <v>53.9</v>
      </c>
      <c r="N38" s="159">
        <v>334.2</v>
      </c>
      <c r="O38" s="159">
        <f t="shared" si="3"/>
        <v>259.5</v>
      </c>
      <c r="P38">
        <v>124.8</v>
      </c>
      <c r="Q38" s="204">
        <f t="shared" si="4"/>
        <v>9.9999999999965894E-2</v>
      </c>
      <c r="R38">
        <v>459</v>
      </c>
      <c r="S38" s="205">
        <f>+'Double Count of SGF'!A49</f>
        <v>2.2448721893491126E-2</v>
      </c>
    </row>
    <row r="39" spans="1:19">
      <c r="A39">
        <v>1994</v>
      </c>
      <c r="B39">
        <v>0.1</v>
      </c>
      <c r="C39">
        <v>122.5</v>
      </c>
      <c r="D39">
        <v>128</v>
      </c>
      <c r="E39">
        <v>4.5</v>
      </c>
      <c r="F39">
        <v>1.2</v>
      </c>
      <c r="G39">
        <v>133.69999999999999</v>
      </c>
      <c r="H39">
        <f t="shared" si="1"/>
        <v>256.3</v>
      </c>
      <c r="I39">
        <v>19.5</v>
      </c>
      <c r="J39">
        <v>0</v>
      </c>
      <c r="K39">
        <v>0.2</v>
      </c>
      <c r="L39">
        <f t="shared" si="2"/>
        <v>19.7</v>
      </c>
      <c r="M39">
        <v>54.8</v>
      </c>
      <c r="N39" s="159">
        <v>330.7</v>
      </c>
      <c r="O39" s="159">
        <f t="shared" si="3"/>
        <v>256.2</v>
      </c>
      <c r="P39">
        <v>126.4</v>
      </c>
      <c r="Q39">
        <f t="shared" si="4"/>
        <v>0.10000000000002274</v>
      </c>
      <c r="R39">
        <v>457.1</v>
      </c>
      <c r="S39" s="153">
        <f>+'Double Count of SGF'!A50</f>
        <v>0</v>
      </c>
    </row>
    <row r="40" spans="1:19">
      <c r="A40">
        <v>1995</v>
      </c>
      <c r="B40">
        <v>0.1</v>
      </c>
      <c r="C40">
        <v>108.5</v>
      </c>
      <c r="D40">
        <v>116.8</v>
      </c>
      <c r="E40">
        <v>4.7</v>
      </c>
      <c r="F40">
        <v>0.7</v>
      </c>
      <c r="G40">
        <v>122.2</v>
      </c>
      <c r="H40">
        <f t="shared" si="1"/>
        <v>230.79999999999998</v>
      </c>
      <c r="I40">
        <v>19.5</v>
      </c>
      <c r="J40">
        <v>0</v>
      </c>
      <c r="K40">
        <v>0.2</v>
      </c>
      <c r="L40">
        <f t="shared" si="2"/>
        <v>19.7</v>
      </c>
      <c r="M40">
        <v>54.6</v>
      </c>
      <c r="N40" s="159">
        <v>305</v>
      </c>
      <c r="O40" s="159">
        <f t="shared" si="3"/>
        <v>230.70000000000002</v>
      </c>
      <c r="P40">
        <v>127.8</v>
      </c>
      <c r="Q40">
        <f t="shared" si="4"/>
        <v>9.9999999999965894E-2</v>
      </c>
      <c r="R40">
        <v>432.8</v>
      </c>
    </row>
    <row r="41" spans="1:19">
      <c r="A41">
        <v>1996</v>
      </c>
      <c r="B41">
        <v>0.1</v>
      </c>
      <c r="C41">
        <v>117.3</v>
      </c>
      <c r="D41">
        <v>106.9</v>
      </c>
      <c r="E41">
        <v>5.5</v>
      </c>
      <c r="F41">
        <v>0.8</v>
      </c>
      <c r="G41">
        <v>113.3</v>
      </c>
      <c r="H41">
        <f t="shared" si="1"/>
        <v>230.7</v>
      </c>
      <c r="I41">
        <v>20.3</v>
      </c>
      <c r="J41">
        <v>0</v>
      </c>
      <c r="K41">
        <v>0.2</v>
      </c>
      <c r="L41">
        <f t="shared" si="2"/>
        <v>20.5</v>
      </c>
      <c r="M41">
        <v>55.5</v>
      </c>
      <c r="N41" s="159">
        <v>306.5</v>
      </c>
      <c r="O41" s="159">
        <f t="shared" si="3"/>
        <v>230.5</v>
      </c>
      <c r="P41">
        <v>127.5</v>
      </c>
      <c r="Q41">
        <f t="shared" si="4"/>
        <v>0.19999999999998863</v>
      </c>
      <c r="R41">
        <v>434</v>
      </c>
    </row>
    <row r="42" spans="1:19">
      <c r="A42">
        <v>1997</v>
      </c>
      <c r="B42">
        <v>0.1</v>
      </c>
      <c r="C42">
        <v>114.5</v>
      </c>
      <c r="D42">
        <v>106.7</v>
      </c>
      <c r="E42">
        <v>5.2</v>
      </c>
      <c r="F42">
        <v>1.1000000000000001</v>
      </c>
      <c r="G42">
        <v>113</v>
      </c>
      <c r="H42">
        <f t="shared" si="1"/>
        <v>227.6</v>
      </c>
      <c r="I42">
        <v>14.5</v>
      </c>
      <c r="J42">
        <v>0</v>
      </c>
      <c r="K42">
        <v>0.2</v>
      </c>
      <c r="L42">
        <f t="shared" si="2"/>
        <v>14.7</v>
      </c>
      <c r="M42">
        <v>55.5</v>
      </c>
      <c r="N42" s="159">
        <v>297.8</v>
      </c>
      <c r="O42" s="159">
        <f t="shared" si="3"/>
        <v>227.60000000000002</v>
      </c>
      <c r="P42">
        <v>121.8</v>
      </c>
      <c r="Q42">
        <f t="shared" si="4"/>
        <v>0</v>
      </c>
      <c r="R42">
        <v>419.6</v>
      </c>
    </row>
    <row r="43" spans="1:19">
      <c r="A43">
        <v>1998</v>
      </c>
      <c r="B43">
        <v>0.1</v>
      </c>
      <c r="C43">
        <v>103.6</v>
      </c>
      <c r="D43">
        <v>98.8</v>
      </c>
      <c r="E43">
        <v>4.8</v>
      </c>
      <c r="F43">
        <v>1.1000000000000001</v>
      </c>
      <c r="G43">
        <v>104.7</v>
      </c>
      <c r="H43">
        <f t="shared" si="1"/>
        <v>208.4</v>
      </c>
      <c r="I43">
        <v>12.9</v>
      </c>
      <c r="J43">
        <v>0</v>
      </c>
      <c r="K43">
        <v>0.2</v>
      </c>
      <c r="L43">
        <f t="shared" si="2"/>
        <v>13.1</v>
      </c>
      <c r="M43">
        <v>55.9</v>
      </c>
      <c r="N43" s="159">
        <v>277.39999999999998</v>
      </c>
      <c r="O43" s="159">
        <f t="shared" si="3"/>
        <v>208.39999999999998</v>
      </c>
      <c r="P43">
        <v>126.8</v>
      </c>
      <c r="Q43">
        <f t="shared" si="4"/>
        <v>0</v>
      </c>
      <c r="R43">
        <v>404.2</v>
      </c>
    </row>
    <row r="44" spans="1:19">
      <c r="A44">
        <v>1999</v>
      </c>
      <c r="B44">
        <v>0.1</v>
      </c>
      <c r="C44">
        <v>112.1</v>
      </c>
      <c r="D44">
        <v>103.7</v>
      </c>
      <c r="E44">
        <v>4.9000000000000004</v>
      </c>
      <c r="F44">
        <v>1</v>
      </c>
      <c r="G44">
        <v>109.6</v>
      </c>
      <c r="H44">
        <f t="shared" si="1"/>
        <v>221.79999999999998</v>
      </c>
      <c r="I44">
        <v>13.3</v>
      </c>
      <c r="J44">
        <v>0</v>
      </c>
      <c r="K44">
        <v>0.2</v>
      </c>
      <c r="L44">
        <f t="shared" si="2"/>
        <v>13.5</v>
      </c>
      <c r="M44">
        <v>59.3</v>
      </c>
      <c r="N44" s="159">
        <v>294.60000000000002</v>
      </c>
      <c r="O44" s="159">
        <f t="shared" si="3"/>
        <v>221.8</v>
      </c>
      <c r="P44">
        <v>135.5</v>
      </c>
      <c r="Q44">
        <f t="shared" si="4"/>
        <v>0</v>
      </c>
      <c r="R44">
        <v>430.1</v>
      </c>
    </row>
    <row r="45" spans="1:19">
      <c r="A45">
        <v>2000</v>
      </c>
      <c r="B45">
        <v>0.1</v>
      </c>
      <c r="C45">
        <v>119.1</v>
      </c>
      <c r="D45">
        <v>119</v>
      </c>
      <c r="E45">
        <v>6.1</v>
      </c>
      <c r="F45">
        <v>1.1000000000000001</v>
      </c>
      <c r="G45">
        <v>126.1</v>
      </c>
      <c r="H45">
        <f t="shared" si="1"/>
        <v>245.29999999999998</v>
      </c>
      <c r="I45">
        <v>14.3</v>
      </c>
      <c r="J45">
        <v>0</v>
      </c>
      <c r="K45">
        <v>0.2</v>
      </c>
      <c r="L45">
        <f t="shared" si="2"/>
        <v>14.5</v>
      </c>
      <c r="M45">
        <v>59.9</v>
      </c>
      <c r="N45" s="159">
        <v>319.7</v>
      </c>
      <c r="O45" s="159">
        <f t="shared" si="3"/>
        <v>245.3</v>
      </c>
      <c r="P45">
        <v>140.5</v>
      </c>
      <c r="Q45">
        <f t="shared" si="4"/>
        <v>0</v>
      </c>
      <c r="R45">
        <v>460.2</v>
      </c>
    </row>
    <row r="46" spans="1:19">
      <c r="A46">
        <v>2001</v>
      </c>
      <c r="B46">
        <v>0.1</v>
      </c>
      <c r="C46">
        <v>111.5</v>
      </c>
      <c r="D46">
        <v>129.69999999999999</v>
      </c>
      <c r="E46">
        <v>5.5</v>
      </c>
      <c r="F46">
        <v>1.1000000000000001</v>
      </c>
      <c r="G46">
        <v>136.4</v>
      </c>
      <c r="H46">
        <f t="shared" si="1"/>
        <v>248</v>
      </c>
      <c r="I46">
        <v>11.5</v>
      </c>
      <c r="J46">
        <v>0</v>
      </c>
      <c r="K46">
        <v>0.2</v>
      </c>
      <c r="L46">
        <f t="shared" si="2"/>
        <v>11.7</v>
      </c>
      <c r="M46">
        <v>61.4</v>
      </c>
      <c r="N46" s="159">
        <v>320.89999999999998</v>
      </c>
      <c r="O46" s="159">
        <f t="shared" si="3"/>
        <v>247.8</v>
      </c>
      <c r="P46">
        <v>136.4</v>
      </c>
      <c r="Q46">
        <f t="shared" si="4"/>
        <v>0.20000000000004547</v>
      </c>
      <c r="R46">
        <v>457.3</v>
      </c>
    </row>
    <row r="47" spans="1:19">
      <c r="A47">
        <v>2002</v>
      </c>
      <c r="B47">
        <v>0.3</v>
      </c>
      <c r="C47">
        <v>113.1</v>
      </c>
      <c r="D47">
        <v>128.4</v>
      </c>
      <c r="E47">
        <v>4.5</v>
      </c>
      <c r="F47">
        <v>0.7</v>
      </c>
      <c r="G47">
        <v>133.6</v>
      </c>
      <c r="H47">
        <f t="shared" si="1"/>
        <v>247</v>
      </c>
      <c r="I47">
        <v>11.7</v>
      </c>
      <c r="J47">
        <v>0</v>
      </c>
      <c r="K47">
        <v>0.2</v>
      </c>
      <c r="L47">
        <f t="shared" si="2"/>
        <v>11.899999999999999</v>
      </c>
      <c r="M47">
        <v>63.8</v>
      </c>
      <c r="N47" s="159">
        <v>322.5</v>
      </c>
      <c r="O47" s="159">
        <f t="shared" si="3"/>
        <v>246.79999999999998</v>
      </c>
      <c r="P47">
        <v>142.69999999999999</v>
      </c>
      <c r="Q47">
        <f t="shared" si="4"/>
        <v>0.19999999999998863</v>
      </c>
      <c r="R47">
        <v>465.2</v>
      </c>
    </row>
    <row r="48" spans="1:19">
      <c r="A48">
        <v>2003</v>
      </c>
      <c r="B48">
        <v>0.2</v>
      </c>
      <c r="C48">
        <v>129.4</v>
      </c>
      <c r="D48">
        <v>121.1</v>
      </c>
      <c r="E48">
        <v>6.3</v>
      </c>
      <c r="F48">
        <v>1.4</v>
      </c>
      <c r="G48">
        <v>128.80000000000001</v>
      </c>
      <c r="H48">
        <f t="shared" si="1"/>
        <v>258.40000000000003</v>
      </c>
      <c r="I48">
        <v>12.3</v>
      </c>
      <c r="J48">
        <v>0</v>
      </c>
      <c r="K48">
        <v>0.1</v>
      </c>
      <c r="L48">
        <f t="shared" si="2"/>
        <v>12.4</v>
      </c>
      <c r="M48">
        <v>66.8</v>
      </c>
      <c r="N48" s="159">
        <v>337.6</v>
      </c>
      <c r="O48" s="159">
        <f t="shared" si="3"/>
        <v>258.40000000000003</v>
      </c>
      <c r="P48">
        <v>137.69999999999999</v>
      </c>
      <c r="Q48">
        <f t="shared" si="4"/>
        <v>0</v>
      </c>
      <c r="R48">
        <v>475.3</v>
      </c>
    </row>
    <row r="49" spans="1:18">
      <c r="A49">
        <v>2004</v>
      </c>
      <c r="B49">
        <v>0.1</v>
      </c>
      <c r="C49">
        <v>116</v>
      </c>
      <c r="D49">
        <v>112.5</v>
      </c>
      <c r="E49">
        <v>5.3</v>
      </c>
      <c r="F49">
        <v>1.6</v>
      </c>
      <c r="G49">
        <v>119.4</v>
      </c>
      <c r="H49">
        <f t="shared" si="1"/>
        <v>235.5</v>
      </c>
      <c r="I49">
        <v>12.6</v>
      </c>
      <c r="J49">
        <v>0</v>
      </c>
      <c r="K49">
        <v>0.2</v>
      </c>
      <c r="L49">
        <f t="shared" si="2"/>
        <v>12.799999999999999</v>
      </c>
      <c r="M49">
        <v>67.5</v>
      </c>
      <c r="N49" s="159">
        <v>315.7</v>
      </c>
      <c r="O49" s="159">
        <f t="shared" si="3"/>
        <v>235.39999999999998</v>
      </c>
      <c r="P49">
        <v>139.4</v>
      </c>
      <c r="Q49">
        <f t="shared" si="4"/>
        <v>0.10000000000002274</v>
      </c>
      <c r="R49">
        <v>455.1</v>
      </c>
    </row>
    <row r="50" spans="1:18">
      <c r="A50">
        <v>2005</v>
      </c>
      <c r="B50">
        <v>0.1</v>
      </c>
      <c r="C50">
        <v>120.4</v>
      </c>
      <c r="D50">
        <v>107.2</v>
      </c>
      <c r="E50">
        <v>6.5</v>
      </c>
      <c r="F50">
        <v>1.7</v>
      </c>
      <c r="G50">
        <v>115.4</v>
      </c>
      <c r="H50">
        <f t="shared" si="1"/>
        <v>235.9</v>
      </c>
      <c r="I50">
        <v>3.6</v>
      </c>
      <c r="J50">
        <v>0</v>
      </c>
      <c r="K50">
        <v>0.2</v>
      </c>
      <c r="L50">
        <f t="shared" si="2"/>
        <v>3.8000000000000003</v>
      </c>
      <c r="M50">
        <v>70.099999999999994</v>
      </c>
      <c r="N50" s="159">
        <v>309.7</v>
      </c>
      <c r="O50" s="159">
        <f t="shared" si="3"/>
        <v>235.79999999999998</v>
      </c>
      <c r="P50">
        <v>140.19999999999999</v>
      </c>
      <c r="Q50">
        <f t="shared" si="4"/>
        <v>0.10000000000002274</v>
      </c>
      <c r="R50">
        <v>449.9</v>
      </c>
    </row>
    <row r="51" spans="1:18">
      <c r="A51">
        <v>2006</v>
      </c>
      <c r="B51">
        <v>0.1</v>
      </c>
      <c r="C51">
        <v>104.9</v>
      </c>
      <c r="D51">
        <v>90.8</v>
      </c>
      <c r="E51">
        <v>6.7</v>
      </c>
      <c r="F51">
        <v>1.4</v>
      </c>
      <c r="G51">
        <v>98.8</v>
      </c>
      <c r="H51">
        <f t="shared" si="1"/>
        <v>203.79999999999998</v>
      </c>
      <c r="I51">
        <v>3.2</v>
      </c>
      <c r="J51">
        <v>0</v>
      </c>
      <c r="K51">
        <v>0.2</v>
      </c>
      <c r="L51">
        <f t="shared" si="2"/>
        <v>3.4000000000000004</v>
      </c>
      <c r="M51">
        <v>67</v>
      </c>
      <c r="N51" s="159">
        <v>274.10000000000002</v>
      </c>
      <c r="O51" s="159">
        <f t="shared" si="3"/>
        <v>203.70000000000002</v>
      </c>
      <c r="P51">
        <v>135.80000000000001</v>
      </c>
      <c r="Q51">
        <f t="shared" si="4"/>
        <v>9.9999999999965894E-2</v>
      </c>
      <c r="R51">
        <v>409.9</v>
      </c>
    </row>
    <row r="52" spans="1:18">
      <c r="A52">
        <v>2007</v>
      </c>
      <c r="B52">
        <v>0.1</v>
      </c>
      <c r="C52">
        <v>117</v>
      </c>
      <c r="D52">
        <v>91.9</v>
      </c>
      <c r="E52">
        <v>6.9</v>
      </c>
      <c r="F52">
        <v>0.9</v>
      </c>
      <c r="G52">
        <v>99.7</v>
      </c>
      <c r="H52">
        <f t="shared" si="1"/>
        <v>216.79999999999998</v>
      </c>
      <c r="I52">
        <v>3.5</v>
      </c>
      <c r="J52">
        <v>0</v>
      </c>
      <c r="K52">
        <v>0.2</v>
      </c>
      <c r="L52">
        <f t="shared" si="2"/>
        <v>3.7</v>
      </c>
      <c r="M52">
        <v>68.7</v>
      </c>
      <c r="N52" s="159">
        <v>289.2</v>
      </c>
      <c r="O52" s="159">
        <f t="shared" si="3"/>
        <v>216.8</v>
      </c>
      <c r="P52">
        <v>135.19999999999999</v>
      </c>
      <c r="Q52">
        <f t="shared" si="4"/>
        <v>0</v>
      </c>
      <c r="R52">
        <v>424.4</v>
      </c>
    </row>
    <row r="53" spans="1:18">
      <c r="A53">
        <v>2008</v>
      </c>
      <c r="B53">
        <v>0</v>
      </c>
      <c r="C53">
        <v>134.5</v>
      </c>
      <c r="D53">
        <v>91.3</v>
      </c>
      <c r="E53">
        <v>7.4</v>
      </c>
      <c r="F53">
        <v>0.4</v>
      </c>
      <c r="G53">
        <v>99</v>
      </c>
      <c r="H53">
        <f t="shared" si="1"/>
        <v>233.5</v>
      </c>
      <c r="I53">
        <v>3.9</v>
      </c>
      <c r="J53">
        <v>0</v>
      </c>
      <c r="K53">
        <v>0.3</v>
      </c>
      <c r="L53">
        <f t="shared" si="2"/>
        <v>4.2</v>
      </c>
      <c r="M53">
        <v>67</v>
      </c>
      <c r="N53" s="159">
        <v>304.8</v>
      </c>
      <c r="O53" s="159">
        <f t="shared" si="3"/>
        <v>233.60000000000002</v>
      </c>
      <c r="P53">
        <v>126.8</v>
      </c>
      <c r="Q53">
        <f t="shared" si="4"/>
        <v>-0.10000000000002274</v>
      </c>
      <c r="R53">
        <v>431.5</v>
      </c>
    </row>
    <row r="54" spans="1:18">
      <c r="A54">
        <v>2009</v>
      </c>
      <c r="B54">
        <v>0</v>
      </c>
      <c r="C54">
        <v>137</v>
      </c>
      <c r="D54">
        <v>82.5</v>
      </c>
      <c r="E54">
        <v>6.9</v>
      </c>
      <c r="F54">
        <v>0.6</v>
      </c>
      <c r="G54">
        <v>89.9</v>
      </c>
      <c r="H54">
        <f t="shared" si="1"/>
        <v>226.9</v>
      </c>
      <c r="I54">
        <v>10.199999999999999</v>
      </c>
      <c r="J54">
        <v>0</v>
      </c>
      <c r="K54">
        <v>0.3</v>
      </c>
      <c r="L54">
        <f t="shared" si="2"/>
        <v>10.5</v>
      </c>
      <c r="M54">
        <v>66.400000000000006</v>
      </c>
      <c r="N54" s="159">
        <v>303.89999999999998</v>
      </c>
      <c r="O54" s="159">
        <f t="shared" si="3"/>
        <v>226.99999999999997</v>
      </c>
      <c r="P54">
        <v>120.6</v>
      </c>
      <c r="Q54">
        <f t="shared" si="4"/>
        <v>-9.9999999999965894E-2</v>
      </c>
      <c r="R54">
        <v>424.5</v>
      </c>
    </row>
    <row r="55" spans="1:18">
      <c r="A55">
        <v>2010</v>
      </c>
      <c r="B55">
        <v>0</v>
      </c>
      <c r="C55">
        <v>129.80000000000001</v>
      </c>
      <c r="D55">
        <v>84.3</v>
      </c>
      <c r="E55">
        <v>6.5</v>
      </c>
      <c r="F55">
        <v>0.6</v>
      </c>
      <c r="G55">
        <v>91.3</v>
      </c>
      <c r="H55">
        <f t="shared" si="1"/>
        <v>221.10000000000002</v>
      </c>
      <c r="I55">
        <v>10.9</v>
      </c>
      <c r="J55">
        <v>0.1</v>
      </c>
      <c r="K55">
        <v>0.3</v>
      </c>
      <c r="L55">
        <f t="shared" si="2"/>
        <v>11.3</v>
      </c>
      <c r="M55">
        <v>73</v>
      </c>
      <c r="N55" s="159">
        <v>305.5</v>
      </c>
      <c r="O55" s="159">
        <f t="shared" si="3"/>
        <v>221.2</v>
      </c>
      <c r="P55">
        <v>131.30000000000001</v>
      </c>
      <c r="Q55">
        <f t="shared" si="4"/>
        <v>-9.9999999999965894E-2</v>
      </c>
      <c r="R55">
        <v>436.8</v>
      </c>
    </row>
    <row r="56" spans="1:18">
      <c r="A56">
        <v>2011</v>
      </c>
      <c r="B56">
        <v>0</v>
      </c>
      <c r="C56">
        <v>132.9</v>
      </c>
      <c r="D56">
        <v>82</v>
      </c>
      <c r="E56">
        <v>7.6</v>
      </c>
      <c r="F56">
        <v>0.3</v>
      </c>
      <c r="G56">
        <v>90</v>
      </c>
      <c r="H56">
        <f t="shared" si="1"/>
        <v>222.9</v>
      </c>
      <c r="I56">
        <v>10.6</v>
      </c>
      <c r="J56">
        <v>0.1</v>
      </c>
      <c r="K56">
        <v>0.4</v>
      </c>
      <c r="L56">
        <f t="shared" si="2"/>
        <v>11.1</v>
      </c>
      <c r="M56">
        <v>69.900000000000006</v>
      </c>
      <c r="N56" s="159">
        <v>303.8</v>
      </c>
      <c r="O56" s="159">
        <f t="shared" si="3"/>
        <v>222.8</v>
      </c>
      <c r="P56">
        <v>121</v>
      </c>
      <c r="Q56">
        <f t="shared" si="4"/>
        <v>9.9999999999965894E-2</v>
      </c>
      <c r="R56">
        <v>424.8</v>
      </c>
    </row>
    <row r="57" spans="1:18">
      <c r="A57">
        <v>2012</v>
      </c>
      <c r="B57">
        <v>0</v>
      </c>
      <c r="C57">
        <v>119.2</v>
      </c>
      <c r="D57">
        <v>68.8</v>
      </c>
      <c r="E57">
        <v>6</v>
      </c>
      <c r="F57">
        <v>0.2</v>
      </c>
      <c r="G57">
        <v>74.900000000000006</v>
      </c>
      <c r="H57">
        <f t="shared" si="1"/>
        <v>194.10000000000002</v>
      </c>
      <c r="I57">
        <v>8.9</v>
      </c>
      <c r="J57">
        <v>0.1</v>
      </c>
      <c r="K57">
        <v>0.6</v>
      </c>
      <c r="L57">
        <f t="shared" si="2"/>
        <v>9.6</v>
      </c>
      <c r="M57">
        <v>69.3</v>
      </c>
      <c r="N57" s="159">
        <v>272.89999999999998</v>
      </c>
      <c r="O57" s="159">
        <f t="shared" si="3"/>
        <v>193.99999999999997</v>
      </c>
      <c r="P57">
        <v>131.80000000000001</v>
      </c>
      <c r="Q57">
        <f t="shared" si="4"/>
        <v>0.10000000000002274</v>
      </c>
      <c r="R57">
        <v>404.7</v>
      </c>
    </row>
    <row r="58" spans="1:18">
      <c r="A58">
        <v>2013</v>
      </c>
      <c r="B58">
        <v>0</v>
      </c>
      <c r="C58">
        <v>120.7</v>
      </c>
      <c r="D58">
        <v>74.099999999999994</v>
      </c>
      <c r="E58">
        <v>7.2</v>
      </c>
      <c r="F58">
        <v>0.2</v>
      </c>
      <c r="G58">
        <v>81.400000000000006</v>
      </c>
      <c r="H58">
        <f t="shared" si="1"/>
        <v>202.10000000000002</v>
      </c>
      <c r="I58">
        <v>11.6</v>
      </c>
      <c r="J58">
        <v>0.1</v>
      </c>
      <c r="K58">
        <v>0.8</v>
      </c>
      <c r="L58">
        <f t="shared" si="2"/>
        <v>12.5</v>
      </c>
      <c r="M58">
        <v>70.7</v>
      </c>
      <c r="N58" s="159">
        <v>285.3</v>
      </c>
      <c r="O58" s="159">
        <f t="shared" si="3"/>
        <v>202.10000000000002</v>
      </c>
      <c r="P58">
        <v>136.80000000000001</v>
      </c>
      <c r="Q58">
        <f t="shared" si="4"/>
        <v>0</v>
      </c>
      <c r="R58">
        <v>422.1</v>
      </c>
    </row>
    <row r="59" spans="1:18">
      <c r="A59">
        <v>2014</v>
      </c>
      <c r="B59">
        <v>0</v>
      </c>
      <c r="C59">
        <v>129.9</v>
      </c>
      <c r="D59">
        <v>84.1</v>
      </c>
      <c r="E59">
        <v>8.1</v>
      </c>
      <c r="F59">
        <v>0.3</v>
      </c>
      <c r="G59">
        <v>92.5</v>
      </c>
      <c r="H59">
        <f t="shared" si="1"/>
        <v>222.4</v>
      </c>
      <c r="I59">
        <v>11.7</v>
      </c>
      <c r="J59">
        <v>0.1</v>
      </c>
      <c r="K59">
        <v>1.5</v>
      </c>
      <c r="L59">
        <f t="shared" si="2"/>
        <v>13.299999999999999</v>
      </c>
      <c r="M59">
        <v>68.5</v>
      </c>
      <c r="N59" s="159">
        <v>304.10000000000002</v>
      </c>
      <c r="O59" s="159">
        <f t="shared" si="3"/>
        <v>222.3</v>
      </c>
      <c r="P59">
        <v>134.1</v>
      </c>
      <c r="Q59">
        <f t="shared" si="4"/>
        <v>9.9999999999965894E-2</v>
      </c>
      <c r="R59">
        <v>438.3</v>
      </c>
    </row>
    <row r="60" spans="1:18">
      <c r="A60">
        <v>2015</v>
      </c>
      <c r="B60">
        <v>0</v>
      </c>
      <c r="C60">
        <v>130.4</v>
      </c>
      <c r="D60">
        <v>83.3</v>
      </c>
      <c r="E60">
        <v>7.6</v>
      </c>
      <c r="F60">
        <v>0.3</v>
      </c>
      <c r="G60">
        <v>91.2</v>
      </c>
      <c r="H60">
        <f t="shared" si="1"/>
        <v>221.60000000000002</v>
      </c>
      <c r="I60">
        <v>10.5</v>
      </c>
      <c r="J60">
        <v>0.1</v>
      </c>
      <c r="K60">
        <v>2.2999999999999998</v>
      </c>
      <c r="L60">
        <f t="shared" si="2"/>
        <v>12.899999999999999</v>
      </c>
      <c r="M60">
        <v>68.8</v>
      </c>
      <c r="N60" s="159">
        <v>303.2</v>
      </c>
      <c r="O60" s="159">
        <f t="shared" si="3"/>
        <v>221.49999999999997</v>
      </c>
      <c r="P60">
        <v>132.80000000000001</v>
      </c>
      <c r="Q60">
        <f t="shared" si="4"/>
        <v>0.10000000000002274</v>
      </c>
      <c r="R60">
        <v>436.1</v>
      </c>
    </row>
    <row r="61" spans="1:18">
      <c r="A61">
        <v>2016</v>
      </c>
      <c r="B61">
        <v>0</v>
      </c>
      <c r="C61">
        <v>115.5</v>
      </c>
      <c r="D61">
        <v>64.7</v>
      </c>
      <c r="E61">
        <v>7.6</v>
      </c>
      <c r="F61">
        <v>0.3</v>
      </c>
      <c r="G61">
        <v>72.5</v>
      </c>
      <c r="H61">
        <f t="shared" si="1"/>
        <v>188</v>
      </c>
      <c r="I61">
        <v>8.4</v>
      </c>
      <c r="J61">
        <v>0.1</v>
      </c>
      <c r="K61">
        <v>4.0999999999999996</v>
      </c>
      <c r="L61">
        <f t="shared" si="2"/>
        <v>12.6</v>
      </c>
      <c r="M61">
        <v>67.2</v>
      </c>
      <c r="N61" s="159">
        <v>267.7</v>
      </c>
      <c r="O61" s="159">
        <f t="shared" si="3"/>
        <v>187.9</v>
      </c>
      <c r="P61">
        <v>128.9</v>
      </c>
      <c r="Q61">
        <f t="shared" si="4"/>
        <v>0.10000000000002274</v>
      </c>
      <c r="R61">
        <v>396.6</v>
      </c>
    </row>
    <row r="62" spans="1:18">
      <c r="A62">
        <v>2017</v>
      </c>
      <c r="B62">
        <v>0</v>
      </c>
      <c r="C62">
        <v>124.8</v>
      </c>
      <c r="D62">
        <v>70.7</v>
      </c>
      <c r="E62">
        <v>8.1</v>
      </c>
      <c r="F62">
        <v>0.2</v>
      </c>
      <c r="G62">
        <v>79</v>
      </c>
      <c r="H62">
        <f t="shared" si="1"/>
        <v>203.8</v>
      </c>
      <c r="I62">
        <v>8.3000000000000007</v>
      </c>
      <c r="J62">
        <v>0.1</v>
      </c>
      <c r="K62">
        <v>5.3</v>
      </c>
      <c r="L62">
        <f t="shared" si="2"/>
        <v>13.7</v>
      </c>
      <c r="M62">
        <v>66</v>
      </c>
      <c r="N62" s="159">
        <v>283.5</v>
      </c>
      <c r="O62" s="159">
        <f t="shared" si="3"/>
        <v>203.8</v>
      </c>
      <c r="P62">
        <v>126</v>
      </c>
      <c r="Q62">
        <f t="shared" si="4"/>
        <v>0</v>
      </c>
      <c r="R62">
        <v>409.5</v>
      </c>
    </row>
    <row r="63" spans="1:18">
      <c r="A63">
        <v>2018</v>
      </c>
      <c r="B63">
        <v>0</v>
      </c>
      <c r="C63">
        <v>134.30000000000001</v>
      </c>
      <c r="D63">
        <v>76.7</v>
      </c>
      <c r="E63">
        <v>8.6</v>
      </c>
      <c r="F63">
        <v>0.2</v>
      </c>
      <c r="G63">
        <v>85.5</v>
      </c>
      <c r="H63">
        <f t="shared" si="1"/>
        <v>219.8</v>
      </c>
      <c r="I63">
        <v>8.3000000000000007</v>
      </c>
      <c r="J63">
        <v>0.1</v>
      </c>
      <c r="K63">
        <v>6.9</v>
      </c>
      <c r="L63">
        <f t="shared" si="2"/>
        <v>15.3</v>
      </c>
      <c r="M63">
        <v>69.2</v>
      </c>
      <c r="N63" s="159">
        <v>304.2</v>
      </c>
      <c r="O63" s="159">
        <f t="shared" si="3"/>
        <v>219.7</v>
      </c>
      <c r="P63">
        <v>130</v>
      </c>
      <c r="Q63">
        <f t="shared" si="4"/>
        <v>0.10000000000002274</v>
      </c>
      <c r="R63">
        <v>434.2</v>
      </c>
    </row>
    <row r="64" spans="1:18">
      <c r="A64">
        <v>2019</v>
      </c>
      <c r="B64">
        <v>0</v>
      </c>
      <c r="C64">
        <v>139.30000000000001</v>
      </c>
      <c r="D64">
        <v>75.8</v>
      </c>
      <c r="E64">
        <v>10.3</v>
      </c>
      <c r="F64">
        <v>0.2</v>
      </c>
      <c r="G64">
        <v>86.4</v>
      </c>
      <c r="H64">
        <f t="shared" si="1"/>
        <v>225.70000000000002</v>
      </c>
      <c r="I64">
        <v>10.199999999999999</v>
      </c>
      <c r="J64">
        <v>0.1</v>
      </c>
      <c r="K64">
        <v>7.1</v>
      </c>
      <c r="L64">
        <f t="shared" si="2"/>
        <v>17.399999999999999</v>
      </c>
      <c r="M64">
        <v>65.900000000000006</v>
      </c>
      <c r="N64" s="159">
        <v>308.89999999999998</v>
      </c>
      <c r="O64" s="159">
        <f t="shared" si="3"/>
        <v>225.59999999999997</v>
      </c>
      <c r="P64">
        <v>124.3</v>
      </c>
      <c r="Q64">
        <f t="shared" si="4"/>
        <v>0.10000000000002274</v>
      </c>
      <c r="R64">
        <v>433.2</v>
      </c>
    </row>
    <row r="65" spans="1:18">
      <c r="A65">
        <v>2020</v>
      </c>
      <c r="B65">
        <v>0</v>
      </c>
      <c r="C65">
        <v>123.9</v>
      </c>
      <c r="D65">
        <v>68</v>
      </c>
      <c r="E65">
        <v>8.6</v>
      </c>
      <c r="F65">
        <v>0.3</v>
      </c>
      <c r="G65">
        <v>76.900000000000006</v>
      </c>
      <c r="H65">
        <f t="shared" si="1"/>
        <v>200.8</v>
      </c>
      <c r="I65">
        <v>7.7</v>
      </c>
      <c r="J65">
        <v>0.1</v>
      </c>
      <c r="K65">
        <v>7.7</v>
      </c>
      <c r="L65">
        <f t="shared" si="2"/>
        <v>15.5</v>
      </c>
      <c r="M65">
        <v>69.400000000000006</v>
      </c>
      <c r="N65" s="159">
        <v>285.8</v>
      </c>
      <c r="O65" s="159">
        <f t="shared" si="3"/>
        <v>200.9</v>
      </c>
      <c r="P65">
        <v>126.3</v>
      </c>
      <c r="Q65">
        <f t="shared" si="4"/>
        <v>-9.9999999999965894E-2</v>
      </c>
      <c r="R65">
        <v>412</v>
      </c>
    </row>
    <row r="66" spans="1:18">
      <c r="A66">
        <v>2021</v>
      </c>
      <c r="B66">
        <v>0</v>
      </c>
      <c r="C66">
        <v>126.5</v>
      </c>
      <c r="D66">
        <v>71.7</v>
      </c>
      <c r="E66">
        <v>8.1</v>
      </c>
      <c r="F66">
        <v>0.2</v>
      </c>
      <c r="G66">
        <v>80</v>
      </c>
      <c r="H66">
        <f t="shared" si="1"/>
        <v>206.5</v>
      </c>
      <c r="I66">
        <v>8.4</v>
      </c>
      <c r="J66">
        <v>0.1</v>
      </c>
      <c r="K66">
        <v>8</v>
      </c>
      <c r="L66">
        <f t="shared" si="2"/>
        <v>16.5</v>
      </c>
      <c r="M66">
        <v>69.3</v>
      </c>
      <c r="N66" s="159">
        <v>292.3</v>
      </c>
      <c r="O66" s="159">
        <f t="shared" si="3"/>
        <v>206.5</v>
      </c>
      <c r="P66">
        <v>127.3</v>
      </c>
      <c r="Q66">
        <f t="shared" si="4"/>
        <v>0</v>
      </c>
    </row>
    <row r="69" spans="1:18">
      <c r="A69" s="204" t="s">
        <v>324</v>
      </c>
      <c r="B69" s="204"/>
      <c r="C69" s="204"/>
      <c r="D69" s="204"/>
      <c r="E69" s="204"/>
      <c r="F69" s="204"/>
      <c r="G69" s="204"/>
      <c r="H69" s="204"/>
      <c r="I69" s="204"/>
    </row>
    <row r="70" spans="1:18">
      <c r="A70" s="204" t="s">
        <v>441</v>
      </c>
      <c r="B70" s="204"/>
      <c r="C70" s="204"/>
      <c r="D70" s="204"/>
      <c r="E70" s="204"/>
      <c r="F70" s="204"/>
      <c r="G70" s="204"/>
      <c r="H70" s="204"/>
      <c r="I70" s="204"/>
    </row>
    <row r="71" spans="1:18">
      <c r="A71" s="211" t="s">
        <v>325</v>
      </c>
      <c r="B71" s="204"/>
      <c r="C71" s="204"/>
      <c r="D71" s="204"/>
      <c r="E71" s="204"/>
      <c r="F71" s="204"/>
      <c r="G71" s="204"/>
      <c r="H71" s="204"/>
      <c r="I71" s="204"/>
    </row>
    <row r="72" spans="1:18">
      <c r="A72" s="211" t="s">
        <v>326</v>
      </c>
      <c r="B72" s="204"/>
      <c r="C72" s="204"/>
      <c r="D72" s="204"/>
      <c r="E72" s="204"/>
      <c r="F72" s="204"/>
      <c r="G72" s="204"/>
      <c r="H72" s="204"/>
      <c r="I72" s="204"/>
    </row>
    <row r="73" spans="1:18">
      <c r="A73" s="211" t="s">
        <v>327</v>
      </c>
      <c r="B73" s="204"/>
      <c r="C73" s="204"/>
      <c r="D73" s="204"/>
      <c r="E73" s="204"/>
      <c r="F73" s="204"/>
      <c r="G73" s="204" t="s">
        <v>329</v>
      </c>
      <c r="H73" s="204"/>
      <c r="I73" s="204"/>
    </row>
    <row r="74" spans="1:18">
      <c r="A74" s="211"/>
      <c r="B74" s="211" t="s">
        <v>328</v>
      </c>
      <c r="C74" s="204"/>
      <c r="D74" s="204"/>
      <c r="E74" s="204"/>
      <c r="F74" s="204"/>
      <c r="G74" s="204"/>
      <c r="H74" s="204"/>
      <c r="I74" s="204"/>
    </row>
    <row r="75" spans="1:18">
      <c r="A75" s="211" t="s">
        <v>331</v>
      </c>
      <c r="B75" s="211"/>
      <c r="C75" s="204"/>
      <c r="D75" s="204"/>
      <c r="E75" s="204"/>
      <c r="F75" s="204"/>
      <c r="G75" s="204"/>
      <c r="H75" s="204"/>
      <c r="I75" s="204"/>
    </row>
    <row r="76" spans="1:18" ht="18.75" customHeight="1">
      <c r="A76" s="211" t="s">
        <v>323</v>
      </c>
      <c r="B76" s="211"/>
      <c r="C76" s="204"/>
      <c r="D76" s="204"/>
      <c r="E76" s="204"/>
      <c r="F76" s="204"/>
      <c r="G76" s="204"/>
      <c r="H76" s="204"/>
      <c r="I76" s="204"/>
    </row>
    <row r="77" spans="1:18" s="158" customFormat="1" ht="18.75" customHeight="1">
      <c r="A77" s="211"/>
      <c r="B77" s="211"/>
      <c r="C77" s="204"/>
      <c r="D77" s="204"/>
      <c r="E77" s="204"/>
      <c r="F77" s="204"/>
      <c r="G77" s="204"/>
      <c r="H77" s="204"/>
      <c r="I77" s="204"/>
    </row>
    <row r="78" spans="1:18">
      <c r="A78" s="211" t="s">
        <v>330</v>
      </c>
      <c r="B78" s="211"/>
      <c r="C78" s="204"/>
      <c r="D78" s="204"/>
      <c r="E78" s="204"/>
      <c r="F78" s="204"/>
      <c r="G78" s="204"/>
      <c r="H78" s="204"/>
      <c r="I78" s="204"/>
    </row>
    <row r="79" spans="1:18">
      <c r="A79" s="211"/>
      <c r="B79" s="211" t="s">
        <v>332</v>
      </c>
      <c r="C79" s="204"/>
      <c r="D79" s="204"/>
      <c r="E79" s="204"/>
      <c r="F79" s="204"/>
      <c r="G79" s="204"/>
      <c r="H79" s="204"/>
      <c r="I79" s="204"/>
    </row>
    <row r="80" spans="1:18">
      <c r="A80" s="211"/>
      <c r="B80" s="211"/>
      <c r="C80" s="204"/>
      <c r="D80" s="204"/>
      <c r="E80" s="204"/>
      <c r="F80" s="204"/>
      <c r="G80" s="204"/>
      <c r="H80" s="204"/>
      <c r="I80" s="204"/>
    </row>
    <row r="81" spans="1:9">
      <c r="A81" s="211" t="s">
        <v>333</v>
      </c>
      <c r="B81" s="211"/>
      <c r="C81" s="204"/>
      <c r="D81" s="204"/>
      <c r="E81" s="204"/>
      <c r="F81" s="204"/>
      <c r="G81" s="204"/>
      <c r="H81" s="204"/>
      <c r="I81" s="204"/>
    </row>
    <row r="82" spans="1:9">
      <c r="A82" s="204" t="s">
        <v>323</v>
      </c>
      <c r="B82" s="204"/>
      <c r="C82" s="204"/>
      <c r="D82" s="204"/>
      <c r="E82" s="204"/>
      <c r="F82" s="204"/>
      <c r="G82" s="204"/>
      <c r="H82" s="204"/>
      <c r="I82" s="204"/>
    </row>
    <row r="83" spans="1:9">
      <c r="A83" s="212" t="s">
        <v>334</v>
      </c>
      <c r="B83" s="204"/>
      <c r="C83" s="204"/>
      <c r="D83" s="204"/>
      <c r="E83" s="204"/>
      <c r="F83" s="204"/>
      <c r="G83" s="204"/>
      <c r="H83" s="204"/>
      <c r="I83" s="204"/>
    </row>
    <row r="84" spans="1:9">
      <c r="A84" s="204"/>
      <c r="B84" s="204" t="s">
        <v>335</v>
      </c>
      <c r="C84" s="204"/>
      <c r="D84" s="204"/>
      <c r="E84" s="204"/>
      <c r="F84" s="204"/>
      <c r="G84" s="204"/>
      <c r="H84" s="204"/>
      <c r="I84" s="204"/>
    </row>
    <row r="85" spans="1:9">
      <c r="A85" s="204">
        <v>1980</v>
      </c>
      <c r="B85" s="204">
        <v>15366</v>
      </c>
      <c r="C85" s="204"/>
      <c r="D85" s="204"/>
      <c r="E85" s="204"/>
      <c r="F85" s="204"/>
      <c r="G85" s="204"/>
      <c r="H85" s="204"/>
      <c r="I85" s="204"/>
    </row>
    <row r="86" spans="1:9">
      <c r="A86" s="204">
        <f>+A85+1</f>
        <v>1981</v>
      </c>
      <c r="B86" s="204">
        <v>21828</v>
      </c>
      <c r="C86" s="204"/>
      <c r="D86" s="204"/>
      <c r="E86" s="204"/>
      <c r="F86" s="204"/>
      <c r="G86" s="204"/>
      <c r="H86" s="204"/>
      <c r="I86" s="204"/>
    </row>
    <row r="87" spans="1:9">
      <c r="A87" s="204">
        <f t="shared" ref="A87:A128" si="5">+A86+1</f>
        <v>1982</v>
      </c>
      <c r="B87" s="204">
        <v>17586</v>
      </c>
      <c r="C87" s="204"/>
      <c r="D87" s="204"/>
      <c r="E87" s="204"/>
      <c r="F87" s="204"/>
      <c r="G87" s="204"/>
      <c r="H87" s="204"/>
      <c r="I87" s="204"/>
    </row>
    <row r="88" spans="1:9">
      <c r="A88" s="204">
        <f t="shared" si="5"/>
        <v>1983</v>
      </c>
      <c r="B88" s="204">
        <v>10732</v>
      </c>
      <c r="C88" s="204"/>
      <c r="D88" s="204"/>
      <c r="E88" s="204"/>
      <c r="F88" s="204"/>
      <c r="G88" s="204"/>
      <c r="H88" s="204"/>
      <c r="I88" s="204"/>
    </row>
    <row r="89" spans="1:9">
      <c r="A89" s="204">
        <f t="shared" si="5"/>
        <v>1984</v>
      </c>
      <c r="B89" s="204">
        <v>6545</v>
      </c>
      <c r="C89" s="204"/>
      <c r="D89" s="204"/>
      <c r="E89" s="204"/>
      <c r="F89" s="204"/>
      <c r="G89" s="204"/>
      <c r="H89" s="204"/>
      <c r="I89" s="204"/>
    </row>
    <row r="90" spans="1:9">
      <c r="A90" s="204">
        <f t="shared" si="5"/>
        <v>1985</v>
      </c>
      <c r="B90" s="204">
        <v>3668</v>
      </c>
      <c r="C90" s="204"/>
      <c r="D90" s="204"/>
      <c r="E90" s="204"/>
      <c r="F90" s="204"/>
      <c r="G90" s="204"/>
      <c r="H90" s="204"/>
      <c r="I90" s="204"/>
    </row>
    <row r="91" spans="1:9">
      <c r="A91" s="204">
        <f t="shared" si="5"/>
        <v>1986</v>
      </c>
      <c r="B91" s="204">
        <v>2379</v>
      </c>
      <c r="C91" s="204"/>
      <c r="D91" s="204"/>
      <c r="E91" s="204"/>
      <c r="F91" s="204"/>
      <c r="G91" s="204"/>
      <c r="H91" s="204"/>
      <c r="I91" s="204"/>
    </row>
    <row r="92" spans="1:9">
      <c r="A92" s="204">
        <f t="shared" si="5"/>
        <v>1987</v>
      </c>
      <c r="B92" s="204">
        <v>1404</v>
      </c>
      <c r="C92" s="204"/>
      <c r="D92" s="204"/>
      <c r="E92" s="204"/>
      <c r="F92" s="204"/>
      <c r="G92" s="204"/>
      <c r="H92" s="204"/>
      <c r="I92" s="204"/>
    </row>
    <row r="93" spans="1:9">
      <c r="A93" s="204">
        <f t="shared" si="5"/>
        <v>1988</v>
      </c>
      <c r="B93" s="204">
        <v>876</v>
      </c>
      <c r="C93" s="204"/>
      <c r="D93" s="204"/>
      <c r="E93" s="204"/>
      <c r="F93" s="204"/>
      <c r="G93" s="204"/>
      <c r="H93" s="204"/>
      <c r="I93" s="204"/>
    </row>
    <row r="94" spans="1:9">
      <c r="A94" s="204">
        <f t="shared" si="5"/>
        <v>1989</v>
      </c>
      <c r="B94" s="204">
        <v>692</v>
      </c>
      <c r="C94" s="204"/>
      <c r="D94" s="204"/>
      <c r="E94" s="204"/>
      <c r="F94" s="204"/>
      <c r="G94" s="204"/>
      <c r="H94" s="204"/>
      <c r="I94" s="204"/>
    </row>
    <row r="95" spans="1:9">
      <c r="A95" s="204">
        <f t="shared" si="5"/>
        <v>1990</v>
      </c>
      <c r="B95" s="204">
        <v>317</v>
      </c>
      <c r="C95" s="204"/>
      <c r="D95" s="204"/>
      <c r="E95" s="204"/>
      <c r="F95" s="204"/>
      <c r="G95" s="204"/>
      <c r="H95" s="204"/>
      <c r="I95" s="204"/>
    </row>
    <row r="96" spans="1:9">
      <c r="A96" s="204">
        <f t="shared" si="5"/>
        <v>1991</v>
      </c>
      <c r="B96" s="204">
        <v>120</v>
      </c>
      <c r="C96" s="204"/>
      <c r="D96" s="204"/>
      <c r="E96" s="204"/>
      <c r="F96" s="204"/>
      <c r="G96" s="204"/>
      <c r="H96" s="204"/>
      <c r="I96" s="204"/>
    </row>
    <row r="97" spans="1:9">
      <c r="A97" s="204">
        <f t="shared" si="5"/>
        <v>1992</v>
      </c>
      <c r="B97" s="204">
        <v>105</v>
      </c>
      <c r="C97" s="204"/>
      <c r="D97" s="204"/>
      <c r="E97" s="204"/>
      <c r="F97" s="204"/>
      <c r="G97" s="204"/>
      <c r="H97" s="204"/>
      <c r="I97" s="204"/>
    </row>
    <row r="98" spans="1:9">
      <c r="A98" s="204">
        <f t="shared" si="5"/>
        <v>1993</v>
      </c>
      <c r="B98" s="204">
        <v>61</v>
      </c>
      <c r="C98" s="204"/>
      <c r="D98" s="204"/>
      <c r="E98" s="204"/>
      <c r="F98" s="204"/>
      <c r="G98" s="204"/>
      <c r="H98" s="204"/>
      <c r="I98" s="204"/>
    </row>
    <row r="99" spans="1:9">
      <c r="A99" s="204">
        <f t="shared" si="5"/>
        <v>1994</v>
      </c>
      <c r="B99" s="204">
        <v>0</v>
      </c>
      <c r="C99" s="204"/>
      <c r="D99" s="204"/>
      <c r="E99" s="204"/>
      <c r="F99" s="204"/>
      <c r="G99" s="204"/>
      <c r="H99" s="204"/>
      <c r="I99" s="204"/>
    </row>
    <row r="100" spans="1:9">
      <c r="A100" s="204">
        <f t="shared" si="5"/>
        <v>1995</v>
      </c>
      <c r="B100" s="204"/>
      <c r="C100" s="204"/>
      <c r="D100" s="204"/>
      <c r="E100" s="204"/>
      <c r="F100" s="204"/>
      <c r="G100" s="204"/>
      <c r="H100" s="204"/>
      <c r="I100" s="204"/>
    </row>
    <row r="101" spans="1:9">
      <c r="A101" s="204">
        <f t="shared" si="5"/>
        <v>1996</v>
      </c>
      <c r="B101" s="204"/>
      <c r="C101" s="204"/>
      <c r="D101" s="204"/>
      <c r="E101" s="204"/>
      <c r="F101" s="204"/>
      <c r="G101" s="204"/>
      <c r="H101" s="204"/>
      <c r="I101" s="204"/>
    </row>
    <row r="102" spans="1:9">
      <c r="A102" s="204">
        <f t="shared" si="5"/>
        <v>1997</v>
      </c>
      <c r="B102" s="204"/>
      <c r="C102" s="204"/>
      <c r="D102" s="204"/>
      <c r="E102" s="204"/>
      <c r="F102" s="204"/>
      <c r="G102" s="204"/>
      <c r="H102" s="204"/>
      <c r="I102" s="204"/>
    </row>
    <row r="103" spans="1:9">
      <c r="A103" s="204">
        <f t="shared" si="5"/>
        <v>1998</v>
      </c>
      <c r="B103" s="204"/>
      <c r="C103" s="204"/>
      <c r="D103" s="204"/>
      <c r="E103" s="204"/>
      <c r="F103" s="204"/>
      <c r="G103" s="204"/>
      <c r="H103" s="204"/>
      <c r="I103" s="204"/>
    </row>
    <row r="104" spans="1:9">
      <c r="A104" s="204">
        <f t="shared" si="5"/>
        <v>1999</v>
      </c>
      <c r="B104" s="204"/>
      <c r="C104" s="204"/>
      <c r="D104" s="204"/>
      <c r="E104" s="204"/>
      <c r="F104" s="204"/>
      <c r="G104" s="204"/>
      <c r="H104" s="204"/>
      <c r="I104" s="204"/>
    </row>
    <row r="105" spans="1:9">
      <c r="A105" s="204">
        <f t="shared" si="5"/>
        <v>2000</v>
      </c>
      <c r="B105" s="204"/>
      <c r="C105" s="204"/>
      <c r="D105" s="204"/>
      <c r="E105" s="204"/>
      <c r="F105" s="204"/>
      <c r="G105" s="204"/>
      <c r="H105" s="204"/>
      <c r="I105" s="204"/>
    </row>
    <row r="106" spans="1:9">
      <c r="A106" s="204">
        <f t="shared" si="5"/>
        <v>2001</v>
      </c>
      <c r="B106" s="204"/>
      <c r="C106" s="204"/>
      <c r="D106" s="204"/>
      <c r="E106" s="204"/>
      <c r="F106" s="204"/>
      <c r="G106" s="204"/>
      <c r="H106" s="204"/>
      <c r="I106" s="204"/>
    </row>
    <row r="107" spans="1:9">
      <c r="A107" s="204">
        <f t="shared" si="5"/>
        <v>2002</v>
      </c>
      <c r="B107" s="204"/>
      <c r="C107" s="204"/>
      <c r="D107" s="204"/>
      <c r="E107" s="204"/>
      <c r="F107" s="204"/>
      <c r="G107" s="204"/>
      <c r="H107" s="204"/>
      <c r="I107" s="204"/>
    </row>
    <row r="108" spans="1:9">
      <c r="A108" s="204">
        <f t="shared" si="5"/>
        <v>2003</v>
      </c>
      <c r="B108" s="204"/>
      <c r="C108" s="204"/>
      <c r="D108" s="204"/>
      <c r="E108" s="204"/>
      <c r="F108" s="204"/>
      <c r="G108" s="204"/>
      <c r="H108" s="204"/>
      <c r="I108" s="204"/>
    </row>
    <row r="109" spans="1:9">
      <c r="A109" s="204">
        <f t="shared" si="5"/>
        <v>2004</v>
      </c>
      <c r="B109" s="204"/>
      <c r="C109" s="204"/>
      <c r="D109" s="204"/>
      <c r="E109" s="204"/>
      <c r="F109" s="204"/>
      <c r="G109" s="204"/>
      <c r="H109" s="204"/>
      <c r="I109" s="204"/>
    </row>
    <row r="110" spans="1:9">
      <c r="A110" s="204">
        <f t="shared" si="5"/>
        <v>2005</v>
      </c>
      <c r="B110" s="204"/>
      <c r="C110" s="204"/>
      <c r="D110" s="204"/>
      <c r="E110" s="204"/>
      <c r="F110" s="204"/>
      <c r="G110" s="204"/>
      <c r="H110" s="204"/>
      <c r="I110" s="204"/>
    </row>
    <row r="111" spans="1:9">
      <c r="A111" s="204">
        <f t="shared" si="5"/>
        <v>2006</v>
      </c>
      <c r="B111" s="204"/>
      <c r="C111" s="204"/>
      <c r="D111" s="204"/>
      <c r="E111" s="204"/>
      <c r="F111" s="204"/>
      <c r="G111" s="204"/>
      <c r="H111" s="204"/>
      <c r="I111" s="204"/>
    </row>
    <row r="112" spans="1:9">
      <c r="A112" s="204">
        <f t="shared" si="5"/>
        <v>2007</v>
      </c>
      <c r="B112" s="204"/>
      <c r="C112" s="204"/>
      <c r="D112" s="204"/>
      <c r="E112" s="204"/>
      <c r="F112" s="204"/>
      <c r="G112" s="204"/>
      <c r="H112" s="204"/>
      <c r="I112" s="204"/>
    </row>
    <row r="113" spans="1:9">
      <c r="A113" s="204">
        <f t="shared" si="5"/>
        <v>2008</v>
      </c>
      <c r="B113" s="204"/>
      <c r="C113" s="204"/>
      <c r="D113" s="204"/>
      <c r="E113" s="204"/>
      <c r="F113" s="204"/>
      <c r="G113" s="204"/>
      <c r="H113" s="204"/>
      <c r="I113" s="204"/>
    </row>
    <row r="114" spans="1:9">
      <c r="A114" s="204">
        <f t="shared" si="5"/>
        <v>2009</v>
      </c>
      <c r="B114" s="204"/>
      <c r="C114" s="204"/>
      <c r="D114" s="204"/>
      <c r="E114" s="204"/>
      <c r="F114" s="204"/>
      <c r="G114" s="204"/>
      <c r="H114" s="204"/>
      <c r="I114" s="204"/>
    </row>
    <row r="115" spans="1:9">
      <c r="A115" s="204">
        <f t="shared" si="5"/>
        <v>2010</v>
      </c>
      <c r="B115" s="204"/>
      <c r="C115" s="204"/>
      <c r="D115" s="204"/>
      <c r="E115" s="204"/>
      <c r="F115" s="204"/>
      <c r="G115" s="204"/>
      <c r="H115" s="204"/>
      <c r="I115" s="204"/>
    </row>
    <row r="116" spans="1:9">
      <c r="A116" s="204">
        <f t="shared" si="5"/>
        <v>2011</v>
      </c>
      <c r="B116" s="204"/>
      <c r="C116" s="204"/>
      <c r="D116" s="204"/>
      <c r="E116" s="204"/>
      <c r="F116" s="204"/>
      <c r="G116" s="204"/>
      <c r="H116" s="204"/>
      <c r="I116" s="204"/>
    </row>
    <row r="117" spans="1:9">
      <c r="A117" s="204">
        <f t="shared" si="5"/>
        <v>2012</v>
      </c>
      <c r="B117" s="204"/>
      <c r="C117" s="204"/>
      <c r="D117" s="204"/>
      <c r="E117" s="204"/>
      <c r="F117" s="204"/>
      <c r="G117" s="204"/>
      <c r="H117" s="204"/>
      <c r="I117" s="204"/>
    </row>
    <row r="118" spans="1:9">
      <c r="A118" s="204">
        <f t="shared" si="5"/>
        <v>2013</v>
      </c>
      <c r="B118" s="204"/>
      <c r="C118" s="204"/>
      <c r="D118" s="204"/>
      <c r="E118" s="204"/>
      <c r="F118" s="204"/>
      <c r="G118" s="204"/>
      <c r="H118" s="204"/>
      <c r="I118" s="204"/>
    </row>
    <row r="119" spans="1:9">
      <c r="A119" s="204">
        <f t="shared" si="5"/>
        <v>2014</v>
      </c>
      <c r="B119" s="204"/>
      <c r="C119" s="204"/>
      <c r="D119" s="204"/>
      <c r="E119" s="204"/>
      <c r="F119" s="204"/>
      <c r="G119" s="204"/>
      <c r="H119" s="204"/>
      <c r="I119" s="204"/>
    </row>
    <row r="120" spans="1:9">
      <c r="A120" s="204">
        <f t="shared" si="5"/>
        <v>2015</v>
      </c>
      <c r="B120" s="204"/>
      <c r="C120" s="204"/>
      <c r="D120" s="204"/>
      <c r="E120" s="204"/>
      <c r="F120" s="204"/>
      <c r="G120" s="204"/>
      <c r="H120" s="204"/>
      <c r="I120" s="204"/>
    </row>
    <row r="121" spans="1:9">
      <c r="A121" s="204">
        <f t="shared" si="5"/>
        <v>2016</v>
      </c>
      <c r="B121" s="204"/>
      <c r="C121" s="204"/>
      <c r="D121" s="204"/>
      <c r="E121" s="204"/>
      <c r="F121" s="204"/>
      <c r="G121" s="204"/>
      <c r="H121" s="204"/>
      <c r="I121" s="204"/>
    </row>
    <row r="122" spans="1:9">
      <c r="A122" s="204">
        <f t="shared" si="5"/>
        <v>2017</v>
      </c>
      <c r="B122" s="204"/>
      <c r="C122" s="204"/>
      <c r="D122" s="204"/>
      <c r="E122" s="204"/>
      <c r="F122" s="204"/>
      <c r="G122" s="204"/>
      <c r="H122" s="204"/>
      <c r="I122" s="204"/>
    </row>
    <row r="123" spans="1:9">
      <c r="A123" s="204">
        <f t="shared" si="5"/>
        <v>2018</v>
      </c>
      <c r="B123" s="204"/>
      <c r="C123" s="204"/>
      <c r="D123" s="204"/>
      <c r="E123" s="204"/>
      <c r="F123" s="204"/>
      <c r="G123" s="204"/>
      <c r="H123" s="204"/>
      <c r="I123" s="204"/>
    </row>
    <row r="124" spans="1:9">
      <c r="A124" s="204">
        <f t="shared" si="5"/>
        <v>2019</v>
      </c>
      <c r="B124" s="204"/>
      <c r="C124" s="204"/>
      <c r="D124" s="204"/>
      <c r="E124" s="204"/>
      <c r="F124" s="204"/>
      <c r="G124" s="204"/>
      <c r="H124" s="204"/>
      <c r="I124" s="204"/>
    </row>
    <row r="125" spans="1:9">
      <c r="A125" s="204">
        <f t="shared" si="5"/>
        <v>2020</v>
      </c>
      <c r="B125" s="204"/>
      <c r="C125" s="204"/>
      <c r="D125" s="204"/>
      <c r="E125" s="204"/>
      <c r="F125" s="204"/>
      <c r="G125" s="204"/>
      <c r="H125" s="204"/>
      <c r="I125" s="204"/>
    </row>
    <row r="126" spans="1:9">
      <c r="A126" s="204">
        <f t="shared" si="5"/>
        <v>2021</v>
      </c>
      <c r="B126" s="204">
        <v>15</v>
      </c>
      <c r="C126" s="204"/>
      <c r="D126" s="204"/>
      <c r="E126" s="204"/>
      <c r="F126" s="204"/>
      <c r="G126" s="204"/>
      <c r="H126" s="204"/>
      <c r="I126" s="204"/>
    </row>
    <row r="127" spans="1:9">
      <c r="A127" s="204">
        <f t="shared" si="5"/>
        <v>2022</v>
      </c>
      <c r="B127" s="204"/>
      <c r="C127" s="204"/>
      <c r="D127" s="204"/>
      <c r="E127" s="204"/>
      <c r="F127" s="204"/>
      <c r="G127" s="204"/>
      <c r="H127" s="204"/>
      <c r="I127" s="204"/>
    </row>
    <row r="128" spans="1:9">
      <c r="A128" s="204">
        <f t="shared" si="5"/>
        <v>2023</v>
      </c>
      <c r="B128" s="204"/>
      <c r="C128" s="204"/>
      <c r="D128" s="204"/>
      <c r="E128" s="204"/>
      <c r="F128" s="204"/>
      <c r="G128" s="204"/>
      <c r="H128" s="204"/>
      <c r="I128" s="204"/>
    </row>
  </sheetData>
  <mergeCells count="2">
    <mergeCell ref="A3:R3"/>
    <mergeCell ref="S23:T24"/>
  </mergeCells>
  <hyperlinks>
    <hyperlink ref="A1" r:id="rId1" xr:uid="{EF3DC5DA-CE2F-45FF-8B96-C25214E33D5B}"/>
    <hyperlink ref="A82" r:id="rId2" xr:uid="{83125A78-B189-4DEA-88D9-9A37739742CB}"/>
  </hyperlinks>
  <pageMargins left="0.7" right="0.7" top="0.75" bottom="0.75" header="0.3" footer="0.3"/>
  <drawing r:id="rId3"/>
  <extLst>
    <ext xmlns:x14="http://schemas.microsoft.com/office/spreadsheetml/2009/9/main" uri="{05C60535-1F16-4fd2-B633-F4F36F0B64E0}">
      <x14:sparklineGroups xmlns:xm="http://schemas.microsoft.com/office/excel/2006/main">
        <x14:sparklineGroup displayEmptyCellsAs="gap" xr2:uid="{E61A0601-11C4-4B99-B229-2498A9D396FA}">
          <x14:colorSeries rgb="FF376092"/>
          <x14:colorNegative rgb="FFD00000"/>
          <x14:colorAxis rgb="FF000000"/>
          <x14:colorMarkers rgb="FFD00000"/>
          <x14:colorFirst rgb="FFD00000"/>
          <x14:colorLast rgb="FFD00000"/>
          <x14:colorHigh rgb="FFD00000"/>
          <x14:colorLow rgb="FFD00000"/>
          <x14:sparklines>
            <x14:sparkline>
              <xm:f>'EIA Energy Use '!Q54:Q66</xm:f>
              <xm:sqref>Y67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4845-43E4-4A46-A1A7-EF3CCE569139}">
  <dimension ref="A1:EA140"/>
  <sheetViews>
    <sheetView topLeftCell="A13" workbookViewId="0">
      <selection activeCell="C35" sqref="C35"/>
    </sheetView>
  </sheetViews>
  <sheetFormatPr defaultRowHeight="17.25" customHeight="1"/>
  <cols>
    <col min="1" max="1" width="9.140625" style="204"/>
    <col min="2" max="2" width="11.5703125" style="204" bestFit="1" customWidth="1"/>
    <col min="3" max="3" width="10.5703125" style="158" bestFit="1" customWidth="1"/>
    <col min="4" max="6" width="9.140625" style="158"/>
    <col min="7" max="7" width="12.85546875" style="158" customWidth="1"/>
    <col min="8" max="8" width="9.140625" style="161"/>
    <col min="9" max="9" width="12" style="161" customWidth="1"/>
    <col min="10" max="10" width="16.28515625" style="161" customWidth="1"/>
    <col min="11" max="33" width="9.140625" style="161"/>
    <col min="34" max="70" width="9.140625" style="149"/>
    <col min="71" max="90" width="9.140625" style="179"/>
    <col min="91" max="115" width="9.140625" style="155"/>
    <col min="116" max="130" width="9.140625" style="197"/>
  </cols>
  <sheetData>
    <row r="1" spans="1:131" s="158" customFormat="1" ht="17.25" customHeight="1">
      <c r="A1" s="204"/>
      <c r="B1" s="204"/>
      <c r="H1" s="161" t="s">
        <v>447</v>
      </c>
      <c r="I1" s="161"/>
      <c r="J1" s="161"/>
      <c r="K1" s="161"/>
      <c r="L1" s="161"/>
      <c r="M1" s="161"/>
      <c r="N1" s="161"/>
      <c r="O1" s="161"/>
      <c r="P1" s="161"/>
      <c r="Q1" s="161"/>
      <c r="R1" s="161"/>
      <c r="S1" s="61" t="s">
        <v>435</v>
      </c>
      <c r="T1" s="161"/>
      <c r="U1" s="161"/>
      <c r="V1" s="161"/>
      <c r="W1" s="161"/>
      <c r="X1" s="161"/>
      <c r="Y1" s="161"/>
      <c r="Z1" s="161"/>
      <c r="AA1" s="161"/>
      <c r="AB1" s="161"/>
      <c r="AC1" s="161"/>
      <c r="AD1" s="161"/>
      <c r="AE1" s="161"/>
      <c r="AF1" s="161"/>
      <c r="AG1" s="161"/>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78"/>
      <c r="BT1" s="179"/>
      <c r="BU1" s="179"/>
      <c r="BV1" s="179"/>
      <c r="BW1" s="179"/>
      <c r="BX1" s="179"/>
      <c r="BY1" s="179"/>
      <c r="BZ1" s="179"/>
      <c r="CA1" s="179"/>
      <c r="CB1" s="179"/>
      <c r="CC1" s="179"/>
      <c r="CD1" s="179"/>
      <c r="CE1" s="179"/>
      <c r="CF1" s="179"/>
      <c r="CG1" s="179"/>
      <c r="CH1" s="179"/>
      <c r="CI1" s="179"/>
      <c r="CJ1" s="179"/>
      <c r="CK1" s="179"/>
      <c r="CL1" s="179"/>
      <c r="CM1" s="156"/>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97"/>
      <c r="DM1" s="197"/>
      <c r="DN1" s="197"/>
      <c r="DO1" s="197"/>
      <c r="DP1" s="197"/>
      <c r="DQ1" s="197"/>
      <c r="DR1" s="197"/>
      <c r="DS1" s="197"/>
      <c r="DT1" s="197"/>
      <c r="DU1" s="197"/>
      <c r="DV1" s="197"/>
      <c r="DW1" s="197"/>
      <c r="DX1" s="197"/>
      <c r="DY1" s="197"/>
      <c r="DZ1" s="197"/>
    </row>
    <row r="2" spans="1:131" s="158" customFormat="1" ht="17.25" customHeight="1">
      <c r="A2" s="210" t="s">
        <v>442</v>
      </c>
      <c r="B2" s="210"/>
      <c r="C2" s="210"/>
      <c r="D2" s="210"/>
      <c r="E2" s="210"/>
      <c r="F2" s="223"/>
      <c r="H2" s="161" t="s">
        <v>434</v>
      </c>
      <c r="I2" s="161"/>
      <c r="J2" s="161"/>
      <c r="K2" s="161"/>
      <c r="L2" s="161"/>
      <c r="M2" s="161"/>
      <c r="N2" s="161"/>
      <c r="O2" s="161"/>
      <c r="P2" s="161"/>
      <c r="Q2" s="161"/>
      <c r="R2" s="161"/>
      <c r="T2" s="161"/>
      <c r="U2" s="161"/>
      <c r="V2" s="161"/>
      <c r="W2" s="161"/>
      <c r="X2" s="161"/>
      <c r="Y2" s="161"/>
      <c r="Z2" s="161"/>
      <c r="AA2" s="161"/>
      <c r="AB2" s="161"/>
      <c r="AC2" s="161"/>
      <c r="AD2" s="161"/>
      <c r="AE2" s="161"/>
      <c r="AF2" s="161"/>
      <c r="AG2" s="161"/>
      <c r="AH2" s="150" t="s">
        <v>135</v>
      </c>
      <c r="AI2" s="149"/>
      <c r="AJ2" s="149"/>
      <c r="AK2" s="149"/>
      <c r="AL2" s="149"/>
      <c r="AM2" s="149"/>
      <c r="AN2" s="149"/>
      <c r="AO2" s="149"/>
      <c r="AP2" s="149"/>
      <c r="AQ2" s="149"/>
      <c r="AR2" s="149"/>
      <c r="AS2" s="149"/>
      <c r="AT2" s="149"/>
      <c r="AU2" s="149"/>
      <c r="AV2" s="149"/>
      <c r="AW2" s="149"/>
      <c r="AX2" s="149" t="s">
        <v>444</v>
      </c>
      <c r="AY2" s="149"/>
      <c r="AZ2" s="149"/>
      <c r="BA2" s="149"/>
      <c r="BB2" s="149"/>
      <c r="BC2" s="149"/>
      <c r="BD2" s="149"/>
      <c r="BE2" s="149"/>
      <c r="BF2" s="149"/>
      <c r="BG2" s="149"/>
      <c r="BH2" s="149"/>
      <c r="BI2" s="149"/>
      <c r="BJ2" s="149"/>
      <c r="BK2" s="149"/>
      <c r="BL2" s="149"/>
      <c r="BM2" s="149"/>
      <c r="BN2" s="149"/>
      <c r="BO2" s="149"/>
      <c r="BP2" s="149"/>
      <c r="BQ2" s="149"/>
      <c r="BR2" s="149"/>
      <c r="BS2" s="178" t="s">
        <v>443</v>
      </c>
      <c r="BT2" s="179"/>
      <c r="BU2" s="179"/>
      <c r="BV2" s="179"/>
      <c r="BW2" s="179"/>
      <c r="BX2" s="179"/>
      <c r="BY2" s="179"/>
      <c r="BZ2" s="179"/>
      <c r="CA2" s="179"/>
      <c r="CB2" s="179"/>
      <c r="CC2" s="179"/>
      <c r="CD2" s="179"/>
      <c r="CE2" s="179"/>
      <c r="CF2" s="179"/>
      <c r="CG2" s="179"/>
      <c r="CH2" s="179"/>
      <c r="CI2" s="179"/>
      <c r="CJ2" s="179"/>
      <c r="CK2" s="179"/>
      <c r="CL2" s="179"/>
      <c r="CM2" s="156" t="s">
        <v>445</v>
      </c>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213" t="s">
        <v>446</v>
      </c>
      <c r="DM2" s="197"/>
      <c r="DN2" s="197"/>
      <c r="DO2" s="197"/>
      <c r="DP2" s="197"/>
      <c r="DQ2" s="197"/>
      <c r="DR2" s="197"/>
      <c r="DS2" s="197"/>
      <c r="DT2" s="197"/>
      <c r="DU2" s="197"/>
      <c r="DV2" s="197"/>
      <c r="DW2" s="197"/>
      <c r="DX2" s="197"/>
      <c r="DY2" s="197"/>
      <c r="DZ2" s="197"/>
    </row>
    <row r="3" spans="1:131" s="158" customFormat="1" ht="17.25" customHeight="1">
      <c r="A3" s="210"/>
      <c r="B3" s="210"/>
      <c r="C3" s="210"/>
      <c r="D3" s="210"/>
      <c r="E3" s="210"/>
      <c r="F3" s="223"/>
      <c r="H3" s="162" t="s">
        <v>375</v>
      </c>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70" t="s">
        <v>138</v>
      </c>
      <c r="AI3" s="149"/>
      <c r="AJ3" s="149"/>
      <c r="AK3" s="149"/>
      <c r="AL3" s="149"/>
      <c r="AM3" s="149"/>
      <c r="AN3" s="149"/>
      <c r="AO3" s="149"/>
      <c r="AP3" s="149"/>
      <c r="AQ3" s="149"/>
      <c r="AR3" s="149"/>
      <c r="AS3" s="149"/>
      <c r="AT3" s="149"/>
      <c r="AU3" s="149"/>
      <c r="AV3" s="149"/>
      <c r="AW3" s="149"/>
      <c r="AX3" s="170" t="s">
        <v>376</v>
      </c>
      <c r="AY3" s="149"/>
      <c r="AZ3" s="149"/>
      <c r="BA3" s="149"/>
      <c r="BB3" s="149"/>
      <c r="BC3" s="149"/>
      <c r="BD3" s="149"/>
      <c r="BE3" s="149"/>
      <c r="BF3" s="149"/>
      <c r="BG3" s="149"/>
      <c r="BH3" s="149"/>
      <c r="BI3" s="149"/>
      <c r="BJ3" s="149"/>
      <c r="BK3" s="149"/>
      <c r="BL3" s="149"/>
      <c r="BM3" s="149"/>
      <c r="BN3" s="149"/>
      <c r="BO3" s="149"/>
      <c r="BP3" s="149"/>
      <c r="BQ3" s="149"/>
      <c r="BR3" s="149"/>
      <c r="BS3" s="180" t="s">
        <v>392</v>
      </c>
      <c r="BT3" s="179"/>
      <c r="BU3" s="179"/>
      <c r="BV3" s="179"/>
      <c r="BW3" s="179"/>
      <c r="BX3" s="179"/>
      <c r="BY3" s="179"/>
      <c r="BZ3" s="179"/>
      <c r="CA3" s="179"/>
      <c r="CB3" s="179"/>
      <c r="CC3" s="179"/>
      <c r="CD3" s="179"/>
      <c r="CE3" s="179"/>
      <c r="CF3" s="179"/>
      <c r="CG3" s="179"/>
      <c r="CH3" s="179"/>
      <c r="CI3" s="179"/>
      <c r="CJ3" s="179"/>
      <c r="CK3" s="179"/>
      <c r="CL3" s="179"/>
      <c r="CM3" s="188" t="s">
        <v>400</v>
      </c>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98" t="s">
        <v>412</v>
      </c>
      <c r="DM3" s="197"/>
      <c r="DN3" s="197"/>
      <c r="DO3" s="197"/>
      <c r="DP3" s="197"/>
      <c r="DQ3" s="197"/>
      <c r="DR3" s="197"/>
      <c r="DS3" s="197"/>
      <c r="DT3" s="197"/>
      <c r="DU3" s="197"/>
      <c r="DV3" s="197"/>
      <c r="DW3" s="197"/>
      <c r="DX3" s="197"/>
      <c r="DY3" s="197"/>
      <c r="DZ3" s="197"/>
      <c r="EA3"/>
    </row>
    <row r="4" spans="1:131" ht="17.25" customHeight="1">
      <c r="A4" s="210"/>
      <c r="B4" s="210"/>
      <c r="C4" s="210"/>
      <c r="D4" s="210"/>
      <c r="E4" s="210"/>
      <c r="F4" s="223"/>
      <c r="H4" s="163" t="s">
        <v>166</v>
      </c>
      <c r="I4" s="163" t="s">
        <v>159</v>
      </c>
      <c r="J4" s="164"/>
      <c r="K4" s="163" t="s">
        <v>142</v>
      </c>
      <c r="L4" s="163"/>
      <c r="M4" s="163"/>
      <c r="N4" s="163"/>
      <c r="O4" s="163"/>
      <c r="P4" s="163"/>
      <c r="Q4" s="163"/>
      <c r="R4" s="163"/>
      <c r="S4" s="163"/>
      <c r="T4" s="163"/>
      <c r="U4" s="164"/>
      <c r="V4" s="163" t="s">
        <v>143</v>
      </c>
      <c r="W4" s="163"/>
      <c r="X4" s="164"/>
      <c r="Y4" s="163" t="s">
        <v>343</v>
      </c>
      <c r="Z4" s="163"/>
      <c r="AA4" s="163" t="s">
        <v>344</v>
      </c>
      <c r="AB4" s="163" t="s">
        <v>345</v>
      </c>
      <c r="AC4" s="163"/>
      <c r="AD4" s="165"/>
      <c r="AE4" s="165"/>
      <c r="AF4" s="163" t="s">
        <v>350</v>
      </c>
      <c r="AG4" s="163"/>
      <c r="AH4" s="170"/>
      <c r="BS4" s="180"/>
      <c r="DL4" s="198"/>
      <c r="EA4" s="158"/>
    </row>
    <row r="5" spans="1:131" ht="34.5" customHeight="1">
      <c r="A5" s="210"/>
      <c r="B5" s="210"/>
      <c r="C5" s="210"/>
      <c r="D5" s="210"/>
      <c r="E5" s="210"/>
      <c r="F5" s="223"/>
      <c r="H5" s="163"/>
      <c r="I5" s="163"/>
      <c r="J5" s="164"/>
      <c r="K5" s="163"/>
      <c r="L5" s="163"/>
      <c r="M5" s="163"/>
      <c r="N5" s="163"/>
      <c r="O5" s="163"/>
      <c r="P5" s="163"/>
      <c r="Q5" s="163"/>
      <c r="R5" s="163"/>
      <c r="S5" s="163"/>
      <c r="T5" s="163"/>
      <c r="U5" s="166" t="s">
        <v>338</v>
      </c>
      <c r="V5" s="163"/>
      <c r="W5" s="163"/>
      <c r="X5" s="164"/>
      <c r="Y5" s="163"/>
      <c r="Z5" s="163"/>
      <c r="AA5" s="163"/>
      <c r="AB5" s="163"/>
      <c r="AC5" s="163"/>
      <c r="AD5" s="165"/>
      <c r="AE5" s="165"/>
      <c r="AF5" s="163"/>
      <c r="AG5" s="163"/>
      <c r="AH5" s="170"/>
      <c r="AX5" s="171" t="s">
        <v>166</v>
      </c>
      <c r="AY5" s="171" t="s">
        <v>159</v>
      </c>
      <c r="AZ5" s="172"/>
      <c r="BA5" s="171" t="s">
        <v>142</v>
      </c>
      <c r="BB5" s="171"/>
      <c r="BC5" s="171"/>
      <c r="BD5" s="171"/>
      <c r="BE5" s="171"/>
      <c r="BF5" s="171"/>
      <c r="BG5" s="172"/>
      <c r="BH5" s="171" t="s">
        <v>143</v>
      </c>
      <c r="BI5" s="171" t="s">
        <v>378</v>
      </c>
      <c r="BJ5" s="171" t="s">
        <v>379</v>
      </c>
      <c r="BK5" s="171"/>
      <c r="BL5" s="171" t="s">
        <v>380</v>
      </c>
      <c r="BM5" s="173"/>
      <c r="BN5" s="173"/>
      <c r="BO5" s="173"/>
      <c r="BP5" s="173"/>
      <c r="BQ5" s="171" t="s">
        <v>384</v>
      </c>
      <c r="BR5" s="171"/>
      <c r="BS5" s="180"/>
      <c r="CM5" s="189" t="s">
        <v>166</v>
      </c>
      <c r="CN5" s="189" t="s">
        <v>159</v>
      </c>
      <c r="CO5" s="190"/>
      <c r="CP5" s="189" t="s">
        <v>142</v>
      </c>
      <c r="CQ5" s="189"/>
      <c r="CR5" s="189"/>
      <c r="CS5" s="189"/>
      <c r="CT5" s="189"/>
      <c r="CU5" s="189"/>
      <c r="CV5" s="189"/>
      <c r="CW5" s="189"/>
      <c r="CX5" s="189"/>
      <c r="CY5" s="190"/>
      <c r="CZ5" s="189" t="s">
        <v>143</v>
      </c>
      <c r="DA5" s="189"/>
      <c r="DB5" s="190"/>
      <c r="DC5" s="189" t="s">
        <v>402</v>
      </c>
      <c r="DD5" s="189"/>
      <c r="DE5" s="189" t="s">
        <v>403</v>
      </c>
      <c r="DF5" s="191"/>
      <c r="DG5" s="191"/>
      <c r="DH5" s="191"/>
      <c r="DI5" s="191"/>
      <c r="DJ5" s="189" t="s">
        <v>406</v>
      </c>
      <c r="DK5" s="189"/>
      <c r="DL5" s="198"/>
      <c r="EA5" s="158"/>
    </row>
    <row r="6" spans="1:131" ht="17.25" customHeight="1">
      <c r="H6" s="163"/>
      <c r="I6" s="163"/>
      <c r="J6" s="166" t="s">
        <v>336</v>
      </c>
      <c r="K6" s="163"/>
      <c r="L6" s="163"/>
      <c r="M6" s="163"/>
      <c r="N6" s="163"/>
      <c r="O6" s="163"/>
      <c r="P6" s="163"/>
      <c r="Q6" s="163"/>
      <c r="R6" s="163"/>
      <c r="S6" s="163"/>
      <c r="T6" s="163"/>
      <c r="U6" s="166" t="s">
        <v>339</v>
      </c>
      <c r="V6" s="163"/>
      <c r="W6" s="163"/>
      <c r="X6" s="164"/>
      <c r="Y6" s="163"/>
      <c r="Z6" s="163"/>
      <c r="AA6" s="163"/>
      <c r="AB6" s="163"/>
      <c r="AC6" s="163"/>
      <c r="AD6" s="165"/>
      <c r="AE6" s="165"/>
      <c r="AF6" s="163"/>
      <c r="AG6" s="163"/>
      <c r="AX6" s="171"/>
      <c r="AY6" s="171"/>
      <c r="AZ6" s="172"/>
      <c r="BA6" s="171"/>
      <c r="BB6" s="171"/>
      <c r="BC6" s="171"/>
      <c r="BD6" s="171"/>
      <c r="BE6" s="171"/>
      <c r="BF6" s="171"/>
      <c r="BG6" s="174" t="s">
        <v>338</v>
      </c>
      <c r="BH6" s="171"/>
      <c r="BI6" s="171"/>
      <c r="BJ6" s="171"/>
      <c r="BK6" s="171"/>
      <c r="BL6" s="171"/>
      <c r="BM6" s="173"/>
      <c r="BN6" s="173"/>
      <c r="BO6" s="173"/>
      <c r="BP6" s="173"/>
      <c r="BQ6" s="171"/>
      <c r="BR6" s="171"/>
      <c r="CM6" s="189"/>
      <c r="CN6" s="189"/>
      <c r="CO6" s="190"/>
      <c r="CP6" s="189"/>
      <c r="CQ6" s="189"/>
      <c r="CR6" s="189"/>
      <c r="CS6" s="189"/>
      <c r="CT6" s="189"/>
      <c r="CU6" s="189"/>
      <c r="CV6" s="189"/>
      <c r="CW6" s="189"/>
      <c r="CX6" s="189"/>
      <c r="CY6" s="192" t="s">
        <v>338</v>
      </c>
      <c r="CZ6" s="189"/>
      <c r="DA6" s="189"/>
      <c r="DB6" s="190"/>
      <c r="DC6" s="189"/>
      <c r="DD6" s="189"/>
      <c r="DE6" s="189"/>
      <c r="DF6" s="191"/>
      <c r="DG6" s="191"/>
      <c r="DH6" s="191"/>
      <c r="DI6" s="191"/>
      <c r="DJ6" s="189"/>
      <c r="DK6" s="189"/>
    </row>
    <row r="7" spans="1:131" ht="17.25" customHeight="1">
      <c r="H7" s="163"/>
      <c r="I7" s="163"/>
      <c r="J7" s="166" t="s">
        <v>337</v>
      </c>
      <c r="K7" s="163"/>
      <c r="L7" s="163"/>
      <c r="M7" s="163"/>
      <c r="N7" s="163"/>
      <c r="O7" s="163"/>
      <c r="P7" s="163"/>
      <c r="Q7" s="163"/>
      <c r="R7" s="163"/>
      <c r="S7" s="163"/>
      <c r="T7" s="163"/>
      <c r="U7" s="166" t="s">
        <v>340</v>
      </c>
      <c r="V7" s="163"/>
      <c r="W7" s="163"/>
      <c r="X7" s="164"/>
      <c r="Y7" s="163"/>
      <c r="Z7" s="163"/>
      <c r="AA7" s="163"/>
      <c r="AB7" s="163"/>
      <c r="AC7" s="163"/>
      <c r="AD7" s="163" t="s">
        <v>346</v>
      </c>
      <c r="AE7" s="163"/>
      <c r="AF7" s="163"/>
      <c r="AG7" s="163"/>
      <c r="AH7" s="171" t="s">
        <v>166</v>
      </c>
      <c r="AI7" s="171" t="s">
        <v>426</v>
      </c>
      <c r="AJ7" s="172"/>
      <c r="AK7" s="171" t="s">
        <v>142</v>
      </c>
      <c r="AL7" s="171"/>
      <c r="AM7" s="171"/>
      <c r="AN7" s="171"/>
      <c r="AO7" s="171" t="s">
        <v>143</v>
      </c>
      <c r="AP7" s="171" t="s">
        <v>428</v>
      </c>
      <c r="AQ7" s="171" t="s">
        <v>429</v>
      </c>
      <c r="AR7" s="171" t="s">
        <v>430</v>
      </c>
      <c r="AS7" s="172"/>
      <c r="AT7" s="173"/>
      <c r="AU7" s="173"/>
      <c r="AV7" s="171" t="s">
        <v>432</v>
      </c>
      <c r="AW7" s="171"/>
      <c r="AX7" s="171"/>
      <c r="AY7" s="171"/>
      <c r="AZ7" s="174" t="s">
        <v>336</v>
      </c>
      <c r="BA7" s="171"/>
      <c r="BB7" s="171"/>
      <c r="BC7" s="171"/>
      <c r="BD7" s="171"/>
      <c r="BE7" s="171"/>
      <c r="BF7" s="171"/>
      <c r="BG7" s="174" t="s">
        <v>339</v>
      </c>
      <c r="BH7" s="171"/>
      <c r="BI7" s="171"/>
      <c r="BJ7" s="171"/>
      <c r="BK7" s="171"/>
      <c r="BL7" s="171"/>
      <c r="BM7" s="173"/>
      <c r="BN7" s="173"/>
      <c r="BO7" s="173"/>
      <c r="BP7" s="173"/>
      <c r="BQ7" s="171"/>
      <c r="BR7" s="171"/>
      <c r="BS7" s="181" t="s">
        <v>166</v>
      </c>
      <c r="BT7" s="181" t="s">
        <v>159</v>
      </c>
      <c r="BU7" s="182"/>
      <c r="BV7" s="181" t="s">
        <v>142</v>
      </c>
      <c r="BW7" s="181"/>
      <c r="BX7" s="181"/>
      <c r="BY7" s="181"/>
      <c r="BZ7" s="181"/>
      <c r="CA7" s="181"/>
      <c r="CB7" s="181"/>
      <c r="CC7" s="181"/>
      <c r="CD7" s="181"/>
      <c r="CE7" s="181"/>
      <c r="CF7" s="181"/>
      <c r="CG7" s="181" t="s">
        <v>393</v>
      </c>
      <c r="CH7" s="183"/>
      <c r="CI7" s="183"/>
      <c r="CJ7" s="182"/>
      <c r="CK7" s="181" t="s">
        <v>396</v>
      </c>
      <c r="CL7" s="181"/>
      <c r="CM7" s="189"/>
      <c r="CN7" s="189"/>
      <c r="CO7" s="192" t="s">
        <v>336</v>
      </c>
      <c r="CP7" s="189"/>
      <c r="CQ7" s="189"/>
      <c r="CR7" s="189"/>
      <c r="CS7" s="189"/>
      <c r="CT7" s="189"/>
      <c r="CU7" s="189"/>
      <c r="CV7" s="189"/>
      <c r="CW7" s="189"/>
      <c r="CX7" s="189"/>
      <c r="CY7" s="192" t="s">
        <v>339</v>
      </c>
      <c r="CZ7" s="189"/>
      <c r="DA7" s="189"/>
      <c r="DB7" s="190"/>
      <c r="DC7" s="189"/>
      <c r="DD7" s="189"/>
      <c r="DE7" s="189"/>
      <c r="DF7" s="191"/>
      <c r="DG7" s="191"/>
      <c r="DH7" s="191"/>
      <c r="DI7" s="191"/>
      <c r="DJ7" s="189"/>
      <c r="DK7" s="189"/>
      <c r="DL7" s="199" t="s">
        <v>166</v>
      </c>
      <c r="DM7" s="199" t="s">
        <v>159</v>
      </c>
      <c r="DN7" s="200"/>
      <c r="DO7" s="199" t="s">
        <v>142</v>
      </c>
      <c r="DP7" s="199"/>
      <c r="DQ7" s="199"/>
      <c r="DR7" s="199"/>
      <c r="DS7" s="200"/>
      <c r="DT7" s="200"/>
      <c r="DU7" s="199" t="s">
        <v>143</v>
      </c>
      <c r="DV7" s="199" t="s">
        <v>378</v>
      </c>
      <c r="DW7" s="199" t="s">
        <v>417</v>
      </c>
      <c r="DX7" s="199" t="s">
        <v>418</v>
      </c>
      <c r="DY7" s="200"/>
      <c r="DZ7" s="160" t="s">
        <v>421</v>
      </c>
      <c r="EA7" s="160"/>
    </row>
    <row r="8" spans="1:131" ht="17.25" customHeight="1">
      <c r="H8" s="163"/>
      <c r="I8" s="163"/>
      <c r="J8" s="166"/>
      <c r="K8" s="163"/>
      <c r="L8" s="163"/>
      <c r="M8" s="163"/>
      <c r="N8" s="163"/>
      <c r="O8" s="163"/>
      <c r="P8" s="163"/>
      <c r="Q8" s="163"/>
      <c r="R8" s="163"/>
      <c r="S8" s="163"/>
      <c r="T8" s="163"/>
      <c r="U8" s="166"/>
      <c r="V8" s="163"/>
      <c r="W8" s="163"/>
      <c r="X8" s="164"/>
      <c r="Y8" s="163"/>
      <c r="Z8" s="163"/>
      <c r="AA8" s="163"/>
      <c r="AB8" s="163"/>
      <c r="AC8" s="163"/>
      <c r="AD8" s="163" t="s">
        <v>347</v>
      </c>
      <c r="AE8" s="163"/>
      <c r="AF8" s="163"/>
      <c r="AG8" s="163"/>
      <c r="AH8" s="171"/>
      <c r="AI8" s="171"/>
      <c r="AJ8" s="172"/>
      <c r="AK8" s="171"/>
      <c r="AL8" s="171"/>
      <c r="AM8" s="171"/>
      <c r="AN8" s="171"/>
      <c r="AO8" s="171"/>
      <c r="AP8" s="171"/>
      <c r="AQ8" s="171"/>
      <c r="AR8" s="171"/>
      <c r="AS8" s="172"/>
      <c r="AT8" s="173"/>
      <c r="AU8" s="173"/>
      <c r="AV8" s="171"/>
      <c r="AW8" s="171"/>
      <c r="AX8" s="171"/>
      <c r="AY8" s="171"/>
      <c r="AZ8" s="174" t="s">
        <v>337</v>
      </c>
      <c r="BA8" s="171"/>
      <c r="BB8" s="171"/>
      <c r="BC8" s="171"/>
      <c r="BD8" s="171"/>
      <c r="BE8" s="171"/>
      <c r="BF8" s="171"/>
      <c r="BG8" s="174" t="s">
        <v>377</v>
      </c>
      <c r="BH8" s="171"/>
      <c r="BI8" s="171"/>
      <c r="BJ8" s="171"/>
      <c r="BK8" s="171"/>
      <c r="BL8" s="171"/>
      <c r="BM8" s="173"/>
      <c r="BN8" s="173"/>
      <c r="BO8" s="171" t="s">
        <v>346</v>
      </c>
      <c r="BP8" s="171"/>
      <c r="BQ8" s="171"/>
      <c r="BR8" s="171"/>
      <c r="BS8" s="181"/>
      <c r="BT8" s="181"/>
      <c r="BU8" s="182"/>
      <c r="BV8" s="181"/>
      <c r="BW8" s="181"/>
      <c r="BX8" s="181"/>
      <c r="BY8" s="181"/>
      <c r="BZ8" s="181"/>
      <c r="CA8" s="181"/>
      <c r="CB8" s="181"/>
      <c r="CC8" s="181"/>
      <c r="CD8" s="181"/>
      <c r="CE8" s="181"/>
      <c r="CF8" s="181"/>
      <c r="CG8" s="181"/>
      <c r="CH8" s="183"/>
      <c r="CI8" s="183"/>
      <c r="CJ8" s="182"/>
      <c r="CK8" s="181"/>
      <c r="CL8" s="181"/>
      <c r="CM8" s="189"/>
      <c r="CN8" s="189"/>
      <c r="CO8" s="192" t="s">
        <v>337</v>
      </c>
      <c r="CP8" s="189"/>
      <c r="CQ8" s="189"/>
      <c r="CR8" s="189"/>
      <c r="CS8" s="189"/>
      <c r="CT8" s="189"/>
      <c r="CU8" s="189"/>
      <c r="CV8" s="189"/>
      <c r="CW8" s="189"/>
      <c r="CX8" s="189"/>
      <c r="CY8" s="192" t="s">
        <v>377</v>
      </c>
      <c r="CZ8" s="189"/>
      <c r="DA8" s="189"/>
      <c r="DB8" s="190"/>
      <c r="DC8" s="189"/>
      <c r="DD8" s="189"/>
      <c r="DE8" s="189"/>
      <c r="DF8" s="191"/>
      <c r="DG8" s="191"/>
      <c r="DH8" s="189" t="s">
        <v>346</v>
      </c>
      <c r="DI8" s="189"/>
      <c r="DJ8" s="189"/>
      <c r="DK8" s="189"/>
      <c r="DL8" s="199"/>
      <c r="DM8" s="199"/>
      <c r="DN8" s="200"/>
      <c r="DO8" s="199"/>
      <c r="DP8" s="199"/>
      <c r="DQ8" s="199"/>
      <c r="DR8" s="199"/>
      <c r="DS8" s="201" t="s">
        <v>413</v>
      </c>
      <c r="DT8" s="200"/>
      <c r="DU8" s="199"/>
      <c r="DV8" s="199"/>
      <c r="DW8" s="199"/>
      <c r="DX8" s="199"/>
      <c r="DY8" s="201" t="s">
        <v>5</v>
      </c>
      <c r="DZ8" s="160"/>
      <c r="EA8" s="160"/>
    </row>
    <row r="9" spans="1:131" ht="17.25" customHeight="1">
      <c r="H9" s="163"/>
      <c r="I9" s="163"/>
      <c r="J9" s="166"/>
      <c r="K9" s="166" t="s">
        <v>351</v>
      </c>
      <c r="L9" s="163" t="s">
        <v>353</v>
      </c>
      <c r="M9" s="163" t="s">
        <v>354</v>
      </c>
      <c r="N9" s="163"/>
      <c r="O9" s="166" t="s">
        <v>356</v>
      </c>
      <c r="P9" s="166" t="s">
        <v>121</v>
      </c>
      <c r="Q9" s="163" t="s">
        <v>359</v>
      </c>
      <c r="R9" s="163"/>
      <c r="S9" s="163" t="s">
        <v>10</v>
      </c>
      <c r="T9" s="163"/>
      <c r="U9" s="166"/>
      <c r="V9" s="164"/>
      <c r="W9" s="164"/>
      <c r="X9" s="166" t="s">
        <v>341</v>
      </c>
      <c r="Y9" s="163"/>
      <c r="Z9" s="163"/>
      <c r="AA9" s="163"/>
      <c r="AB9" s="163"/>
      <c r="AC9" s="163"/>
      <c r="AD9" s="163" t="s">
        <v>348</v>
      </c>
      <c r="AE9" s="163"/>
      <c r="AF9" s="163"/>
      <c r="AG9" s="163"/>
      <c r="AH9" s="171"/>
      <c r="AI9" s="171"/>
      <c r="AJ9" s="174" t="s">
        <v>336</v>
      </c>
      <c r="AK9" s="171"/>
      <c r="AL9" s="171"/>
      <c r="AM9" s="171"/>
      <c r="AN9" s="171"/>
      <c r="AO9" s="171"/>
      <c r="AP9" s="171"/>
      <c r="AQ9" s="171"/>
      <c r="AR9" s="171"/>
      <c r="AS9" s="172"/>
      <c r="AT9" s="173"/>
      <c r="AU9" s="173"/>
      <c r="AV9" s="171"/>
      <c r="AW9" s="171"/>
      <c r="AX9" s="171"/>
      <c r="AY9" s="171"/>
      <c r="AZ9" s="174"/>
      <c r="BA9" s="171"/>
      <c r="BB9" s="171"/>
      <c r="BC9" s="171"/>
      <c r="BD9" s="171"/>
      <c r="BE9" s="171"/>
      <c r="BF9" s="171"/>
      <c r="BG9" s="174"/>
      <c r="BH9" s="171"/>
      <c r="BI9" s="171"/>
      <c r="BJ9" s="171"/>
      <c r="BK9" s="171"/>
      <c r="BL9" s="171"/>
      <c r="BM9" s="173"/>
      <c r="BN9" s="173"/>
      <c r="BO9" s="171" t="s">
        <v>347</v>
      </c>
      <c r="BP9" s="171"/>
      <c r="BQ9" s="171"/>
      <c r="BR9" s="171"/>
      <c r="BS9" s="181"/>
      <c r="BT9" s="181"/>
      <c r="BU9" s="184" t="s">
        <v>336</v>
      </c>
      <c r="BV9" s="181"/>
      <c r="BW9" s="181"/>
      <c r="BX9" s="181"/>
      <c r="BY9" s="181"/>
      <c r="BZ9" s="181"/>
      <c r="CA9" s="181"/>
      <c r="CB9" s="181"/>
      <c r="CC9" s="181"/>
      <c r="CD9" s="181"/>
      <c r="CE9" s="181"/>
      <c r="CF9" s="181"/>
      <c r="CG9" s="181"/>
      <c r="CH9" s="183"/>
      <c r="CI9" s="183"/>
      <c r="CJ9" s="182"/>
      <c r="CK9" s="181"/>
      <c r="CL9" s="181"/>
      <c r="CM9" s="189"/>
      <c r="CN9" s="189"/>
      <c r="CO9" s="192"/>
      <c r="CP9" s="189"/>
      <c r="CQ9" s="189"/>
      <c r="CR9" s="189"/>
      <c r="CS9" s="189"/>
      <c r="CT9" s="189"/>
      <c r="CU9" s="189"/>
      <c r="CV9" s="189"/>
      <c r="CW9" s="189"/>
      <c r="CX9" s="189"/>
      <c r="CY9" s="192"/>
      <c r="CZ9" s="189"/>
      <c r="DA9" s="189"/>
      <c r="DB9" s="190"/>
      <c r="DC9" s="189"/>
      <c r="DD9" s="189"/>
      <c r="DE9" s="189"/>
      <c r="DF9" s="191"/>
      <c r="DG9" s="191"/>
      <c r="DH9" s="189" t="s">
        <v>347</v>
      </c>
      <c r="DI9" s="189"/>
      <c r="DJ9" s="189"/>
      <c r="DK9" s="189"/>
      <c r="DL9" s="199"/>
      <c r="DM9" s="199"/>
      <c r="DN9" s="201" t="s">
        <v>336</v>
      </c>
      <c r="DO9" s="199"/>
      <c r="DP9" s="199"/>
      <c r="DQ9" s="199"/>
      <c r="DR9" s="199"/>
      <c r="DS9" s="201" t="s">
        <v>186</v>
      </c>
      <c r="DT9" s="201" t="s">
        <v>415</v>
      </c>
      <c r="DU9" s="199"/>
      <c r="DV9" s="199"/>
      <c r="DW9" s="199"/>
      <c r="DX9" s="199"/>
      <c r="DY9" s="201" t="s">
        <v>419</v>
      </c>
      <c r="DZ9" s="160"/>
      <c r="EA9" s="160"/>
    </row>
    <row r="10" spans="1:131" ht="17.25" customHeight="1">
      <c r="H10" s="163"/>
      <c r="I10" s="163"/>
      <c r="J10" s="166"/>
      <c r="K10" s="166" t="s">
        <v>352</v>
      </c>
      <c r="L10" s="163"/>
      <c r="M10" s="163" t="s">
        <v>355</v>
      </c>
      <c r="N10" s="163"/>
      <c r="O10" s="166" t="s">
        <v>357</v>
      </c>
      <c r="P10" s="166" t="s">
        <v>358</v>
      </c>
      <c r="Q10" s="163"/>
      <c r="R10" s="163"/>
      <c r="S10" s="163"/>
      <c r="T10" s="163"/>
      <c r="U10" s="166"/>
      <c r="V10" s="164"/>
      <c r="W10" s="164"/>
      <c r="X10" s="166" t="s">
        <v>342</v>
      </c>
      <c r="Y10" s="163"/>
      <c r="Z10" s="163"/>
      <c r="AA10" s="163"/>
      <c r="AB10" s="163"/>
      <c r="AC10" s="163"/>
      <c r="AD10" s="163" t="s">
        <v>349</v>
      </c>
      <c r="AE10" s="163"/>
      <c r="AF10" s="163"/>
      <c r="AG10" s="163"/>
      <c r="AH10" s="171"/>
      <c r="AI10" s="171"/>
      <c r="AJ10" s="174" t="s">
        <v>427</v>
      </c>
      <c r="AK10" s="171"/>
      <c r="AL10" s="171"/>
      <c r="AM10" s="171"/>
      <c r="AN10" s="171"/>
      <c r="AO10" s="171"/>
      <c r="AP10" s="171"/>
      <c r="AQ10" s="171"/>
      <c r="AR10" s="171"/>
      <c r="AS10" s="172"/>
      <c r="AT10" s="171" t="s">
        <v>346</v>
      </c>
      <c r="AU10" s="171"/>
      <c r="AV10" s="171"/>
      <c r="AW10" s="171"/>
      <c r="AX10" s="171"/>
      <c r="AY10" s="171"/>
      <c r="AZ10" s="174"/>
      <c r="BA10" s="174" t="s">
        <v>351</v>
      </c>
      <c r="BB10" s="171" t="s">
        <v>385</v>
      </c>
      <c r="BC10" s="171" t="s">
        <v>161</v>
      </c>
      <c r="BD10" s="174" t="s">
        <v>356</v>
      </c>
      <c r="BE10" s="174" t="s">
        <v>121</v>
      </c>
      <c r="BF10" s="171" t="s">
        <v>387</v>
      </c>
      <c r="BG10" s="174"/>
      <c r="BH10" s="172"/>
      <c r="BI10" s="171"/>
      <c r="BJ10" s="171"/>
      <c r="BK10" s="171"/>
      <c r="BL10" s="171"/>
      <c r="BM10" s="171" t="s">
        <v>381</v>
      </c>
      <c r="BN10" s="171"/>
      <c r="BO10" s="171" t="s">
        <v>348</v>
      </c>
      <c r="BP10" s="171"/>
      <c r="BQ10" s="171"/>
      <c r="BR10" s="171"/>
      <c r="BS10" s="181"/>
      <c r="BT10" s="181"/>
      <c r="BU10" s="184" t="s">
        <v>337</v>
      </c>
      <c r="BV10" s="181"/>
      <c r="BW10" s="181"/>
      <c r="BX10" s="181"/>
      <c r="BY10" s="181"/>
      <c r="BZ10" s="181"/>
      <c r="CA10" s="181"/>
      <c r="CB10" s="181"/>
      <c r="CC10" s="181"/>
      <c r="CD10" s="181"/>
      <c r="CE10" s="181"/>
      <c r="CF10" s="181"/>
      <c r="CG10" s="181"/>
      <c r="CH10" s="183"/>
      <c r="CI10" s="183"/>
      <c r="CJ10" s="184" t="s">
        <v>346</v>
      </c>
      <c r="CK10" s="181"/>
      <c r="CL10" s="181"/>
      <c r="CM10" s="189"/>
      <c r="CN10" s="189"/>
      <c r="CO10" s="192"/>
      <c r="CP10" s="192" t="s">
        <v>351</v>
      </c>
      <c r="CQ10" s="189" t="s">
        <v>385</v>
      </c>
      <c r="CR10" s="189"/>
      <c r="CS10" s="192" t="s">
        <v>356</v>
      </c>
      <c r="CT10" s="192" t="s">
        <v>121</v>
      </c>
      <c r="CU10" s="189" t="s">
        <v>407</v>
      </c>
      <c r="CV10" s="189"/>
      <c r="CW10" s="189" t="s">
        <v>10</v>
      </c>
      <c r="CX10" s="189"/>
      <c r="CY10" s="192"/>
      <c r="CZ10" s="190"/>
      <c r="DA10" s="190"/>
      <c r="DB10" s="192" t="s">
        <v>341</v>
      </c>
      <c r="DC10" s="189"/>
      <c r="DD10" s="189"/>
      <c r="DE10" s="189"/>
      <c r="DF10" s="189" t="s">
        <v>381</v>
      </c>
      <c r="DG10" s="189"/>
      <c r="DH10" s="189" t="s">
        <v>348</v>
      </c>
      <c r="DI10" s="189"/>
      <c r="DJ10" s="189"/>
      <c r="DK10" s="189"/>
      <c r="DL10" s="199"/>
      <c r="DM10" s="199"/>
      <c r="DN10" s="201" t="s">
        <v>337</v>
      </c>
      <c r="DO10" s="201" t="s">
        <v>351</v>
      </c>
      <c r="DP10" s="201" t="s">
        <v>142</v>
      </c>
      <c r="DQ10" s="201" t="s">
        <v>121</v>
      </c>
      <c r="DR10" s="199" t="s">
        <v>10</v>
      </c>
      <c r="DS10" s="201" t="s">
        <v>414</v>
      </c>
      <c r="DT10" s="201" t="s">
        <v>416</v>
      </c>
      <c r="DU10" s="200"/>
      <c r="DV10" s="199"/>
      <c r="DW10" s="199"/>
      <c r="DX10" s="199"/>
      <c r="DY10" s="201" t="s">
        <v>420</v>
      </c>
      <c r="DZ10" s="160"/>
      <c r="EA10" s="160"/>
    </row>
    <row r="11" spans="1:131" ht="17.25" customHeight="1">
      <c r="H11" s="163"/>
      <c r="I11" s="163"/>
      <c r="J11" s="166"/>
      <c r="K11" s="166"/>
      <c r="L11" s="163"/>
      <c r="M11" s="163"/>
      <c r="N11" s="163"/>
      <c r="O11" s="166"/>
      <c r="P11" s="166"/>
      <c r="Q11" s="163"/>
      <c r="R11" s="163"/>
      <c r="S11" s="163"/>
      <c r="T11" s="163"/>
      <c r="U11" s="166"/>
      <c r="V11" s="166" t="s">
        <v>90</v>
      </c>
      <c r="W11" s="166" t="s">
        <v>362</v>
      </c>
      <c r="X11" s="166"/>
      <c r="Y11" s="163"/>
      <c r="Z11" s="163"/>
      <c r="AA11" s="163"/>
      <c r="AB11" s="163"/>
      <c r="AC11" s="163"/>
      <c r="AD11" s="163"/>
      <c r="AE11" s="163"/>
      <c r="AF11" s="163"/>
      <c r="AG11" s="163"/>
      <c r="AH11" s="171"/>
      <c r="AI11" s="171"/>
      <c r="AJ11" s="174"/>
      <c r="AK11" s="171"/>
      <c r="AL11" s="171"/>
      <c r="AM11" s="171"/>
      <c r="AN11" s="171"/>
      <c r="AO11" s="171"/>
      <c r="AP11" s="171"/>
      <c r="AQ11" s="171"/>
      <c r="AR11" s="171"/>
      <c r="AS11" s="172"/>
      <c r="AT11" s="171" t="s">
        <v>347</v>
      </c>
      <c r="AU11" s="171"/>
      <c r="AV11" s="171"/>
      <c r="AW11" s="171"/>
      <c r="AX11" s="171"/>
      <c r="AY11" s="171"/>
      <c r="AZ11" s="174"/>
      <c r="BA11" s="174" t="s">
        <v>358</v>
      </c>
      <c r="BB11" s="171"/>
      <c r="BC11" s="171"/>
      <c r="BD11" s="174" t="s">
        <v>386</v>
      </c>
      <c r="BE11" s="174" t="s">
        <v>358</v>
      </c>
      <c r="BF11" s="171"/>
      <c r="BG11" s="174"/>
      <c r="BH11" s="172"/>
      <c r="BI11" s="171"/>
      <c r="BJ11" s="171"/>
      <c r="BK11" s="171"/>
      <c r="BL11" s="171"/>
      <c r="BM11" s="171" t="s">
        <v>382</v>
      </c>
      <c r="BN11" s="171"/>
      <c r="BO11" s="171" t="s">
        <v>383</v>
      </c>
      <c r="BP11" s="171"/>
      <c r="BQ11" s="171"/>
      <c r="BR11" s="171"/>
      <c r="BS11" s="181"/>
      <c r="BT11" s="181"/>
      <c r="BU11" s="184"/>
      <c r="BV11" s="181"/>
      <c r="BW11" s="181"/>
      <c r="BX11" s="181"/>
      <c r="BY11" s="181"/>
      <c r="BZ11" s="181"/>
      <c r="CA11" s="181"/>
      <c r="CB11" s="181"/>
      <c r="CC11" s="181"/>
      <c r="CD11" s="181"/>
      <c r="CE11" s="181"/>
      <c r="CF11" s="181"/>
      <c r="CG11" s="181"/>
      <c r="CH11" s="183"/>
      <c r="CI11" s="183"/>
      <c r="CJ11" s="184" t="s">
        <v>347</v>
      </c>
      <c r="CK11" s="181"/>
      <c r="CL11" s="181"/>
      <c r="CM11" s="189"/>
      <c r="CN11" s="189"/>
      <c r="CO11" s="192"/>
      <c r="CP11" s="192" t="s">
        <v>358</v>
      </c>
      <c r="CQ11" s="189"/>
      <c r="CR11" s="189"/>
      <c r="CS11" s="192" t="s">
        <v>386</v>
      </c>
      <c r="CT11" s="192" t="s">
        <v>358</v>
      </c>
      <c r="CU11" s="189"/>
      <c r="CV11" s="189"/>
      <c r="CW11" s="189"/>
      <c r="CX11" s="189"/>
      <c r="CY11" s="192"/>
      <c r="CZ11" s="190"/>
      <c r="DA11" s="190"/>
      <c r="DB11" s="192" t="s">
        <v>401</v>
      </c>
      <c r="DC11" s="189"/>
      <c r="DD11" s="189"/>
      <c r="DE11" s="189"/>
      <c r="DF11" s="189" t="s">
        <v>404</v>
      </c>
      <c r="DG11" s="189"/>
      <c r="DH11" s="189" t="s">
        <v>405</v>
      </c>
      <c r="DI11" s="189"/>
      <c r="DJ11" s="189"/>
      <c r="DK11" s="189"/>
      <c r="DL11" s="199"/>
      <c r="DM11" s="199"/>
      <c r="DN11" s="201"/>
      <c r="DO11" s="201" t="s">
        <v>352</v>
      </c>
      <c r="DP11" s="201" t="s">
        <v>422</v>
      </c>
      <c r="DQ11" s="201" t="s">
        <v>423</v>
      </c>
      <c r="DR11" s="199"/>
      <c r="DS11" s="201"/>
      <c r="DT11" s="201"/>
      <c r="DU11" s="200"/>
      <c r="DV11" s="199"/>
      <c r="DW11" s="199"/>
      <c r="DX11" s="199"/>
      <c r="DY11" s="201"/>
      <c r="DZ11" s="160"/>
      <c r="EA11" s="160"/>
    </row>
    <row r="12" spans="1:131" ht="17.25" customHeight="1">
      <c r="H12" s="163"/>
      <c r="I12" s="163"/>
      <c r="J12" s="166"/>
      <c r="K12" s="166"/>
      <c r="L12" s="163"/>
      <c r="M12" s="163"/>
      <c r="N12" s="163"/>
      <c r="O12" s="166"/>
      <c r="P12" s="166"/>
      <c r="Q12" s="163"/>
      <c r="R12" s="163"/>
      <c r="S12" s="163"/>
      <c r="T12" s="163"/>
      <c r="U12" s="166"/>
      <c r="V12" s="166" t="s">
        <v>360</v>
      </c>
      <c r="W12" s="166" t="s">
        <v>363</v>
      </c>
      <c r="X12" s="166"/>
      <c r="Y12" s="163"/>
      <c r="Z12" s="163"/>
      <c r="AA12" s="163"/>
      <c r="AB12" s="163"/>
      <c r="AC12" s="163"/>
      <c r="AD12" s="163"/>
      <c r="AE12" s="163"/>
      <c r="AF12" s="163"/>
      <c r="AG12" s="163"/>
      <c r="AH12" s="171"/>
      <c r="AI12" s="171"/>
      <c r="AJ12" s="174"/>
      <c r="AK12" s="174" t="s">
        <v>351</v>
      </c>
      <c r="AL12" s="171" t="s">
        <v>353</v>
      </c>
      <c r="AM12" s="171" t="s">
        <v>161</v>
      </c>
      <c r="AN12" s="171" t="s">
        <v>10</v>
      </c>
      <c r="AO12" s="171" t="s">
        <v>433</v>
      </c>
      <c r="AP12" s="171"/>
      <c r="AQ12" s="171"/>
      <c r="AR12" s="171"/>
      <c r="AS12" s="174" t="s">
        <v>381</v>
      </c>
      <c r="AT12" s="171" t="s">
        <v>348</v>
      </c>
      <c r="AU12" s="171"/>
      <c r="AV12" s="171"/>
      <c r="AW12" s="171"/>
      <c r="AX12" s="171"/>
      <c r="AY12" s="171"/>
      <c r="AZ12" s="174"/>
      <c r="BA12" s="174"/>
      <c r="BB12" s="171"/>
      <c r="BC12" s="171"/>
      <c r="BD12" s="174"/>
      <c r="BE12" s="174"/>
      <c r="BF12" s="171"/>
      <c r="BG12" s="174"/>
      <c r="BH12" s="174" t="s">
        <v>90</v>
      </c>
      <c r="BI12" s="171"/>
      <c r="BJ12" s="171"/>
      <c r="BK12" s="171"/>
      <c r="BL12" s="171"/>
      <c r="BM12" s="171"/>
      <c r="BN12" s="171"/>
      <c r="BO12" s="171"/>
      <c r="BP12" s="171"/>
      <c r="BQ12" s="171"/>
      <c r="BR12" s="171"/>
      <c r="BS12" s="181"/>
      <c r="BT12" s="181"/>
      <c r="BU12" s="184"/>
      <c r="BV12" s="184" t="s">
        <v>397</v>
      </c>
      <c r="BW12" s="184" t="s">
        <v>351</v>
      </c>
      <c r="BX12" s="181" t="s">
        <v>353</v>
      </c>
      <c r="BY12" s="181"/>
      <c r="BZ12" s="181" t="s">
        <v>354</v>
      </c>
      <c r="CA12" s="181"/>
      <c r="CB12" s="181" t="s">
        <v>399</v>
      </c>
      <c r="CC12" s="184" t="s">
        <v>356</v>
      </c>
      <c r="CD12" s="184" t="s">
        <v>121</v>
      </c>
      <c r="CE12" s="181" t="s">
        <v>10</v>
      </c>
      <c r="CF12" s="181"/>
      <c r="CG12" s="181"/>
      <c r="CH12" s="181" t="s">
        <v>381</v>
      </c>
      <c r="CI12" s="181"/>
      <c r="CJ12" s="184" t="s">
        <v>348</v>
      </c>
      <c r="CK12" s="181"/>
      <c r="CL12" s="181"/>
      <c r="CM12" s="189"/>
      <c r="CN12" s="189"/>
      <c r="CO12" s="192"/>
      <c r="CP12" s="192"/>
      <c r="CQ12" s="189"/>
      <c r="CR12" s="189"/>
      <c r="CS12" s="192"/>
      <c r="CT12" s="192"/>
      <c r="CU12" s="189"/>
      <c r="CV12" s="189"/>
      <c r="CW12" s="189"/>
      <c r="CX12" s="189"/>
      <c r="CY12" s="192"/>
      <c r="CZ12" s="190"/>
      <c r="DA12" s="192" t="s">
        <v>362</v>
      </c>
      <c r="DB12" s="192"/>
      <c r="DC12" s="189"/>
      <c r="DD12" s="189"/>
      <c r="DE12" s="189"/>
      <c r="DF12" s="189"/>
      <c r="DG12" s="189"/>
      <c r="DH12" s="189"/>
      <c r="DI12" s="189"/>
      <c r="DJ12" s="189"/>
      <c r="DK12" s="189"/>
      <c r="DL12" s="199"/>
      <c r="DM12" s="199"/>
      <c r="DN12" s="201"/>
      <c r="DO12" s="201"/>
      <c r="DP12" s="201"/>
      <c r="DQ12" s="201"/>
      <c r="DR12" s="199"/>
      <c r="DS12" s="201"/>
      <c r="DT12" s="201"/>
      <c r="DU12" s="201" t="s">
        <v>90</v>
      </c>
      <c r="DV12" s="199"/>
      <c r="DW12" s="199"/>
      <c r="DX12" s="199"/>
      <c r="DY12" s="201"/>
      <c r="DZ12" s="160"/>
      <c r="EA12" s="160"/>
    </row>
    <row r="13" spans="1:131" ht="17.25" customHeight="1">
      <c r="H13" s="163"/>
      <c r="I13" s="166" t="s">
        <v>365</v>
      </c>
      <c r="J13" s="166" t="s">
        <v>367</v>
      </c>
      <c r="K13" s="163" t="s">
        <v>369</v>
      </c>
      <c r="L13" s="163"/>
      <c r="M13" s="163"/>
      <c r="N13" s="163"/>
      <c r="O13" s="163"/>
      <c r="P13" s="163"/>
      <c r="Q13" s="163"/>
      <c r="R13" s="163"/>
      <c r="S13" s="163"/>
      <c r="T13" s="163"/>
      <c r="U13" s="166" t="s">
        <v>370</v>
      </c>
      <c r="V13" s="166" t="s">
        <v>361</v>
      </c>
      <c r="W13" s="166" t="s">
        <v>364</v>
      </c>
      <c r="X13" s="166"/>
      <c r="Y13" s="163"/>
      <c r="Z13" s="163"/>
      <c r="AA13" s="166" t="s">
        <v>370</v>
      </c>
      <c r="AB13" s="163"/>
      <c r="AC13" s="163"/>
      <c r="AD13" s="163"/>
      <c r="AE13" s="163"/>
      <c r="AF13" s="163"/>
      <c r="AG13" s="163"/>
      <c r="AH13" s="171"/>
      <c r="AI13" s="171"/>
      <c r="AJ13" s="174"/>
      <c r="AK13" s="174" t="s">
        <v>358</v>
      </c>
      <c r="AL13" s="171"/>
      <c r="AM13" s="171"/>
      <c r="AN13" s="171"/>
      <c r="AO13" s="171"/>
      <c r="AP13" s="171"/>
      <c r="AQ13" s="171"/>
      <c r="AR13" s="171"/>
      <c r="AS13" s="174" t="s">
        <v>431</v>
      </c>
      <c r="AT13" s="171" t="s">
        <v>395</v>
      </c>
      <c r="AU13" s="171"/>
      <c r="AV13" s="171"/>
      <c r="AW13" s="171"/>
      <c r="AX13" s="171"/>
      <c r="AY13" s="171"/>
      <c r="AZ13" s="174"/>
      <c r="BA13" s="174"/>
      <c r="BB13" s="171"/>
      <c r="BC13" s="171"/>
      <c r="BD13" s="174"/>
      <c r="BE13" s="174"/>
      <c r="BF13" s="171"/>
      <c r="BG13" s="174"/>
      <c r="BH13" s="174" t="s">
        <v>360</v>
      </c>
      <c r="BI13" s="171"/>
      <c r="BJ13" s="171"/>
      <c r="BK13" s="171"/>
      <c r="BL13" s="171"/>
      <c r="BM13" s="171"/>
      <c r="BN13" s="171"/>
      <c r="BO13" s="171"/>
      <c r="BP13" s="171"/>
      <c r="BQ13" s="171"/>
      <c r="BR13" s="171"/>
      <c r="BS13" s="181"/>
      <c r="BT13" s="181"/>
      <c r="BU13" s="184"/>
      <c r="BV13" s="184" t="s">
        <v>398</v>
      </c>
      <c r="BW13" s="184" t="s">
        <v>352</v>
      </c>
      <c r="BX13" s="181"/>
      <c r="BY13" s="181"/>
      <c r="BZ13" s="181" t="s">
        <v>355</v>
      </c>
      <c r="CA13" s="181"/>
      <c r="CB13" s="181"/>
      <c r="CC13" s="184" t="s">
        <v>357</v>
      </c>
      <c r="CD13" s="184" t="s">
        <v>358</v>
      </c>
      <c r="CE13" s="181"/>
      <c r="CF13" s="181"/>
      <c r="CG13" s="181"/>
      <c r="CH13" s="181" t="s">
        <v>394</v>
      </c>
      <c r="CI13" s="181"/>
      <c r="CJ13" s="184" t="s">
        <v>395</v>
      </c>
      <c r="CK13" s="181"/>
      <c r="CL13" s="181"/>
      <c r="CM13" s="189"/>
      <c r="CN13" s="189"/>
      <c r="CO13" s="192"/>
      <c r="CP13" s="192"/>
      <c r="CQ13" s="189"/>
      <c r="CR13" s="189"/>
      <c r="CS13" s="192"/>
      <c r="CT13" s="192"/>
      <c r="CU13" s="189"/>
      <c r="CV13" s="189"/>
      <c r="CW13" s="189"/>
      <c r="CX13" s="189"/>
      <c r="CY13" s="192"/>
      <c r="CZ13" s="192" t="s">
        <v>408</v>
      </c>
      <c r="DA13" s="192" t="s">
        <v>363</v>
      </c>
      <c r="DB13" s="192"/>
      <c r="DC13" s="189"/>
      <c r="DD13" s="189"/>
      <c r="DE13" s="189"/>
      <c r="DF13" s="189"/>
      <c r="DG13" s="189"/>
      <c r="DH13" s="189"/>
      <c r="DI13" s="189"/>
      <c r="DJ13" s="189"/>
      <c r="DK13" s="189"/>
      <c r="DL13" s="199"/>
      <c r="DM13" s="199"/>
      <c r="DN13" s="201"/>
      <c r="DO13" s="201"/>
      <c r="DP13" s="201"/>
      <c r="DQ13" s="201"/>
      <c r="DR13" s="199"/>
      <c r="DS13" s="201"/>
      <c r="DT13" s="201"/>
      <c r="DU13" s="201" t="s">
        <v>360</v>
      </c>
      <c r="DV13" s="199"/>
      <c r="DW13" s="199"/>
      <c r="DX13" s="199"/>
      <c r="DY13" s="201"/>
      <c r="DZ13" s="160"/>
      <c r="EA13" s="160"/>
    </row>
    <row r="14" spans="1:131" ht="17.25" customHeight="1">
      <c r="H14" s="163"/>
      <c r="I14" s="166" t="s">
        <v>366</v>
      </c>
      <c r="J14" s="166" t="s">
        <v>368</v>
      </c>
      <c r="K14" s="163"/>
      <c r="L14" s="163"/>
      <c r="M14" s="163"/>
      <c r="N14" s="163"/>
      <c r="O14" s="163"/>
      <c r="P14" s="163"/>
      <c r="Q14" s="163"/>
      <c r="R14" s="163"/>
      <c r="S14" s="163"/>
      <c r="T14" s="163"/>
      <c r="U14" s="166" t="s">
        <v>371</v>
      </c>
      <c r="V14" s="166"/>
      <c r="W14" s="166"/>
      <c r="X14" s="166"/>
      <c r="Y14" s="163"/>
      <c r="Z14" s="163"/>
      <c r="AA14" s="166" t="s">
        <v>371</v>
      </c>
      <c r="AB14" s="163"/>
      <c r="AC14" s="163"/>
      <c r="AD14" s="163"/>
      <c r="AE14" s="163"/>
      <c r="AF14" s="163"/>
      <c r="AG14" s="163"/>
      <c r="AH14" s="171"/>
      <c r="AI14" s="174" t="s">
        <v>365</v>
      </c>
      <c r="AJ14" s="174" t="s">
        <v>367</v>
      </c>
      <c r="AK14" s="171" t="s">
        <v>369</v>
      </c>
      <c r="AL14" s="171"/>
      <c r="AM14" s="171"/>
      <c r="AN14" s="171"/>
      <c r="AO14" s="171"/>
      <c r="AP14" s="171"/>
      <c r="AQ14" s="171"/>
      <c r="AR14" s="174" t="s">
        <v>370</v>
      </c>
      <c r="AS14" s="174"/>
      <c r="AT14" s="171"/>
      <c r="AU14" s="171"/>
      <c r="AV14" s="171"/>
      <c r="AW14" s="171"/>
      <c r="AX14" s="171"/>
      <c r="AY14" s="174" t="s">
        <v>365</v>
      </c>
      <c r="AZ14" s="174" t="s">
        <v>367</v>
      </c>
      <c r="BA14" s="171" t="s">
        <v>369</v>
      </c>
      <c r="BB14" s="171"/>
      <c r="BC14" s="171"/>
      <c r="BD14" s="171"/>
      <c r="BE14" s="171"/>
      <c r="BF14" s="171"/>
      <c r="BG14" s="174" t="s">
        <v>370</v>
      </c>
      <c r="BH14" s="174" t="s">
        <v>388</v>
      </c>
      <c r="BI14" s="171"/>
      <c r="BJ14" s="171" t="s">
        <v>370</v>
      </c>
      <c r="BK14" s="171"/>
      <c r="BL14" s="171"/>
      <c r="BM14" s="171"/>
      <c r="BN14" s="171"/>
      <c r="BO14" s="171"/>
      <c r="BP14" s="171"/>
      <c r="BQ14" s="171"/>
      <c r="BR14" s="171"/>
      <c r="BS14" s="181"/>
      <c r="BT14" s="184" t="s">
        <v>365</v>
      </c>
      <c r="BU14" s="184" t="s">
        <v>367</v>
      </c>
      <c r="BV14" s="181" t="s">
        <v>369</v>
      </c>
      <c r="BW14" s="181"/>
      <c r="BX14" s="181"/>
      <c r="BY14" s="181"/>
      <c r="BZ14" s="181"/>
      <c r="CA14" s="181"/>
      <c r="CB14" s="181"/>
      <c r="CC14" s="181"/>
      <c r="CD14" s="181"/>
      <c r="CE14" s="181"/>
      <c r="CF14" s="181"/>
      <c r="CG14" s="184" t="s">
        <v>370</v>
      </c>
      <c r="CH14" s="181"/>
      <c r="CI14" s="181"/>
      <c r="CJ14" s="184"/>
      <c r="CK14" s="181"/>
      <c r="CL14" s="181"/>
      <c r="CM14" s="189"/>
      <c r="CN14" s="192" t="s">
        <v>365</v>
      </c>
      <c r="CO14" s="192" t="s">
        <v>367</v>
      </c>
      <c r="CP14" s="189" t="s">
        <v>369</v>
      </c>
      <c r="CQ14" s="189"/>
      <c r="CR14" s="189"/>
      <c r="CS14" s="189"/>
      <c r="CT14" s="189"/>
      <c r="CU14" s="189"/>
      <c r="CV14" s="189"/>
      <c r="CW14" s="189"/>
      <c r="CX14" s="189"/>
      <c r="CY14" s="192" t="s">
        <v>370</v>
      </c>
      <c r="CZ14" s="192" t="s">
        <v>388</v>
      </c>
      <c r="DA14" s="192" t="s">
        <v>409</v>
      </c>
      <c r="DB14" s="192"/>
      <c r="DC14" s="189" t="s">
        <v>370</v>
      </c>
      <c r="DD14" s="189"/>
      <c r="DE14" s="189"/>
      <c r="DF14" s="189"/>
      <c r="DG14" s="189"/>
      <c r="DH14" s="189"/>
      <c r="DI14" s="189"/>
      <c r="DJ14" s="189"/>
      <c r="DK14" s="189"/>
      <c r="DL14" s="199"/>
      <c r="DM14" s="201" t="s">
        <v>365</v>
      </c>
      <c r="DN14" s="201" t="s">
        <v>367</v>
      </c>
      <c r="DO14" s="199" t="s">
        <v>369</v>
      </c>
      <c r="DP14" s="199"/>
      <c r="DQ14" s="199"/>
      <c r="DR14" s="199"/>
      <c r="DS14" s="199" t="s">
        <v>425</v>
      </c>
      <c r="DT14" s="199"/>
      <c r="DU14" s="201" t="s">
        <v>424</v>
      </c>
      <c r="DV14" s="199" t="s">
        <v>425</v>
      </c>
      <c r="DW14" s="199"/>
      <c r="DX14" s="199"/>
      <c r="DY14" s="199"/>
      <c r="DZ14" s="160"/>
      <c r="EA14" s="160"/>
    </row>
    <row r="15" spans="1:131" ht="59.25" customHeight="1">
      <c r="D15" s="158" t="s">
        <v>439</v>
      </c>
      <c r="G15" s="224" t="s">
        <v>436</v>
      </c>
      <c r="H15" s="163"/>
      <c r="I15" s="166"/>
      <c r="J15" s="166"/>
      <c r="K15" s="163"/>
      <c r="L15" s="163"/>
      <c r="M15" s="163"/>
      <c r="N15" s="163"/>
      <c r="O15" s="163"/>
      <c r="P15" s="163"/>
      <c r="Q15" s="163"/>
      <c r="R15" s="163"/>
      <c r="S15" s="163"/>
      <c r="T15" s="163"/>
      <c r="U15" s="166" t="s">
        <v>372</v>
      </c>
      <c r="V15" s="166"/>
      <c r="W15" s="166"/>
      <c r="X15" s="166"/>
      <c r="Y15" s="163"/>
      <c r="Z15" s="163"/>
      <c r="AA15" s="166" t="s">
        <v>372</v>
      </c>
      <c r="AB15" s="163"/>
      <c r="AC15" s="163"/>
      <c r="AD15" s="163"/>
      <c r="AE15" s="163"/>
      <c r="AF15" s="163"/>
      <c r="AG15" s="163"/>
      <c r="AH15" s="171"/>
      <c r="AI15" s="174" t="s">
        <v>366</v>
      </c>
      <c r="AJ15" s="174" t="s">
        <v>368</v>
      </c>
      <c r="AK15" s="171"/>
      <c r="AL15" s="171"/>
      <c r="AM15" s="171"/>
      <c r="AN15" s="171"/>
      <c r="AO15" s="171"/>
      <c r="AP15" s="171"/>
      <c r="AQ15" s="171"/>
      <c r="AR15" s="174" t="s">
        <v>389</v>
      </c>
      <c r="AS15" s="174"/>
      <c r="AT15" s="171"/>
      <c r="AU15" s="171"/>
      <c r="AV15" s="171"/>
      <c r="AW15" s="171"/>
      <c r="AX15" s="171"/>
      <c r="AY15" s="174" t="s">
        <v>366</v>
      </c>
      <c r="AZ15" s="174" t="s">
        <v>368</v>
      </c>
      <c r="BA15" s="171"/>
      <c r="BB15" s="171"/>
      <c r="BC15" s="171"/>
      <c r="BD15" s="171"/>
      <c r="BE15" s="171"/>
      <c r="BF15" s="171"/>
      <c r="BG15" s="174" t="s">
        <v>389</v>
      </c>
      <c r="BH15" s="174"/>
      <c r="BI15" s="171"/>
      <c r="BJ15" s="171" t="s">
        <v>389</v>
      </c>
      <c r="BK15" s="171"/>
      <c r="BL15" s="171"/>
      <c r="BM15" s="171"/>
      <c r="BN15" s="171"/>
      <c r="BO15" s="171"/>
      <c r="BP15" s="171"/>
      <c r="BQ15" s="171"/>
      <c r="BR15" s="171"/>
      <c r="BS15" s="181"/>
      <c r="BT15" s="184" t="s">
        <v>366</v>
      </c>
      <c r="BU15" s="184" t="s">
        <v>368</v>
      </c>
      <c r="BV15" s="181"/>
      <c r="BW15" s="181"/>
      <c r="BX15" s="181"/>
      <c r="BY15" s="181"/>
      <c r="BZ15" s="181"/>
      <c r="CA15" s="181"/>
      <c r="CB15" s="181"/>
      <c r="CC15" s="181"/>
      <c r="CD15" s="181"/>
      <c r="CE15" s="181"/>
      <c r="CF15" s="181"/>
      <c r="CG15" s="184" t="s">
        <v>389</v>
      </c>
      <c r="CH15" s="181"/>
      <c r="CI15" s="181"/>
      <c r="CJ15" s="184"/>
      <c r="CK15" s="181"/>
      <c r="CL15" s="181"/>
      <c r="CM15" s="189"/>
      <c r="CN15" s="192" t="s">
        <v>366</v>
      </c>
      <c r="CO15" s="192" t="s">
        <v>368</v>
      </c>
      <c r="CP15" s="189"/>
      <c r="CQ15" s="189"/>
      <c r="CR15" s="189"/>
      <c r="CS15" s="189"/>
      <c r="CT15" s="189"/>
      <c r="CU15" s="189"/>
      <c r="CV15" s="189"/>
      <c r="CW15" s="189"/>
      <c r="CX15" s="189"/>
      <c r="CY15" s="192" t="s">
        <v>410</v>
      </c>
      <c r="CZ15" s="192"/>
      <c r="DA15" s="192"/>
      <c r="DB15" s="192"/>
      <c r="DC15" s="189" t="s">
        <v>410</v>
      </c>
      <c r="DD15" s="189"/>
      <c r="DE15" s="189"/>
      <c r="DF15" s="189"/>
      <c r="DG15" s="189"/>
      <c r="DH15" s="189"/>
      <c r="DI15" s="189"/>
      <c r="DJ15" s="189"/>
      <c r="DK15" s="189"/>
      <c r="DL15" s="199"/>
      <c r="DM15" s="201" t="s">
        <v>366</v>
      </c>
      <c r="DN15" s="201" t="s">
        <v>368</v>
      </c>
      <c r="DO15" s="199"/>
      <c r="DP15" s="199"/>
      <c r="DQ15" s="199"/>
      <c r="DR15" s="199"/>
      <c r="DS15" s="199"/>
      <c r="DT15" s="199"/>
      <c r="DU15" s="201"/>
      <c r="DV15" s="199"/>
      <c r="DW15" s="199"/>
      <c r="DX15" s="199"/>
      <c r="DY15" s="199"/>
      <c r="DZ15" s="160"/>
      <c r="EA15" s="160"/>
    </row>
    <row r="16" spans="1:131" ht="17.25" customHeight="1">
      <c r="D16" s="56">
        <f>AJ16/G16</f>
        <v>0.57692307692307687</v>
      </c>
      <c r="G16" s="159">
        <f>+J16+DN16</f>
        <v>78</v>
      </c>
      <c r="H16" s="167">
        <v>1960</v>
      </c>
      <c r="I16" s="168">
        <v>2113</v>
      </c>
      <c r="J16" s="167">
        <v>67</v>
      </c>
      <c r="K16" s="168">
        <v>50963</v>
      </c>
      <c r="L16" s="168">
        <v>1148</v>
      </c>
      <c r="M16" s="168">
        <v>1209</v>
      </c>
      <c r="N16" s="167"/>
      <c r="O16" s="168">
        <v>34993</v>
      </c>
      <c r="P16" s="168">
        <v>29118</v>
      </c>
      <c r="Q16" s="168">
        <v>11024</v>
      </c>
      <c r="R16" s="167"/>
      <c r="S16" s="168">
        <v>128455</v>
      </c>
      <c r="T16" s="167"/>
      <c r="U16" s="167">
        <v>117</v>
      </c>
      <c r="V16" s="167" t="s">
        <v>163</v>
      </c>
      <c r="W16" s="167" t="s">
        <v>163</v>
      </c>
      <c r="X16" s="167" t="s">
        <v>163</v>
      </c>
      <c r="Y16" s="167" t="s">
        <v>163</v>
      </c>
      <c r="Z16" s="167"/>
      <c r="AA16" s="168">
        <v>12381</v>
      </c>
      <c r="AB16" s="167" t="s">
        <v>163</v>
      </c>
      <c r="AC16" s="167"/>
      <c r="AD16" s="167" t="s">
        <v>163</v>
      </c>
      <c r="AE16" s="167"/>
      <c r="AF16" s="167" t="s">
        <v>163</v>
      </c>
      <c r="AG16" s="167"/>
      <c r="AH16" s="175">
        <v>1960</v>
      </c>
      <c r="AI16" s="175">
        <v>487</v>
      </c>
      <c r="AJ16" s="175">
        <v>45</v>
      </c>
      <c r="AK16" s="176">
        <v>34305</v>
      </c>
      <c r="AL16" s="175">
        <v>631</v>
      </c>
      <c r="AM16" s="176">
        <v>4858</v>
      </c>
      <c r="AN16" s="176">
        <v>39794</v>
      </c>
      <c r="AO16" s="175" t="s">
        <v>163</v>
      </c>
      <c r="AP16" s="175" t="s">
        <v>163</v>
      </c>
      <c r="AQ16" s="175" t="s">
        <v>163</v>
      </c>
      <c r="AR16" s="176">
        <v>4190</v>
      </c>
      <c r="AS16" s="175" t="s">
        <v>163</v>
      </c>
      <c r="AT16" s="175" t="s">
        <v>163</v>
      </c>
      <c r="AU16" s="175"/>
      <c r="AV16" s="175" t="s">
        <v>163</v>
      </c>
      <c r="AW16" s="175"/>
      <c r="AX16" s="175">
        <v>1960</v>
      </c>
      <c r="AY16" s="175">
        <v>338</v>
      </c>
      <c r="AZ16" s="175">
        <v>10</v>
      </c>
      <c r="BA16" s="176">
        <v>11965</v>
      </c>
      <c r="BB16" s="175">
        <v>253</v>
      </c>
      <c r="BC16" s="175">
        <v>404</v>
      </c>
      <c r="BD16" s="175">
        <v>135</v>
      </c>
      <c r="BE16" s="176">
        <v>10036</v>
      </c>
      <c r="BF16" s="176">
        <v>22792</v>
      </c>
      <c r="BG16" s="175" t="s">
        <v>390</v>
      </c>
      <c r="BH16" s="175" t="s">
        <v>163</v>
      </c>
      <c r="BI16" s="175" t="s">
        <v>163</v>
      </c>
      <c r="BJ16" s="175" t="s">
        <v>390</v>
      </c>
      <c r="BK16" s="175"/>
      <c r="BL16" s="176">
        <v>3011</v>
      </c>
      <c r="BM16" s="175" t="s">
        <v>163</v>
      </c>
      <c r="BN16" s="175"/>
      <c r="BO16" s="175" t="s">
        <v>163</v>
      </c>
      <c r="BP16" s="175"/>
      <c r="BQ16" s="175" t="s">
        <v>163</v>
      </c>
      <c r="BR16" s="175"/>
      <c r="BS16" s="185">
        <v>1960</v>
      </c>
      <c r="BT16" s="185">
        <v>22</v>
      </c>
      <c r="BU16" s="185">
        <v>0</v>
      </c>
      <c r="BV16" s="185">
        <v>968</v>
      </c>
      <c r="BW16" s="186">
        <v>2371</v>
      </c>
      <c r="BX16" s="185">
        <v>4</v>
      </c>
      <c r="BY16" s="185"/>
      <c r="BZ16" s="186">
        <v>1209</v>
      </c>
      <c r="CA16" s="185"/>
      <c r="CB16" s="185">
        <v>443</v>
      </c>
      <c r="CC16" s="186">
        <v>34725</v>
      </c>
      <c r="CD16" s="186">
        <v>1207</v>
      </c>
      <c r="CE16" s="186">
        <v>40927</v>
      </c>
      <c r="CF16" s="185"/>
      <c r="CG16" s="185">
        <v>105</v>
      </c>
      <c r="CH16" s="185" t="s">
        <v>163</v>
      </c>
      <c r="CI16" s="185"/>
      <c r="CJ16" s="185" t="s">
        <v>163</v>
      </c>
      <c r="CK16" s="185" t="s">
        <v>163</v>
      </c>
      <c r="CL16" s="185"/>
      <c r="CM16" s="193">
        <v>1960</v>
      </c>
      <c r="CN16" s="194">
        <v>1266</v>
      </c>
      <c r="CO16" s="193">
        <v>12</v>
      </c>
      <c r="CP16" s="194">
        <v>2322</v>
      </c>
      <c r="CQ16" s="193">
        <v>260</v>
      </c>
      <c r="CR16" s="193"/>
      <c r="CS16" s="193">
        <v>133</v>
      </c>
      <c r="CT16" s="194">
        <v>17875</v>
      </c>
      <c r="CU16" s="194">
        <v>4351</v>
      </c>
      <c r="CV16" s="193"/>
      <c r="CW16" s="194">
        <v>24942</v>
      </c>
      <c r="CX16" s="193"/>
      <c r="CY16" s="193">
        <v>117</v>
      </c>
      <c r="CZ16" s="193" t="s">
        <v>163</v>
      </c>
      <c r="DA16" s="193" t="s">
        <v>163</v>
      </c>
      <c r="DB16" s="193" t="s">
        <v>163</v>
      </c>
      <c r="DC16" s="193" t="s">
        <v>390</v>
      </c>
      <c r="DD16" s="193"/>
      <c r="DE16" s="194">
        <v>5075</v>
      </c>
      <c r="DF16" s="193" t="s">
        <v>163</v>
      </c>
      <c r="DG16" s="193"/>
      <c r="DH16" s="193" t="s">
        <v>163</v>
      </c>
      <c r="DI16" s="193"/>
      <c r="DJ16" s="193" t="s">
        <v>163</v>
      </c>
      <c r="DK16" s="193"/>
      <c r="DL16" s="202">
        <v>1960</v>
      </c>
      <c r="DM16" s="203">
        <v>2446</v>
      </c>
      <c r="DN16" s="202">
        <v>11</v>
      </c>
      <c r="DO16" s="202">
        <v>277</v>
      </c>
      <c r="DP16" s="202">
        <v>0</v>
      </c>
      <c r="DQ16" s="203">
        <v>9990</v>
      </c>
      <c r="DR16" s="203">
        <v>10267</v>
      </c>
      <c r="DS16" s="202">
        <v>34</v>
      </c>
      <c r="DT16" s="202">
        <v>865</v>
      </c>
      <c r="DU16" s="202" t="s">
        <v>163</v>
      </c>
      <c r="DV16" s="202">
        <v>0</v>
      </c>
      <c r="DW16" s="202" t="s">
        <v>390</v>
      </c>
      <c r="DX16" s="202" t="s">
        <v>390</v>
      </c>
      <c r="DY16" s="202">
        <v>0</v>
      </c>
      <c r="DZ16" s="202" t="s">
        <v>163</v>
      </c>
      <c r="EA16" s="138"/>
    </row>
    <row r="17" spans="4:131" ht="17.25" customHeight="1">
      <c r="D17" s="56">
        <f t="shared" ref="D17:D77" si="0">AJ17/G17</f>
        <v>0.6097560975609756</v>
      </c>
      <c r="G17" s="159">
        <f t="shared" ref="G17:G77" si="1">+J17+DN17</f>
        <v>82</v>
      </c>
      <c r="H17" s="167">
        <v>1961</v>
      </c>
      <c r="I17" s="168">
        <v>1812</v>
      </c>
      <c r="J17" s="167">
        <v>73</v>
      </c>
      <c r="K17" s="168">
        <v>52202</v>
      </c>
      <c r="L17" s="168">
        <v>1095</v>
      </c>
      <c r="M17" s="168">
        <v>1552</v>
      </c>
      <c r="N17" s="167"/>
      <c r="O17" s="168">
        <v>36123</v>
      </c>
      <c r="P17" s="168">
        <v>30026</v>
      </c>
      <c r="Q17" s="168">
        <v>10673</v>
      </c>
      <c r="R17" s="167"/>
      <c r="S17" s="168">
        <v>131670</v>
      </c>
      <c r="T17" s="167"/>
      <c r="U17" s="167">
        <v>126</v>
      </c>
      <c r="V17" s="167" t="s">
        <v>163</v>
      </c>
      <c r="W17" s="167" t="s">
        <v>163</v>
      </c>
      <c r="X17" s="167" t="s">
        <v>163</v>
      </c>
      <c r="Y17" s="167" t="s">
        <v>163</v>
      </c>
      <c r="Z17" s="167"/>
      <c r="AA17" s="168">
        <v>13143</v>
      </c>
      <c r="AB17" s="167" t="s">
        <v>163</v>
      </c>
      <c r="AC17" s="167"/>
      <c r="AD17" s="167" t="s">
        <v>163</v>
      </c>
      <c r="AE17" s="167"/>
      <c r="AF17" s="167" t="s">
        <v>163</v>
      </c>
      <c r="AG17" s="167"/>
      <c r="AH17" s="175">
        <v>1961</v>
      </c>
      <c r="AI17" s="175">
        <v>384</v>
      </c>
      <c r="AJ17" s="175">
        <v>50</v>
      </c>
      <c r="AK17" s="176">
        <v>35292</v>
      </c>
      <c r="AL17" s="175">
        <v>560</v>
      </c>
      <c r="AM17" s="176">
        <v>4719</v>
      </c>
      <c r="AN17" s="176">
        <v>40571</v>
      </c>
      <c r="AO17" s="175" t="s">
        <v>163</v>
      </c>
      <c r="AP17" s="175" t="s">
        <v>163</v>
      </c>
      <c r="AQ17" s="175" t="s">
        <v>163</v>
      </c>
      <c r="AR17" s="176">
        <v>4466</v>
      </c>
      <c r="AS17" s="175" t="s">
        <v>163</v>
      </c>
      <c r="AT17" s="175" t="s">
        <v>163</v>
      </c>
      <c r="AU17" s="175"/>
      <c r="AV17" s="175" t="s">
        <v>163</v>
      </c>
      <c r="AW17" s="175"/>
      <c r="AX17" s="175">
        <v>1961</v>
      </c>
      <c r="AY17" s="175">
        <v>267</v>
      </c>
      <c r="AZ17" s="175">
        <v>12</v>
      </c>
      <c r="BA17" s="176">
        <v>12309</v>
      </c>
      <c r="BB17" s="175">
        <v>224</v>
      </c>
      <c r="BC17" s="175">
        <v>392</v>
      </c>
      <c r="BD17" s="175">
        <v>140</v>
      </c>
      <c r="BE17" s="176">
        <v>10005</v>
      </c>
      <c r="BF17" s="176">
        <v>23070</v>
      </c>
      <c r="BG17" s="175" t="s">
        <v>390</v>
      </c>
      <c r="BH17" s="175" t="s">
        <v>163</v>
      </c>
      <c r="BI17" s="175" t="s">
        <v>163</v>
      </c>
      <c r="BJ17" s="175" t="s">
        <v>390</v>
      </c>
      <c r="BK17" s="175"/>
      <c r="BL17" s="176">
        <v>3259</v>
      </c>
      <c r="BM17" s="175" t="s">
        <v>163</v>
      </c>
      <c r="BN17" s="175"/>
      <c r="BO17" s="175" t="s">
        <v>163</v>
      </c>
      <c r="BP17" s="175"/>
      <c r="BQ17" s="175" t="s">
        <v>163</v>
      </c>
      <c r="BR17" s="175"/>
      <c r="BS17" s="185">
        <v>1961</v>
      </c>
      <c r="BT17" s="185">
        <v>5</v>
      </c>
      <c r="BU17" s="185">
        <v>0</v>
      </c>
      <c r="BV17" s="185">
        <v>843</v>
      </c>
      <c r="BW17" s="186">
        <v>2311</v>
      </c>
      <c r="BX17" s="185">
        <v>4</v>
      </c>
      <c r="BY17" s="185"/>
      <c r="BZ17" s="186">
        <v>1552</v>
      </c>
      <c r="CA17" s="185"/>
      <c r="CB17" s="185">
        <v>431</v>
      </c>
      <c r="CC17" s="186">
        <v>35891</v>
      </c>
      <c r="CD17" s="186">
        <v>2126</v>
      </c>
      <c r="CE17" s="186">
        <v>43159</v>
      </c>
      <c r="CF17" s="185"/>
      <c r="CG17" s="185">
        <v>105</v>
      </c>
      <c r="CH17" s="185" t="s">
        <v>163</v>
      </c>
      <c r="CI17" s="185"/>
      <c r="CJ17" s="185" t="s">
        <v>163</v>
      </c>
      <c r="CK17" s="185" t="s">
        <v>163</v>
      </c>
      <c r="CL17" s="185"/>
      <c r="CM17" s="193">
        <v>1961</v>
      </c>
      <c r="CN17" s="194">
        <v>1157</v>
      </c>
      <c r="CO17" s="193">
        <v>11</v>
      </c>
      <c r="CP17" s="194">
        <v>2290</v>
      </c>
      <c r="CQ17" s="193">
        <v>307</v>
      </c>
      <c r="CR17" s="193"/>
      <c r="CS17" s="193">
        <v>91</v>
      </c>
      <c r="CT17" s="194">
        <v>17895</v>
      </c>
      <c r="CU17" s="194">
        <v>4287</v>
      </c>
      <c r="CV17" s="193"/>
      <c r="CW17" s="194">
        <v>24870</v>
      </c>
      <c r="CX17" s="193"/>
      <c r="CY17" s="193">
        <v>126</v>
      </c>
      <c r="CZ17" s="193" t="s">
        <v>163</v>
      </c>
      <c r="DA17" s="193" t="s">
        <v>163</v>
      </c>
      <c r="DB17" s="193" t="s">
        <v>163</v>
      </c>
      <c r="DC17" s="193" t="s">
        <v>390</v>
      </c>
      <c r="DD17" s="193"/>
      <c r="DE17" s="194">
        <v>5314</v>
      </c>
      <c r="DF17" s="193" t="s">
        <v>163</v>
      </c>
      <c r="DG17" s="193"/>
      <c r="DH17" s="193" t="s">
        <v>163</v>
      </c>
      <c r="DI17" s="193"/>
      <c r="DJ17" s="193" t="s">
        <v>163</v>
      </c>
      <c r="DK17" s="193"/>
      <c r="DL17" s="202">
        <v>1961</v>
      </c>
      <c r="DM17" s="203">
        <v>2836</v>
      </c>
      <c r="DN17" s="202">
        <v>9</v>
      </c>
      <c r="DO17" s="202">
        <v>282</v>
      </c>
      <c r="DP17" s="202">
        <v>0</v>
      </c>
      <c r="DQ17" s="203">
        <v>10175</v>
      </c>
      <c r="DR17" s="203">
        <v>10458</v>
      </c>
      <c r="DS17" s="202">
        <v>854</v>
      </c>
      <c r="DT17" s="202">
        <v>687</v>
      </c>
      <c r="DU17" s="202" t="s">
        <v>163</v>
      </c>
      <c r="DV17" s="202">
        <v>0</v>
      </c>
      <c r="DW17" s="202" t="s">
        <v>390</v>
      </c>
      <c r="DX17" s="202" t="s">
        <v>390</v>
      </c>
      <c r="DY17" s="202">
        <v>0</v>
      </c>
      <c r="DZ17" s="202" t="s">
        <v>163</v>
      </c>
      <c r="EA17" s="138"/>
    </row>
    <row r="18" spans="4:131" ht="17.25" customHeight="1">
      <c r="D18" s="56">
        <f t="shared" si="0"/>
        <v>0.6067415730337079</v>
      </c>
      <c r="G18" s="159">
        <f t="shared" si="1"/>
        <v>89</v>
      </c>
      <c r="H18" s="167">
        <v>1962</v>
      </c>
      <c r="I18" s="168">
        <v>1664</v>
      </c>
      <c r="J18" s="167">
        <v>80</v>
      </c>
      <c r="K18" s="168">
        <v>53393</v>
      </c>
      <c r="L18" s="168">
        <v>1267</v>
      </c>
      <c r="M18" s="168">
        <v>2066</v>
      </c>
      <c r="N18" s="167"/>
      <c r="O18" s="168">
        <v>37048</v>
      </c>
      <c r="P18" s="168">
        <v>31118</v>
      </c>
      <c r="Q18" s="168">
        <v>10428</v>
      </c>
      <c r="R18" s="167"/>
      <c r="S18" s="168">
        <v>135320</v>
      </c>
      <c r="T18" s="167"/>
      <c r="U18" s="167">
        <v>118</v>
      </c>
      <c r="V18" s="167" t="s">
        <v>163</v>
      </c>
      <c r="W18" s="167" t="s">
        <v>163</v>
      </c>
      <c r="X18" s="167" t="s">
        <v>163</v>
      </c>
      <c r="Y18" s="167" t="s">
        <v>163</v>
      </c>
      <c r="Z18" s="167"/>
      <c r="AA18" s="168">
        <v>13870</v>
      </c>
      <c r="AB18" s="167" t="s">
        <v>163</v>
      </c>
      <c r="AC18" s="167"/>
      <c r="AD18" s="167" t="s">
        <v>163</v>
      </c>
      <c r="AE18" s="167"/>
      <c r="AF18" s="167" t="s">
        <v>163</v>
      </c>
      <c r="AG18" s="167"/>
      <c r="AH18" s="175">
        <v>1962</v>
      </c>
      <c r="AI18" s="175">
        <v>368</v>
      </c>
      <c r="AJ18" s="175">
        <v>54</v>
      </c>
      <c r="AK18" s="176">
        <v>36192</v>
      </c>
      <c r="AL18" s="175">
        <v>676</v>
      </c>
      <c r="AM18" s="176">
        <v>4587</v>
      </c>
      <c r="AN18" s="176">
        <v>41455</v>
      </c>
      <c r="AO18" s="175" t="s">
        <v>163</v>
      </c>
      <c r="AP18" s="175" t="s">
        <v>163</v>
      </c>
      <c r="AQ18" s="175" t="s">
        <v>163</v>
      </c>
      <c r="AR18" s="176">
        <v>4718</v>
      </c>
      <c r="AS18" s="175" t="s">
        <v>163</v>
      </c>
      <c r="AT18" s="175" t="s">
        <v>163</v>
      </c>
      <c r="AU18" s="175"/>
      <c r="AV18" s="175" t="s">
        <v>163</v>
      </c>
      <c r="AW18" s="175"/>
      <c r="AX18" s="175">
        <v>1962</v>
      </c>
      <c r="AY18" s="175">
        <v>256</v>
      </c>
      <c r="AZ18" s="175">
        <v>14</v>
      </c>
      <c r="BA18" s="176">
        <v>12623</v>
      </c>
      <c r="BB18" s="175">
        <v>271</v>
      </c>
      <c r="BC18" s="175">
        <v>381</v>
      </c>
      <c r="BD18" s="175">
        <v>147</v>
      </c>
      <c r="BE18" s="176">
        <v>10483</v>
      </c>
      <c r="BF18" s="176">
        <v>23905</v>
      </c>
      <c r="BG18" s="175" t="s">
        <v>390</v>
      </c>
      <c r="BH18" s="175" t="s">
        <v>163</v>
      </c>
      <c r="BI18" s="175" t="s">
        <v>163</v>
      </c>
      <c r="BJ18" s="175" t="s">
        <v>390</v>
      </c>
      <c r="BK18" s="175"/>
      <c r="BL18" s="176">
        <v>3464</v>
      </c>
      <c r="BM18" s="175" t="s">
        <v>163</v>
      </c>
      <c r="BN18" s="175"/>
      <c r="BO18" s="175" t="s">
        <v>163</v>
      </c>
      <c r="BP18" s="175"/>
      <c r="BQ18" s="175" t="s">
        <v>163</v>
      </c>
      <c r="BR18" s="175"/>
      <c r="BS18" s="185">
        <v>1962</v>
      </c>
      <c r="BT18" s="185">
        <v>4</v>
      </c>
      <c r="BU18" s="185">
        <v>0</v>
      </c>
      <c r="BV18" s="186">
        <v>1489</v>
      </c>
      <c r="BW18" s="186">
        <v>2150</v>
      </c>
      <c r="BX18" s="185">
        <v>5</v>
      </c>
      <c r="BY18" s="185"/>
      <c r="BZ18" s="186">
        <v>2066</v>
      </c>
      <c r="CA18" s="185"/>
      <c r="CB18" s="185">
        <v>423</v>
      </c>
      <c r="CC18" s="186">
        <v>36865</v>
      </c>
      <c r="CD18" s="186">
        <v>2043</v>
      </c>
      <c r="CE18" s="186">
        <v>45042</v>
      </c>
      <c r="CF18" s="185"/>
      <c r="CG18" s="185">
        <v>105</v>
      </c>
      <c r="CH18" s="185" t="s">
        <v>163</v>
      </c>
      <c r="CI18" s="185"/>
      <c r="CJ18" s="185" t="s">
        <v>163</v>
      </c>
      <c r="CK18" s="185" t="s">
        <v>163</v>
      </c>
      <c r="CL18" s="185"/>
      <c r="CM18" s="193">
        <v>1962</v>
      </c>
      <c r="CN18" s="194">
        <v>1036</v>
      </c>
      <c r="CO18" s="193">
        <v>12</v>
      </c>
      <c r="CP18" s="194">
        <v>2428</v>
      </c>
      <c r="CQ18" s="193">
        <v>316</v>
      </c>
      <c r="CR18" s="193"/>
      <c r="CS18" s="193">
        <v>36</v>
      </c>
      <c r="CT18" s="194">
        <v>18592</v>
      </c>
      <c r="CU18" s="194">
        <v>3548</v>
      </c>
      <c r="CV18" s="193"/>
      <c r="CW18" s="194">
        <v>24919</v>
      </c>
      <c r="CX18" s="193"/>
      <c r="CY18" s="193">
        <v>118</v>
      </c>
      <c r="CZ18" s="193" t="s">
        <v>163</v>
      </c>
      <c r="DA18" s="193" t="s">
        <v>163</v>
      </c>
      <c r="DB18" s="193" t="s">
        <v>163</v>
      </c>
      <c r="DC18" s="193" t="s">
        <v>390</v>
      </c>
      <c r="DD18" s="193"/>
      <c r="DE18" s="194">
        <v>5582</v>
      </c>
      <c r="DF18" s="193" t="s">
        <v>163</v>
      </c>
      <c r="DG18" s="193"/>
      <c r="DH18" s="193" t="s">
        <v>163</v>
      </c>
      <c r="DI18" s="193"/>
      <c r="DJ18" s="193" t="s">
        <v>163</v>
      </c>
      <c r="DK18" s="193"/>
      <c r="DL18" s="202">
        <v>1962</v>
      </c>
      <c r="DM18" s="203">
        <v>2981</v>
      </c>
      <c r="DN18" s="202">
        <v>9</v>
      </c>
      <c r="DO18" s="202">
        <v>282</v>
      </c>
      <c r="DP18" s="202">
        <v>0</v>
      </c>
      <c r="DQ18" s="203">
        <v>10155</v>
      </c>
      <c r="DR18" s="203">
        <v>10436</v>
      </c>
      <c r="DS18" s="202">
        <v>689</v>
      </c>
      <c r="DT18" s="202">
        <v>673</v>
      </c>
      <c r="DU18" s="202" t="s">
        <v>163</v>
      </c>
      <c r="DV18" s="202">
        <v>0</v>
      </c>
      <c r="DW18" s="202" t="s">
        <v>390</v>
      </c>
      <c r="DX18" s="202" t="s">
        <v>390</v>
      </c>
      <c r="DY18" s="202">
        <v>0</v>
      </c>
      <c r="DZ18" s="202" t="s">
        <v>163</v>
      </c>
      <c r="EA18" s="138"/>
    </row>
    <row r="19" spans="4:131" ht="17.25" customHeight="1">
      <c r="D19" s="56">
        <f t="shared" si="0"/>
        <v>0.59183673469387754</v>
      </c>
      <c r="G19" s="159">
        <f t="shared" si="1"/>
        <v>98</v>
      </c>
      <c r="H19" s="167">
        <v>1963</v>
      </c>
      <c r="I19" s="168">
        <v>1272</v>
      </c>
      <c r="J19" s="167">
        <v>87</v>
      </c>
      <c r="K19" s="168">
        <v>51272</v>
      </c>
      <c r="L19" s="168">
        <v>1335</v>
      </c>
      <c r="M19" s="168">
        <v>2407</v>
      </c>
      <c r="N19" s="167"/>
      <c r="O19" s="168">
        <v>37926</v>
      </c>
      <c r="P19" s="168">
        <v>27633</v>
      </c>
      <c r="Q19" s="168">
        <v>9840</v>
      </c>
      <c r="R19" s="167"/>
      <c r="S19" s="168">
        <v>130413</v>
      </c>
      <c r="T19" s="167"/>
      <c r="U19" s="167">
        <v>112</v>
      </c>
      <c r="V19" s="167" t="s">
        <v>163</v>
      </c>
      <c r="W19" s="167" t="s">
        <v>163</v>
      </c>
      <c r="X19" s="167" t="s">
        <v>163</v>
      </c>
      <c r="Y19" s="167" t="s">
        <v>163</v>
      </c>
      <c r="Z19" s="167"/>
      <c r="AA19" s="168">
        <v>14544</v>
      </c>
      <c r="AB19" s="167" t="s">
        <v>163</v>
      </c>
      <c r="AC19" s="167"/>
      <c r="AD19" s="167" t="s">
        <v>163</v>
      </c>
      <c r="AE19" s="167"/>
      <c r="AF19" s="167" t="s">
        <v>163</v>
      </c>
      <c r="AG19" s="167"/>
      <c r="AH19" s="175">
        <v>1963</v>
      </c>
      <c r="AI19" s="175">
        <v>271</v>
      </c>
      <c r="AJ19" s="175">
        <v>58</v>
      </c>
      <c r="AK19" s="176">
        <v>34276</v>
      </c>
      <c r="AL19" s="175">
        <v>696</v>
      </c>
      <c r="AM19" s="176">
        <v>4087</v>
      </c>
      <c r="AN19" s="176">
        <v>39059</v>
      </c>
      <c r="AO19" s="175" t="s">
        <v>163</v>
      </c>
      <c r="AP19" s="175" t="s">
        <v>163</v>
      </c>
      <c r="AQ19" s="175" t="s">
        <v>163</v>
      </c>
      <c r="AR19" s="176">
        <v>5030</v>
      </c>
      <c r="AS19" s="175" t="s">
        <v>163</v>
      </c>
      <c r="AT19" s="175" t="s">
        <v>163</v>
      </c>
      <c r="AU19" s="175"/>
      <c r="AV19" s="175" t="s">
        <v>163</v>
      </c>
      <c r="AW19" s="175"/>
      <c r="AX19" s="175">
        <v>1963</v>
      </c>
      <c r="AY19" s="175">
        <v>196</v>
      </c>
      <c r="AZ19" s="175">
        <v>15</v>
      </c>
      <c r="BA19" s="176">
        <v>11955</v>
      </c>
      <c r="BB19" s="175">
        <v>279</v>
      </c>
      <c r="BC19" s="175">
        <v>340</v>
      </c>
      <c r="BD19" s="175">
        <v>92</v>
      </c>
      <c r="BE19" s="176">
        <v>9352</v>
      </c>
      <c r="BF19" s="176">
        <v>22017</v>
      </c>
      <c r="BG19" s="175" t="s">
        <v>390</v>
      </c>
      <c r="BH19" s="175" t="s">
        <v>163</v>
      </c>
      <c r="BI19" s="175" t="s">
        <v>163</v>
      </c>
      <c r="BJ19" s="175" t="s">
        <v>390</v>
      </c>
      <c r="BK19" s="175"/>
      <c r="BL19" s="176">
        <v>3687</v>
      </c>
      <c r="BM19" s="175" t="s">
        <v>163</v>
      </c>
      <c r="BN19" s="175"/>
      <c r="BO19" s="175" t="s">
        <v>163</v>
      </c>
      <c r="BP19" s="175"/>
      <c r="BQ19" s="175" t="s">
        <v>163</v>
      </c>
      <c r="BR19" s="175"/>
      <c r="BS19" s="185">
        <v>1963</v>
      </c>
      <c r="BT19" s="185">
        <v>3</v>
      </c>
      <c r="BU19" s="185">
        <v>0</v>
      </c>
      <c r="BV19" s="186">
        <v>1670</v>
      </c>
      <c r="BW19" s="186">
        <v>2706</v>
      </c>
      <c r="BX19" s="185">
        <v>8</v>
      </c>
      <c r="BY19" s="185"/>
      <c r="BZ19" s="186">
        <v>2407</v>
      </c>
      <c r="CA19" s="185"/>
      <c r="CB19" s="185">
        <v>423</v>
      </c>
      <c r="CC19" s="186">
        <v>37769</v>
      </c>
      <c r="CD19" s="186">
        <v>1878</v>
      </c>
      <c r="CE19" s="186">
        <v>46860</v>
      </c>
      <c r="CF19" s="185"/>
      <c r="CG19" s="185">
        <v>105</v>
      </c>
      <c r="CH19" s="185" t="s">
        <v>163</v>
      </c>
      <c r="CI19" s="185"/>
      <c r="CJ19" s="185" t="s">
        <v>163</v>
      </c>
      <c r="CK19" s="185" t="s">
        <v>163</v>
      </c>
      <c r="CL19" s="185"/>
      <c r="CM19" s="193">
        <v>1963</v>
      </c>
      <c r="CN19" s="193">
        <v>801</v>
      </c>
      <c r="CO19" s="193">
        <v>14</v>
      </c>
      <c r="CP19" s="194">
        <v>2336</v>
      </c>
      <c r="CQ19" s="193">
        <v>352</v>
      </c>
      <c r="CR19" s="193"/>
      <c r="CS19" s="193">
        <v>65</v>
      </c>
      <c r="CT19" s="194">
        <v>16403</v>
      </c>
      <c r="CU19" s="194">
        <v>3320</v>
      </c>
      <c r="CV19" s="193"/>
      <c r="CW19" s="194">
        <v>22476</v>
      </c>
      <c r="CX19" s="193"/>
      <c r="CY19" s="193">
        <v>112</v>
      </c>
      <c r="CZ19" s="193" t="s">
        <v>163</v>
      </c>
      <c r="DA19" s="193" t="s">
        <v>163</v>
      </c>
      <c r="DB19" s="193" t="s">
        <v>163</v>
      </c>
      <c r="DC19" s="193" t="s">
        <v>390</v>
      </c>
      <c r="DD19" s="193"/>
      <c r="DE19" s="194">
        <v>5723</v>
      </c>
      <c r="DF19" s="193" t="s">
        <v>163</v>
      </c>
      <c r="DG19" s="193"/>
      <c r="DH19" s="193" t="s">
        <v>163</v>
      </c>
      <c r="DI19" s="193"/>
      <c r="DJ19" s="193" t="s">
        <v>163</v>
      </c>
      <c r="DK19" s="193"/>
      <c r="DL19" s="202">
        <v>1963</v>
      </c>
      <c r="DM19" s="203">
        <v>3198</v>
      </c>
      <c r="DN19" s="202">
        <v>11</v>
      </c>
      <c r="DO19" s="202">
        <v>269</v>
      </c>
      <c r="DP19" s="202">
        <v>0</v>
      </c>
      <c r="DQ19" s="203">
        <v>9694</v>
      </c>
      <c r="DR19" s="203">
        <v>9963</v>
      </c>
      <c r="DS19" s="202">
        <v>941</v>
      </c>
      <c r="DT19" s="202">
        <v>596</v>
      </c>
      <c r="DU19" s="202" t="s">
        <v>163</v>
      </c>
      <c r="DV19" s="202">
        <v>0</v>
      </c>
      <c r="DW19" s="202" t="s">
        <v>390</v>
      </c>
      <c r="DX19" s="202" t="s">
        <v>390</v>
      </c>
      <c r="DY19" s="202">
        <v>0</v>
      </c>
      <c r="DZ19" s="202" t="s">
        <v>163</v>
      </c>
      <c r="EA19" s="138"/>
    </row>
    <row r="20" spans="4:131" ht="17.25" customHeight="1">
      <c r="D20" s="56">
        <f t="shared" si="0"/>
        <v>0.57943925233644855</v>
      </c>
      <c r="G20" s="159">
        <f t="shared" si="1"/>
        <v>107</v>
      </c>
      <c r="H20" s="167">
        <v>1964</v>
      </c>
      <c r="I20" s="168">
        <v>1053</v>
      </c>
      <c r="J20" s="167">
        <v>94</v>
      </c>
      <c r="K20" s="168">
        <v>49804</v>
      </c>
      <c r="L20" s="168">
        <v>1382</v>
      </c>
      <c r="M20" s="168">
        <v>2415</v>
      </c>
      <c r="N20" s="167"/>
      <c r="O20" s="168">
        <v>38321</v>
      </c>
      <c r="P20" s="168">
        <v>32272</v>
      </c>
      <c r="Q20" s="168">
        <v>10130</v>
      </c>
      <c r="R20" s="167"/>
      <c r="S20" s="168">
        <v>134325</v>
      </c>
      <c r="T20" s="167"/>
      <c r="U20" s="167">
        <v>104</v>
      </c>
      <c r="V20" s="167" t="s">
        <v>163</v>
      </c>
      <c r="W20" s="167" t="s">
        <v>163</v>
      </c>
      <c r="X20" s="167" t="s">
        <v>163</v>
      </c>
      <c r="Y20" s="167" t="s">
        <v>163</v>
      </c>
      <c r="Z20" s="167"/>
      <c r="AA20" s="168">
        <v>15456</v>
      </c>
      <c r="AB20" s="167" t="s">
        <v>163</v>
      </c>
      <c r="AC20" s="167"/>
      <c r="AD20" s="167" t="s">
        <v>163</v>
      </c>
      <c r="AE20" s="167"/>
      <c r="AF20" s="167" t="s">
        <v>163</v>
      </c>
      <c r="AG20" s="167"/>
      <c r="AH20" s="175">
        <v>1964</v>
      </c>
      <c r="AI20" s="175">
        <v>256</v>
      </c>
      <c r="AJ20" s="175">
        <v>62</v>
      </c>
      <c r="AK20" s="176">
        <v>33151</v>
      </c>
      <c r="AL20" s="175">
        <v>696</v>
      </c>
      <c r="AM20" s="176">
        <v>3270</v>
      </c>
      <c r="AN20" s="176">
        <v>37118</v>
      </c>
      <c r="AO20" s="175" t="s">
        <v>163</v>
      </c>
      <c r="AP20" s="175" t="s">
        <v>163</v>
      </c>
      <c r="AQ20" s="175" t="s">
        <v>163</v>
      </c>
      <c r="AR20" s="176">
        <v>5361</v>
      </c>
      <c r="AS20" s="175" t="s">
        <v>163</v>
      </c>
      <c r="AT20" s="175" t="s">
        <v>163</v>
      </c>
      <c r="AU20" s="175"/>
      <c r="AV20" s="175" t="s">
        <v>163</v>
      </c>
      <c r="AW20" s="175"/>
      <c r="AX20" s="175">
        <v>1964</v>
      </c>
      <c r="AY20" s="175">
        <v>186</v>
      </c>
      <c r="AZ20" s="175">
        <v>15</v>
      </c>
      <c r="BA20" s="176">
        <v>11562</v>
      </c>
      <c r="BB20" s="175">
        <v>279</v>
      </c>
      <c r="BC20" s="175">
        <v>272</v>
      </c>
      <c r="BD20" s="175">
        <v>91</v>
      </c>
      <c r="BE20" s="176">
        <v>11077</v>
      </c>
      <c r="BF20" s="176">
        <v>23281</v>
      </c>
      <c r="BG20" s="175" t="s">
        <v>390</v>
      </c>
      <c r="BH20" s="175" t="s">
        <v>163</v>
      </c>
      <c r="BI20" s="175" t="s">
        <v>163</v>
      </c>
      <c r="BJ20" s="175" t="s">
        <v>390</v>
      </c>
      <c r="BK20" s="175"/>
      <c r="BL20" s="176">
        <v>3964</v>
      </c>
      <c r="BM20" s="175" t="s">
        <v>163</v>
      </c>
      <c r="BN20" s="175"/>
      <c r="BO20" s="175" t="s">
        <v>163</v>
      </c>
      <c r="BP20" s="175"/>
      <c r="BQ20" s="175" t="s">
        <v>163</v>
      </c>
      <c r="BR20" s="175"/>
      <c r="BS20" s="185">
        <v>1964</v>
      </c>
      <c r="BT20" s="185">
        <v>2</v>
      </c>
      <c r="BU20" s="185">
        <v>0</v>
      </c>
      <c r="BV20" s="186">
        <v>1860</v>
      </c>
      <c r="BW20" s="186">
        <v>2730</v>
      </c>
      <c r="BX20" s="185">
        <v>9</v>
      </c>
      <c r="BY20" s="185"/>
      <c r="BZ20" s="186">
        <v>2415</v>
      </c>
      <c r="CA20" s="185"/>
      <c r="CB20" s="185">
        <v>444</v>
      </c>
      <c r="CC20" s="186">
        <v>38163</v>
      </c>
      <c r="CD20" s="186">
        <v>1818</v>
      </c>
      <c r="CE20" s="186">
        <v>47438</v>
      </c>
      <c r="CF20" s="185"/>
      <c r="CG20" s="185">
        <v>105</v>
      </c>
      <c r="CH20" s="185" t="s">
        <v>163</v>
      </c>
      <c r="CI20" s="185"/>
      <c r="CJ20" s="185" t="s">
        <v>163</v>
      </c>
      <c r="CK20" s="185" t="s">
        <v>163</v>
      </c>
      <c r="CL20" s="185"/>
      <c r="CM20" s="193">
        <v>1964</v>
      </c>
      <c r="CN20" s="193">
        <v>609</v>
      </c>
      <c r="CO20" s="193">
        <v>17</v>
      </c>
      <c r="CP20" s="194">
        <v>2361</v>
      </c>
      <c r="CQ20" s="193">
        <v>398</v>
      </c>
      <c r="CR20" s="193"/>
      <c r="CS20" s="193">
        <v>67</v>
      </c>
      <c r="CT20" s="194">
        <v>19377</v>
      </c>
      <c r="CU20" s="194">
        <v>4284</v>
      </c>
      <c r="CV20" s="193"/>
      <c r="CW20" s="194">
        <v>26488</v>
      </c>
      <c r="CX20" s="193"/>
      <c r="CY20" s="193">
        <v>104</v>
      </c>
      <c r="CZ20" s="193" t="s">
        <v>163</v>
      </c>
      <c r="DA20" s="193" t="s">
        <v>163</v>
      </c>
      <c r="DB20" s="193" t="s">
        <v>163</v>
      </c>
      <c r="DC20" s="193" t="s">
        <v>390</v>
      </c>
      <c r="DD20" s="193"/>
      <c r="DE20" s="194">
        <v>6026</v>
      </c>
      <c r="DF20" s="193" t="s">
        <v>163</v>
      </c>
      <c r="DG20" s="193"/>
      <c r="DH20" s="193" t="s">
        <v>163</v>
      </c>
      <c r="DI20" s="193"/>
      <c r="DJ20" s="193" t="s">
        <v>163</v>
      </c>
      <c r="DK20" s="193"/>
      <c r="DL20" s="202">
        <v>1964</v>
      </c>
      <c r="DM20" s="203">
        <v>3673</v>
      </c>
      <c r="DN20" s="202">
        <v>13</v>
      </c>
      <c r="DO20" s="202">
        <v>287</v>
      </c>
      <c r="DP20" s="202">
        <v>0</v>
      </c>
      <c r="DQ20" s="203">
        <v>10352</v>
      </c>
      <c r="DR20" s="203">
        <v>10639</v>
      </c>
      <c r="DS20" s="203">
        <v>1189</v>
      </c>
      <c r="DT20" s="202">
        <v>566</v>
      </c>
      <c r="DU20" s="202" t="s">
        <v>163</v>
      </c>
      <c r="DV20" s="202">
        <v>0</v>
      </c>
      <c r="DW20" s="202" t="s">
        <v>390</v>
      </c>
      <c r="DX20" s="202" t="s">
        <v>390</v>
      </c>
      <c r="DY20" s="202">
        <v>0</v>
      </c>
      <c r="DZ20" s="202" t="s">
        <v>163</v>
      </c>
      <c r="EA20" s="138"/>
    </row>
    <row r="21" spans="4:131" ht="17.25" customHeight="1">
      <c r="D21" s="56">
        <f t="shared" si="0"/>
        <v>0.57017543859649122</v>
      </c>
      <c r="G21" s="159">
        <f t="shared" si="1"/>
        <v>114</v>
      </c>
      <c r="H21" s="167">
        <v>1965</v>
      </c>
      <c r="I21" s="167">
        <v>866</v>
      </c>
      <c r="J21" s="167">
        <v>101</v>
      </c>
      <c r="K21" s="168">
        <v>55487</v>
      </c>
      <c r="L21" s="168">
        <v>1511</v>
      </c>
      <c r="M21" s="168">
        <v>3166</v>
      </c>
      <c r="N21" s="167"/>
      <c r="O21" s="168">
        <v>39752</v>
      </c>
      <c r="P21" s="168">
        <v>42050</v>
      </c>
      <c r="Q21" s="168">
        <v>9904</v>
      </c>
      <c r="R21" s="167"/>
      <c r="S21" s="168">
        <v>151872</v>
      </c>
      <c r="T21" s="167"/>
      <c r="U21" s="167">
        <v>100</v>
      </c>
      <c r="V21" s="167" t="s">
        <v>163</v>
      </c>
      <c r="W21" s="167" t="s">
        <v>163</v>
      </c>
      <c r="X21" s="167" t="s">
        <v>163</v>
      </c>
      <c r="Y21" s="167" t="s">
        <v>163</v>
      </c>
      <c r="Z21" s="167"/>
      <c r="AA21" s="168">
        <v>16719</v>
      </c>
      <c r="AB21" s="167" t="s">
        <v>163</v>
      </c>
      <c r="AC21" s="167"/>
      <c r="AD21" s="167" t="s">
        <v>163</v>
      </c>
      <c r="AE21" s="167"/>
      <c r="AF21" s="167" t="s">
        <v>163</v>
      </c>
      <c r="AG21" s="167"/>
      <c r="AH21" s="175">
        <v>1965</v>
      </c>
      <c r="AI21" s="175">
        <v>210</v>
      </c>
      <c r="AJ21" s="175">
        <v>65</v>
      </c>
      <c r="AK21" s="176">
        <v>37082</v>
      </c>
      <c r="AL21" s="175">
        <v>777</v>
      </c>
      <c r="AM21" s="176">
        <v>2682</v>
      </c>
      <c r="AN21" s="176">
        <v>40541</v>
      </c>
      <c r="AO21" s="175" t="s">
        <v>163</v>
      </c>
      <c r="AP21" s="175" t="s">
        <v>163</v>
      </c>
      <c r="AQ21" s="175" t="s">
        <v>163</v>
      </c>
      <c r="AR21" s="176">
        <v>5766</v>
      </c>
      <c r="AS21" s="175" t="s">
        <v>163</v>
      </c>
      <c r="AT21" s="175" t="s">
        <v>163</v>
      </c>
      <c r="AU21" s="175"/>
      <c r="AV21" s="175" t="s">
        <v>163</v>
      </c>
      <c r="AW21" s="175"/>
      <c r="AX21" s="175">
        <v>1965</v>
      </c>
      <c r="AY21" s="175">
        <v>159</v>
      </c>
      <c r="AZ21" s="175">
        <v>16</v>
      </c>
      <c r="BA21" s="176">
        <v>12933</v>
      </c>
      <c r="BB21" s="175">
        <v>311</v>
      </c>
      <c r="BC21" s="175">
        <v>223</v>
      </c>
      <c r="BD21" s="175">
        <v>92</v>
      </c>
      <c r="BE21" s="176">
        <v>14503</v>
      </c>
      <c r="BF21" s="176">
        <v>28062</v>
      </c>
      <c r="BG21" s="175" t="s">
        <v>390</v>
      </c>
      <c r="BH21" s="175" t="s">
        <v>163</v>
      </c>
      <c r="BI21" s="175" t="s">
        <v>163</v>
      </c>
      <c r="BJ21" s="175" t="s">
        <v>390</v>
      </c>
      <c r="BK21" s="175"/>
      <c r="BL21" s="176">
        <v>4302</v>
      </c>
      <c r="BM21" s="175" t="s">
        <v>163</v>
      </c>
      <c r="BN21" s="175"/>
      <c r="BO21" s="175" t="s">
        <v>163</v>
      </c>
      <c r="BP21" s="175"/>
      <c r="BQ21" s="175" t="s">
        <v>163</v>
      </c>
      <c r="BR21" s="175"/>
      <c r="BS21" s="185">
        <v>1965</v>
      </c>
      <c r="BT21" s="185">
        <v>2</v>
      </c>
      <c r="BU21" s="185">
        <v>0</v>
      </c>
      <c r="BV21" s="186">
        <v>1702</v>
      </c>
      <c r="BW21" s="186">
        <v>2632</v>
      </c>
      <c r="BX21" s="185">
        <v>22</v>
      </c>
      <c r="BY21" s="185"/>
      <c r="BZ21" s="186">
        <v>3166</v>
      </c>
      <c r="CA21" s="185"/>
      <c r="CB21" s="185">
        <v>408</v>
      </c>
      <c r="CC21" s="186">
        <v>39454</v>
      </c>
      <c r="CD21" s="186">
        <v>2472</v>
      </c>
      <c r="CE21" s="186">
        <v>49856</v>
      </c>
      <c r="CF21" s="185"/>
      <c r="CG21" s="185">
        <v>105</v>
      </c>
      <c r="CH21" s="185" t="s">
        <v>163</v>
      </c>
      <c r="CI21" s="185"/>
      <c r="CJ21" s="185" t="s">
        <v>163</v>
      </c>
      <c r="CK21" s="185" t="s">
        <v>163</v>
      </c>
      <c r="CL21" s="185"/>
      <c r="CM21" s="193">
        <v>1965</v>
      </c>
      <c r="CN21" s="193">
        <v>496</v>
      </c>
      <c r="CO21" s="193">
        <v>20</v>
      </c>
      <c r="CP21" s="194">
        <v>2841</v>
      </c>
      <c r="CQ21" s="193">
        <v>401</v>
      </c>
      <c r="CR21" s="193"/>
      <c r="CS21" s="193">
        <v>206</v>
      </c>
      <c r="CT21" s="194">
        <v>25076</v>
      </c>
      <c r="CU21" s="194">
        <v>4889</v>
      </c>
      <c r="CV21" s="193"/>
      <c r="CW21" s="194">
        <v>33412</v>
      </c>
      <c r="CX21" s="193"/>
      <c r="CY21" s="193">
        <v>100</v>
      </c>
      <c r="CZ21" s="193" t="s">
        <v>163</v>
      </c>
      <c r="DA21" s="193" t="s">
        <v>163</v>
      </c>
      <c r="DB21" s="193" t="s">
        <v>163</v>
      </c>
      <c r="DC21" s="193" t="s">
        <v>390</v>
      </c>
      <c r="DD21" s="193"/>
      <c r="DE21" s="194">
        <v>6546</v>
      </c>
      <c r="DF21" s="193" t="s">
        <v>163</v>
      </c>
      <c r="DG21" s="193"/>
      <c r="DH21" s="193" t="s">
        <v>163</v>
      </c>
      <c r="DI21" s="193"/>
      <c r="DJ21" s="193" t="s">
        <v>163</v>
      </c>
      <c r="DK21" s="193"/>
      <c r="DL21" s="202">
        <v>1965</v>
      </c>
      <c r="DM21" s="203">
        <v>4066</v>
      </c>
      <c r="DN21" s="202">
        <v>13</v>
      </c>
      <c r="DO21" s="202">
        <v>337</v>
      </c>
      <c r="DP21" s="202">
        <v>0</v>
      </c>
      <c r="DQ21" s="203">
        <v>12157</v>
      </c>
      <c r="DR21" s="203">
        <v>12494</v>
      </c>
      <c r="DS21" s="202">
        <v>966</v>
      </c>
      <c r="DT21" s="202">
        <v>564</v>
      </c>
      <c r="DU21" s="202" t="s">
        <v>163</v>
      </c>
      <c r="DV21" s="202">
        <v>0</v>
      </c>
      <c r="DW21" s="202" t="s">
        <v>390</v>
      </c>
      <c r="DX21" s="202" t="s">
        <v>390</v>
      </c>
      <c r="DY21" s="202">
        <v>0</v>
      </c>
      <c r="DZ21" s="202" t="s">
        <v>163</v>
      </c>
      <c r="EA21" s="138"/>
    </row>
    <row r="22" spans="4:131" ht="17.25" customHeight="1">
      <c r="D22" s="56">
        <f t="shared" si="0"/>
        <v>0.56896551724137934</v>
      </c>
      <c r="G22" s="159">
        <f t="shared" si="1"/>
        <v>116</v>
      </c>
      <c r="H22" s="167">
        <v>1966</v>
      </c>
      <c r="I22" s="167">
        <v>656</v>
      </c>
      <c r="J22" s="167">
        <v>106</v>
      </c>
      <c r="K22" s="168">
        <v>49981</v>
      </c>
      <c r="L22" s="168">
        <v>1410</v>
      </c>
      <c r="M22" s="168">
        <v>3730</v>
      </c>
      <c r="N22" s="167"/>
      <c r="O22" s="168">
        <v>41241</v>
      </c>
      <c r="P22" s="168">
        <v>44722</v>
      </c>
      <c r="Q22" s="168">
        <v>8188</v>
      </c>
      <c r="R22" s="167"/>
      <c r="S22" s="168">
        <v>149273</v>
      </c>
      <c r="T22" s="167"/>
      <c r="U22" s="167">
        <v>100</v>
      </c>
      <c r="V22" s="167" t="s">
        <v>163</v>
      </c>
      <c r="W22" s="167" t="s">
        <v>163</v>
      </c>
      <c r="X22" s="167" t="s">
        <v>163</v>
      </c>
      <c r="Y22" s="167" t="s">
        <v>163</v>
      </c>
      <c r="Z22" s="167"/>
      <c r="AA22" s="168">
        <v>18073</v>
      </c>
      <c r="AB22" s="167" t="s">
        <v>163</v>
      </c>
      <c r="AC22" s="167"/>
      <c r="AD22" s="167" t="s">
        <v>163</v>
      </c>
      <c r="AE22" s="167"/>
      <c r="AF22" s="167" t="s">
        <v>163</v>
      </c>
      <c r="AG22" s="167"/>
      <c r="AH22" s="175">
        <v>1966</v>
      </c>
      <c r="AI22" s="175">
        <v>190</v>
      </c>
      <c r="AJ22" s="175">
        <v>66</v>
      </c>
      <c r="AK22" s="176">
        <v>33128</v>
      </c>
      <c r="AL22" s="175">
        <v>681</v>
      </c>
      <c r="AM22" s="176">
        <v>1905</v>
      </c>
      <c r="AN22" s="176">
        <v>35713</v>
      </c>
      <c r="AO22" s="175" t="s">
        <v>163</v>
      </c>
      <c r="AP22" s="175" t="s">
        <v>163</v>
      </c>
      <c r="AQ22" s="175" t="s">
        <v>163</v>
      </c>
      <c r="AR22" s="176">
        <v>6222</v>
      </c>
      <c r="AS22" s="175" t="s">
        <v>163</v>
      </c>
      <c r="AT22" s="175" t="s">
        <v>163</v>
      </c>
      <c r="AU22" s="175"/>
      <c r="AV22" s="175" t="s">
        <v>163</v>
      </c>
      <c r="AW22" s="175"/>
      <c r="AX22" s="175">
        <v>1966</v>
      </c>
      <c r="AY22" s="175">
        <v>143</v>
      </c>
      <c r="AZ22" s="175">
        <v>19</v>
      </c>
      <c r="BA22" s="176">
        <v>11554</v>
      </c>
      <c r="BB22" s="175">
        <v>273</v>
      </c>
      <c r="BC22" s="175">
        <v>158</v>
      </c>
      <c r="BD22" s="175">
        <v>96</v>
      </c>
      <c r="BE22" s="176">
        <v>15841</v>
      </c>
      <c r="BF22" s="176">
        <v>27922</v>
      </c>
      <c r="BG22" s="175" t="s">
        <v>390</v>
      </c>
      <c r="BH22" s="175" t="s">
        <v>163</v>
      </c>
      <c r="BI22" s="175" t="s">
        <v>163</v>
      </c>
      <c r="BJ22" s="175" t="s">
        <v>390</v>
      </c>
      <c r="BK22" s="175"/>
      <c r="BL22" s="176">
        <v>4690</v>
      </c>
      <c r="BM22" s="175" t="s">
        <v>163</v>
      </c>
      <c r="BN22" s="175"/>
      <c r="BO22" s="175" t="s">
        <v>163</v>
      </c>
      <c r="BP22" s="175"/>
      <c r="BQ22" s="175" t="s">
        <v>163</v>
      </c>
      <c r="BR22" s="175"/>
      <c r="BS22" s="185">
        <v>1966</v>
      </c>
      <c r="BT22" s="185">
        <v>1</v>
      </c>
      <c r="BU22" s="185">
        <v>0</v>
      </c>
      <c r="BV22" s="186">
        <v>1239</v>
      </c>
      <c r="BW22" s="186">
        <v>2652</v>
      </c>
      <c r="BX22" s="185">
        <v>13</v>
      </c>
      <c r="BY22" s="185"/>
      <c r="BZ22" s="186">
        <v>3730</v>
      </c>
      <c r="CA22" s="185"/>
      <c r="CB22" s="185">
        <v>424</v>
      </c>
      <c r="CC22" s="186">
        <v>40978</v>
      </c>
      <c r="CD22" s="186">
        <v>1421</v>
      </c>
      <c r="CE22" s="186">
        <v>50457</v>
      </c>
      <c r="CF22" s="185"/>
      <c r="CG22" s="185">
        <v>105</v>
      </c>
      <c r="CH22" s="185" t="s">
        <v>163</v>
      </c>
      <c r="CI22" s="185"/>
      <c r="CJ22" s="185" t="s">
        <v>163</v>
      </c>
      <c r="CK22" s="185" t="s">
        <v>163</v>
      </c>
      <c r="CL22" s="185"/>
      <c r="CM22" s="193">
        <v>1966</v>
      </c>
      <c r="CN22" s="193">
        <v>322</v>
      </c>
      <c r="CO22" s="193">
        <v>21</v>
      </c>
      <c r="CP22" s="194">
        <v>2648</v>
      </c>
      <c r="CQ22" s="193">
        <v>444</v>
      </c>
      <c r="CR22" s="193"/>
      <c r="CS22" s="193">
        <v>167</v>
      </c>
      <c r="CT22" s="194">
        <v>27459</v>
      </c>
      <c r="CU22" s="194">
        <v>4462</v>
      </c>
      <c r="CV22" s="193"/>
      <c r="CW22" s="194">
        <v>35180</v>
      </c>
      <c r="CX22" s="193"/>
      <c r="CY22" s="193">
        <v>100</v>
      </c>
      <c r="CZ22" s="193" t="s">
        <v>163</v>
      </c>
      <c r="DA22" s="193" t="s">
        <v>163</v>
      </c>
      <c r="DB22" s="193" t="s">
        <v>163</v>
      </c>
      <c r="DC22" s="193" t="s">
        <v>390</v>
      </c>
      <c r="DD22" s="193"/>
      <c r="DE22" s="194">
        <v>7057</v>
      </c>
      <c r="DF22" s="193" t="s">
        <v>163</v>
      </c>
      <c r="DG22" s="193"/>
      <c r="DH22" s="193" t="s">
        <v>163</v>
      </c>
      <c r="DI22" s="193"/>
      <c r="DJ22" s="193" t="s">
        <v>163</v>
      </c>
      <c r="DK22" s="193"/>
      <c r="DL22" s="202">
        <v>1966</v>
      </c>
      <c r="DM22" s="203">
        <v>3740</v>
      </c>
      <c r="DN22" s="202">
        <v>10</v>
      </c>
      <c r="DO22" s="202">
        <v>455</v>
      </c>
      <c r="DP22" s="202">
        <v>0</v>
      </c>
      <c r="DQ22" s="203">
        <v>16391</v>
      </c>
      <c r="DR22" s="203">
        <v>16846</v>
      </c>
      <c r="DS22" s="203">
        <v>1082</v>
      </c>
      <c r="DT22" s="202">
        <v>704</v>
      </c>
      <c r="DU22" s="202" t="s">
        <v>163</v>
      </c>
      <c r="DV22" s="202">
        <v>0</v>
      </c>
      <c r="DW22" s="202" t="s">
        <v>390</v>
      </c>
      <c r="DX22" s="202" t="s">
        <v>390</v>
      </c>
      <c r="DY22" s="202">
        <v>0</v>
      </c>
      <c r="DZ22" s="202" t="s">
        <v>163</v>
      </c>
      <c r="EA22" s="138"/>
    </row>
    <row r="23" spans="4:131" ht="17.25" customHeight="1">
      <c r="D23" s="56">
        <f t="shared" si="0"/>
        <v>0.5703125</v>
      </c>
      <c r="G23" s="159">
        <f t="shared" si="1"/>
        <v>128</v>
      </c>
      <c r="H23" s="167">
        <v>1967</v>
      </c>
      <c r="I23" s="167">
        <v>826</v>
      </c>
      <c r="J23" s="167">
        <v>119</v>
      </c>
      <c r="K23" s="168">
        <v>53764</v>
      </c>
      <c r="L23" s="168">
        <v>1374</v>
      </c>
      <c r="M23" s="168">
        <v>5421</v>
      </c>
      <c r="N23" s="167"/>
      <c r="O23" s="168">
        <v>42316</v>
      </c>
      <c r="P23" s="168">
        <v>46831</v>
      </c>
      <c r="Q23" s="168">
        <v>7073</v>
      </c>
      <c r="R23" s="167"/>
      <c r="S23" s="168">
        <v>156779</v>
      </c>
      <c r="T23" s="167"/>
      <c r="U23" s="167">
        <v>105</v>
      </c>
      <c r="V23" s="167" t="s">
        <v>163</v>
      </c>
      <c r="W23" s="167" t="s">
        <v>163</v>
      </c>
      <c r="X23" s="167" t="s">
        <v>163</v>
      </c>
      <c r="Y23" s="167" t="s">
        <v>163</v>
      </c>
      <c r="Z23" s="167"/>
      <c r="AA23" s="168">
        <v>19561</v>
      </c>
      <c r="AB23" s="167" t="s">
        <v>163</v>
      </c>
      <c r="AC23" s="167"/>
      <c r="AD23" s="167" t="s">
        <v>163</v>
      </c>
      <c r="AE23" s="167"/>
      <c r="AF23" s="167" t="s">
        <v>163</v>
      </c>
      <c r="AG23" s="167"/>
      <c r="AH23" s="175">
        <v>1967</v>
      </c>
      <c r="AI23" s="175">
        <v>173</v>
      </c>
      <c r="AJ23" s="175">
        <v>73</v>
      </c>
      <c r="AK23" s="176">
        <v>35775</v>
      </c>
      <c r="AL23" s="175">
        <v>683</v>
      </c>
      <c r="AM23" s="176">
        <v>1635</v>
      </c>
      <c r="AN23" s="176">
        <v>38093</v>
      </c>
      <c r="AO23" s="175" t="s">
        <v>163</v>
      </c>
      <c r="AP23" s="175" t="s">
        <v>163</v>
      </c>
      <c r="AQ23" s="175" t="s">
        <v>163</v>
      </c>
      <c r="AR23" s="176">
        <v>6929</v>
      </c>
      <c r="AS23" s="175" t="s">
        <v>163</v>
      </c>
      <c r="AT23" s="175" t="s">
        <v>163</v>
      </c>
      <c r="AU23" s="175"/>
      <c r="AV23" s="175" t="s">
        <v>163</v>
      </c>
      <c r="AW23" s="175"/>
      <c r="AX23" s="175">
        <v>1967</v>
      </c>
      <c r="AY23" s="175">
        <v>131</v>
      </c>
      <c r="AZ23" s="175">
        <v>25</v>
      </c>
      <c r="BA23" s="176">
        <v>12477</v>
      </c>
      <c r="BB23" s="175">
        <v>273</v>
      </c>
      <c r="BC23" s="175">
        <v>136</v>
      </c>
      <c r="BD23" s="175">
        <v>96</v>
      </c>
      <c r="BE23" s="176">
        <v>16149</v>
      </c>
      <c r="BF23" s="176">
        <v>29131</v>
      </c>
      <c r="BG23" s="175" t="s">
        <v>390</v>
      </c>
      <c r="BH23" s="175" t="s">
        <v>163</v>
      </c>
      <c r="BI23" s="175" t="s">
        <v>163</v>
      </c>
      <c r="BJ23" s="175" t="s">
        <v>390</v>
      </c>
      <c r="BK23" s="175"/>
      <c r="BL23" s="176">
        <v>5949</v>
      </c>
      <c r="BM23" s="175" t="s">
        <v>163</v>
      </c>
      <c r="BN23" s="175"/>
      <c r="BO23" s="175" t="s">
        <v>163</v>
      </c>
      <c r="BP23" s="175"/>
      <c r="BQ23" s="175" t="s">
        <v>163</v>
      </c>
      <c r="BR23" s="175"/>
      <c r="BS23" s="185">
        <v>1967</v>
      </c>
      <c r="BT23" s="185">
        <v>1</v>
      </c>
      <c r="BU23" s="185">
        <v>0</v>
      </c>
      <c r="BV23" s="185">
        <v>625</v>
      </c>
      <c r="BW23" s="186">
        <v>2606</v>
      </c>
      <c r="BX23" s="185">
        <v>15</v>
      </c>
      <c r="BY23" s="185"/>
      <c r="BZ23" s="186">
        <v>5421</v>
      </c>
      <c r="CA23" s="185"/>
      <c r="CB23" s="185">
        <v>392</v>
      </c>
      <c r="CC23" s="186">
        <v>42084</v>
      </c>
      <c r="CD23" s="186">
        <v>2384</v>
      </c>
      <c r="CE23" s="186">
        <v>53527</v>
      </c>
      <c r="CF23" s="185"/>
      <c r="CG23" s="185">
        <v>105</v>
      </c>
      <c r="CH23" s="185" t="s">
        <v>163</v>
      </c>
      <c r="CI23" s="185"/>
      <c r="CJ23" s="185" t="s">
        <v>163</v>
      </c>
      <c r="CK23" s="185" t="s">
        <v>163</v>
      </c>
      <c r="CL23" s="185"/>
      <c r="CM23" s="193">
        <v>1967</v>
      </c>
      <c r="CN23" s="193">
        <v>521</v>
      </c>
      <c r="CO23" s="193">
        <v>19</v>
      </c>
      <c r="CP23" s="194">
        <v>2905</v>
      </c>
      <c r="CQ23" s="193">
        <v>403</v>
      </c>
      <c r="CR23" s="193"/>
      <c r="CS23" s="193">
        <v>136</v>
      </c>
      <c r="CT23" s="194">
        <v>28299</v>
      </c>
      <c r="CU23" s="194">
        <v>4285</v>
      </c>
      <c r="CV23" s="193"/>
      <c r="CW23" s="194">
        <v>36028</v>
      </c>
      <c r="CX23" s="193"/>
      <c r="CY23" s="193">
        <v>105</v>
      </c>
      <c r="CZ23" s="193" t="s">
        <v>163</v>
      </c>
      <c r="DA23" s="193" t="s">
        <v>163</v>
      </c>
      <c r="DB23" s="193" t="s">
        <v>163</v>
      </c>
      <c r="DC23" s="193" t="s">
        <v>390</v>
      </c>
      <c r="DD23" s="193"/>
      <c r="DE23" s="194">
        <v>6578</v>
      </c>
      <c r="DF23" s="193" t="s">
        <v>163</v>
      </c>
      <c r="DG23" s="193"/>
      <c r="DH23" s="193" t="s">
        <v>163</v>
      </c>
      <c r="DI23" s="193"/>
      <c r="DJ23" s="193" t="s">
        <v>163</v>
      </c>
      <c r="DK23" s="193"/>
      <c r="DL23" s="202">
        <v>1967</v>
      </c>
      <c r="DM23" s="203">
        <v>3175</v>
      </c>
      <c r="DN23" s="202">
        <v>9</v>
      </c>
      <c r="DO23" s="202">
        <v>577</v>
      </c>
      <c r="DP23" s="202">
        <v>0</v>
      </c>
      <c r="DQ23" s="203">
        <v>20804</v>
      </c>
      <c r="DR23" s="203">
        <v>21381</v>
      </c>
      <c r="DS23" s="203">
        <v>1273</v>
      </c>
      <c r="DT23" s="202">
        <v>694</v>
      </c>
      <c r="DU23" s="202" t="s">
        <v>163</v>
      </c>
      <c r="DV23" s="202">
        <v>0</v>
      </c>
      <c r="DW23" s="202" t="s">
        <v>390</v>
      </c>
      <c r="DX23" s="202" t="s">
        <v>390</v>
      </c>
      <c r="DY23" s="202">
        <v>0</v>
      </c>
      <c r="DZ23" s="202" t="s">
        <v>163</v>
      </c>
      <c r="EA23" s="138"/>
    </row>
    <row r="24" spans="4:131" ht="17.25" customHeight="1">
      <c r="D24" s="56">
        <f t="shared" si="0"/>
        <v>0.56818181818181823</v>
      </c>
      <c r="G24" s="159">
        <f t="shared" si="1"/>
        <v>132</v>
      </c>
      <c r="H24" s="167">
        <v>1968</v>
      </c>
      <c r="I24" s="167">
        <v>655</v>
      </c>
      <c r="J24" s="167">
        <v>124</v>
      </c>
      <c r="K24" s="168">
        <v>56106</v>
      </c>
      <c r="L24" s="168">
        <v>1642</v>
      </c>
      <c r="M24" s="168">
        <v>6565</v>
      </c>
      <c r="N24" s="167"/>
      <c r="O24" s="168">
        <v>45000</v>
      </c>
      <c r="P24" s="168">
        <v>45592</v>
      </c>
      <c r="Q24" s="168">
        <v>6372</v>
      </c>
      <c r="R24" s="167"/>
      <c r="S24" s="168">
        <v>161277</v>
      </c>
      <c r="T24" s="167"/>
      <c r="U24" s="167">
        <v>97</v>
      </c>
      <c r="V24" s="167" t="s">
        <v>163</v>
      </c>
      <c r="W24" s="167" t="s">
        <v>163</v>
      </c>
      <c r="X24" s="167" t="s">
        <v>163</v>
      </c>
      <c r="Y24" s="167" t="s">
        <v>163</v>
      </c>
      <c r="Z24" s="167"/>
      <c r="AA24" s="168">
        <v>21251</v>
      </c>
      <c r="AB24" s="167" t="s">
        <v>163</v>
      </c>
      <c r="AC24" s="167"/>
      <c r="AD24" s="167" t="s">
        <v>163</v>
      </c>
      <c r="AE24" s="167"/>
      <c r="AF24" s="167" t="s">
        <v>163</v>
      </c>
      <c r="AG24" s="167"/>
      <c r="AH24" s="175">
        <v>1968</v>
      </c>
      <c r="AI24" s="175">
        <v>163</v>
      </c>
      <c r="AJ24" s="175">
        <v>75</v>
      </c>
      <c r="AK24" s="176">
        <v>36820</v>
      </c>
      <c r="AL24" s="175">
        <v>733</v>
      </c>
      <c r="AM24" s="176">
        <v>1415</v>
      </c>
      <c r="AN24" s="176">
        <v>38969</v>
      </c>
      <c r="AO24" s="175" t="s">
        <v>163</v>
      </c>
      <c r="AP24" s="175" t="s">
        <v>163</v>
      </c>
      <c r="AQ24" s="175" t="s">
        <v>163</v>
      </c>
      <c r="AR24" s="176">
        <v>7578</v>
      </c>
      <c r="AS24" s="175" t="s">
        <v>163</v>
      </c>
      <c r="AT24" s="175" t="s">
        <v>163</v>
      </c>
      <c r="AU24" s="175"/>
      <c r="AV24" s="175" t="s">
        <v>163</v>
      </c>
      <c r="AW24" s="175"/>
      <c r="AX24" s="175">
        <v>1968</v>
      </c>
      <c r="AY24" s="175">
        <v>128</v>
      </c>
      <c r="AZ24" s="175">
        <v>25</v>
      </c>
      <c r="BA24" s="176">
        <v>12842</v>
      </c>
      <c r="BB24" s="175">
        <v>294</v>
      </c>
      <c r="BC24" s="175">
        <v>118</v>
      </c>
      <c r="BD24" s="175">
        <v>99</v>
      </c>
      <c r="BE24" s="176">
        <v>15801</v>
      </c>
      <c r="BF24" s="176">
        <v>29154</v>
      </c>
      <c r="BG24" s="175" t="s">
        <v>390</v>
      </c>
      <c r="BH24" s="175" t="s">
        <v>163</v>
      </c>
      <c r="BI24" s="175" t="s">
        <v>163</v>
      </c>
      <c r="BJ24" s="175" t="s">
        <v>390</v>
      </c>
      <c r="BK24" s="175"/>
      <c r="BL24" s="176">
        <v>6529</v>
      </c>
      <c r="BM24" s="175" t="s">
        <v>163</v>
      </c>
      <c r="BN24" s="175"/>
      <c r="BO24" s="175" t="s">
        <v>163</v>
      </c>
      <c r="BP24" s="175"/>
      <c r="BQ24" s="175" t="s">
        <v>163</v>
      </c>
      <c r="BR24" s="175"/>
      <c r="BS24" s="185">
        <v>1968</v>
      </c>
      <c r="BT24" s="185">
        <v>1</v>
      </c>
      <c r="BU24" s="185">
        <v>2</v>
      </c>
      <c r="BV24" s="185">
        <v>313</v>
      </c>
      <c r="BW24" s="186">
        <v>3451</v>
      </c>
      <c r="BX24" s="185">
        <v>20</v>
      </c>
      <c r="BY24" s="185"/>
      <c r="BZ24" s="186">
        <v>6565</v>
      </c>
      <c r="CA24" s="185"/>
      <c r="CB24" s="185">
        <v>431</v>
      </c>
      <c r="CC24" s="186">
        <v>44812</v>
      </c>
      <c r="CD24" s="186">
        <v>2226</v>
      </c>
      <c r="CE24" s="186">
        <v>57818</v>
      </c>
      <c r="CF24" s="185"/>
      <c r="CG24" s="185">
        <v>105</v>
      </c>
      <c r="CH24" s="185" t="s">
        <v>163</v>
      </c>
      <c r="CI24" s="185"/>
      <c r="CJ24" s="185" t="s">
        <v>163</v>
      </c>
      <c r="CK24" s="185" t="s">
        <v>163</v>
      </c>
      <c r="CL24" s="185"/>
      <c r="CM24" s="193">
        <v>1968</v>
      </c>
      <c r="CN24" s="193">
        <v>363</v>
      </c>
      <c r="CO24" s="193">
        <v>22</v>
      </c>
      <c r="CP24" s="194">
        <v>2992</v>
      </c>
      <c r="CQ24" s="193">
        <v>595</v>
      </c>
      <c r="CR24" s="193"/>
      <c r="CS24" s="193">
        <v>88</v>
      </c>
      <c r="CT24" s="194">
        <v>27565</v>
      </c>
      <c r="CU24" s="194">
        <v>4097</v>
      </c>
      <c r="CV24" s="193"/>
      <c r="CW24" s="194">
        <v>35336</v>
      </c>
      <c r="CX24" s="193"/>
      <c r="CY24" s="193">
        <v>97</v>
      </c>
      <c r="CZ24" s="193" t="s">
        <v>163</v>
      </c>
      <c r="DA24" s="193" t="s">
        <v>163</v>
      </c>
      <c r="DB24" s="193" t="s">
        <v>163</v>
      </c>
      <c r="DC24" s="193" t="s">
        <v>390</v>
      </c>
      <c r="DD24" s="193"/>
      <c r="DE24" s="194">
        <v>7039</v>
      </c>
      <c r="DF24" s="193" t="s">
        <v>163</v>
      </c>
      <c r="DG24" s="193"/>
      <c r="DH24" s="193" t="s">
        <v>163</v>
      </c>
      <c r="DI24" s="193"/>
      <c r="DJ24" s="193" t="s">
        <v>163</v>
      </c>
      <c r="DK24" s="193"/>
      <c r="DL24" s="202">
        <v>1968</v>
      </c>
      <c r="DM24" s="203">
        <v>2828</v>
      </c>
      <c r="DN24" s="202">
        <v>8</v>
      </c>
      <c r="DO24" s="202">
        <v>656</v>
      </c>
      <c r="DP24" s="202">
        <v>0</v>
      </c>
      <c r="DQ24" s="203">
        <v>23641</v>
      </c>
      <c r="DR24" s="203">
        <v>24297</v>
      </c>
      <c r="DS24" s="203">
        <v>1218</v>
      </c>
      <c r="DT24" s="202">
        <v>686</v>
      </c>
      <c r="DU24" s="202" t="s">
        <v>163</v>
      </c>
      <c r="DV24" s="202">
        <v>0</v>
      </c>
      <c r="DW24" s="202" t="s">
        <v>390</v>
      </c>
      <c r="DX24" s="202" t="s">
        <v>390</v>
      </c>
      <c r="DY24" s="202">
        <v>0</v>
      </c>
      <c r="DZ24" s="202" t="s">
        <v>163</v>
      </c>
      <c r="EA24" s="138"/>
    </row>
    <row r="25" spans="4:131" ht="17.25" customHeight="1">
      <c r="D25" s="56">
        <f t="shared" si="0"/>
        <v>0.56934306569343063</v>
      </c>
      <c r="G25" s="159">
        <f t="shared" si="1"/>
        <v>137</v>
      </c>
      <c r="H25" s="167">
        <v>1969</v>
      </c>
      <c r="I25" s="167">
        <v>549</v>
      </c>
      <c r="J25" s="167">
        <v>131</v>
      </c>
      <c r="K25" s="168">
        <v>57694</v>
      </c>
      <c r="L25" s="168">
        <v>1727</v>
      </c>
      <c r="M25" s="168">
        <v>7479</v>
      </c>
      <c r="N25" s="167"/>
      <c r="O25" s="168">
        <v>46545</v>
      </c>
      <c r="P25" s="168">
        <v>42030</v>
      </c>
      <c r="Q25" s="168">
        <v>6900</v>
      </c>
      <c r="R25" s="167"/>
      <c r="S25" s="168">
        <v>162376</v>
      </c>
      <c r="T25" s="167"/>
      <c r="U25" s="167">
        <v>92</v>
      </c>
      <c r="V25" s="167" t="s">
        <v>163</v>
      </c>
      <c r="W25" s="167" t="s">
        <v>163</v>
      </c>
      <c r="X25" s="167" t="s">
        <v>163</v>
      </c>
      <c r="Y25" s="167" t="s">
        <v>163</v>
      </c>
      <c r="Z25" s="167"/>
      <c r="AA25" s="168">
        <v>22925</v>
      </c>
      <c r="AB25" s="167" t="s">
        <v>163</v>
      </c>
      <c r="AC25" s="167"/>
      <c r="AD25" s="167" t="s">
        <v>163</v>
      </c>
      <c r="AE25" s="167"/>
      <c r="AF25" s="167" t="s">
        <v>163</v>
      </c>
      <c r="AG25" s="167"/>
      <c r="AH25" s="175">
        <v>1969</v>
      </c>
      <c r="AI25" s="175">
        <v>126</v>
      </c>
      <c r="AJ25" s="175">
        <v>78</v>
      </c>
      <c r="AK25" s="176">
        <v>37934</v>
      </c>
      <c r="AL25" s="175">
        <v>821</v>
      </c>
      <c r="AM25" s="176">
        <v>1420</v>
      </c>
      <c r="AN25" s="176">
        <v>40175</v>
      </c>
      <c r="AO25" s="175" t="s">
        <v>163</v>
      </c>
      <c r="AP25" s="175" t="s">
        <v>163</v>
      </c>
      <c r="AQ25" s="175" t="s">
        <v>163</v>
      </c>
      <c r="AR25" s="176">
        <v>8406</v>
      </c>
      <c r="AS25" s="175" t="s">
        <v>163</v>
      </c>
      <c r="AT25" s="175" t="s">
        <v>163</v>
      </c>
      <c r="AU25" s="175"/>
      <c r="AV25" s="175" t="s">
        <v>163</v>
      </c>
      <c r="AW25" s="175"/>
      <c r="AX25" s="175">
        <v>1969</v>
      </c>
      <c r="AY25" s="175">
        <v>99</v>
      </c>
      <c r="AZ25" s="175">
        <v>30</v>
      </c>
      <c r="BA25" s="176">
        <v>13230</v>
      </c>
      <c r="BB25" s="175">
        <v>329</v>
      </c>
      <c r="BC25" s="175">
        <v>118</v>
      </c>
      <c r="BD25" s="175">
        <v>100</v>
      </c>
      <c r="BE25" s="176">
        <v>14669</v>
      </c>
      <c r="BF25" s="176">
        <v>28446</v>
      </c>
      <c r="BG25" s="175" t="s">
        <v>390</v>
      </c>
      <c r="BH25" s="175" t="s">
        <v>163</v>
      </c>
      <c r="BI25" s="175" t="s">
        <v>163</v>
      </c>
      <c r="BJ25" s="175" t="s">
        <v>390</v>
      </c>
      <c r="BK25" s="175"/>
      <c r="BL25" s="176">
        <v>7075</v>
      </c>
      <c r="BM25" s="175" t="s">
        <v>163</v>
      </c>
      <c r="BN25" s="175"/>
      <c r="BO25" s="175" t="s">
        <v>163</v>
      </c>
      <c r="BP25" s="175"/>
      <c r="BQ25" s="175" t="s">
        <v>163</v>
      </c>
      <c r="BR25" s="175"/>
      <c r="BS25" s="185">
        <v>1969</v>
      </c>
      <c r="BT25" s="185">
        <v>1</v>
      </c>
      <c r="BU25" s="185">
        <v>1</v>
      </c>
      <c r="BV25" s="185">
        <v>283</v>
      </c>
      <c r="BW25" s="186">
        <v>3472</v>
      </c>
      <c r="BX25" s="185">
        <v>17</v>
      </c>
      <c r="BY25" s="185"/>
      <c r="BZ25" s="186">
        <v>7479</v>
      </c>
      <c r="CA25" s="185"/>
      <c r="CB25" s="185">
        <v>433</v>
      </c>
      <c r="CC25" s="186">
        <v>46271</v>
      </c>
      <c r="CD25" s="186">
        <v>1968</v>
      </c>
      <c r="CE25" s="186">
        <v>59924</v>
      </c>
      <c r="CF25" s="185"/>
      <c r="CG25" s="185">
        <v>105</v>
      </c>
      <c r="CH25" s="185" t="s">
        <v>163</v>
      </c>
      <c r="CI25" s="185"/>
      <c r="CJ25" s="185" t="s">
        <v>163</v>
      </c>
      <c r="CK25" s="185" t="s">
        <v>163</v>
      </c>
      <c r="CL25" s="185"/>
      <c r="CM25" s="193">
        <v>1969</v>
      </c>
      <c r="CN25" s="193">
        <v>324</v>
      </c>
      <c r="CO25" s="193">
        <v>22</v>
      </c>
      <c r="CP25" s="194">
        <v>3057</v>
      </c>
      <c r="CQ25" s="193">
        <v>560</v>
      </c>
      <c r="CR25" s="193"/>
      <c r="CS25" s="193">
        <v>174</v>
      </c>
      <c r="CT25" s="194">
        <v>25393</v>
      </c>
      <c r="CU25" s="194">
        <v>4645</v>
      </c>
      <c r="CV25" s="193"/>
      <c r="CW25" s="194">
        <v>33830</v>
      </c>
      <c r="CX25" s="193"/>
      <c r="CY25" s="193">
        <v>92</v>
      </c>
      <c r="CZ25" s="193" t="s">
        <v>163</v>
      </c>
      <c r="DA25" s="193" t="s">
        <v>163</v>
      </c>
      <c r="DB25" s="193" t="s">
        <v>163</v>
      </c>
      <c r="DC25" s="193" t="s">
        <v>390</v>
      </c>
      <c r="DD25" s="193"/>
      <c r="DE25" s="194">
        <v>7339</v>
      </c>
      <c r="DF25" s="193" t="s">
        <v>163</v>
      </c>
      <c r="DG25" s="193"/>
      <c r="DH25" s="193" t="s">
        <v>163</v>
      </c>
      <c r="DI25" s="193"/>
      <c r="DJ25" s="193" t="s">
        <v>163</v>
      </c>
      <c r="DK25" s="193"/>
      <c r="DL25" s="202">
        <v>1969</v>
      </c>
      <c r="DM25" s="203">
        <v>1893</v>
      </c>
      <c r="DN25" s="202">
        <v>6</v>
      </c>
      <c r="DO25" s="202">
        <v>859</v>
      </c>
      <c r="DP25" s="202">
        <v>0</v>
      </c>
      <c r="DQ25" s="203">
        <v>30939</v>
      </c>
      <c r="DR25" s="203">
        <v>31797</v>
      </c>
      <c r="DS25" s="203">
        <v>1143</v>
      </c>
      <c r="DT25" s="202">
        <v>789</v>
      </c>
      <c r="DU25" s="202" t="s">
        <v>163</v>
      </c>
      <c r="DV25" s="202">
        <v>0</v>
      </c>
      <c r="DW25" s="202" t="s">
        <v>390</v>
      </c>
      <c r="DX25" s="202" t="s">
        <v>390</v>
      </c>
      <c r="DY25" s="202">
        <v>0</v>
      </c>
      <c r="DZ25" s="202" t="s">
        <v>163</v>
      </c>
      <c r="EA25" s="138"/>
    </row>
    <row r="26" spans="4:131" ht="17.25" customHeight="1">
      <c r="D26" s="56">
        <f t="shared" si="0"/>
        <v>0.56081081081081086</v>
      </c>
      <c r="G26" s="159">
        <f t="shared" si="1"/>
        <v>148</v>
      </c>
      <c r="H26" s="167">
        <v>1970</v>
      </c>
      <c r="I26" s="167">
        <v>335</v>
      </c>
      <c r="J26" s="167">
        <v>142</v>
      </c>
      <c r="K26" s="168">
        <v>58063</v>
      </c>
      <c r="L26" s="168">
        <v>1820</v>
      </c>
      <c r="M26" s="168">
        <v>7864</v>
      </c>
      <c r="N26" s="167"/>
      <c r="O26" s="168">
        <v>49527</v>
      </c>
      <c r="P26" s="168">
        <v>43829</v>
      </c>
      <c r="Q26" s="168">
        <v>7015</v>
      </c>
      <c r="R26" s="167"/>
      <c r="S26" s="168">
        <v>168117</v>
      </c>
      <c r="T26" s="167"/>
      <c r="U26" s="167">
        <v>72</v>
      </c>
      <c r="V26" s="167" t="s">
        <v>163</v>
      </c>
      <c r="W26" s="167" t="s">
        <v>163</v>
      </c>
      <c r="X26" s="167" t="s">
        <v>163</v>
      </c>
      <c r="Y26" s="167" t="s">
        <v>163</v>
      </c>
      <c r="Z26" s="167"/>
      <c r="AA26" s="168">
        <v>24639</v>
      </c>
      <c r="AB26" s="167" t="s">
        <v>163</v>
      </c>
      <c r="AC26" s="167"/>
      <c r="AD26" s="167" t="s">
        <v>163</v>
      </c>
      <c r="AE26" s="167"/>
      <c r="AF26" s="167" t="s">
        <v>163</v>
      </c>
      <c r="AG26" s="167"/>
      <c r="AH26" s="175">
        <v>1970</v>
      </c>
      <c r="AI26" s="175">
        <v>104</v>
      </c>
      <c r="AJ26" s="175">
        <v>83</v>
      </c>
      <c r="AK26" s="176">
        <v>38530</v>
      </c>
      <c r="AL26" s="175">
        <v>784</v>
      </c>
      <c r="AM26" s="176">
        <v>1434</v>
      </c>
      <c r="AN26" s="176">
        <v>40748</v>
      </c>
      <c r="AO26" s="175" t="s">
        <v>163</v>
      </c>
      <c r="AP26" s="175" t="s">
        <v>163</v>
      </c>
      <c r="AQ26" s="175" t="s">
        <v>163</v>
      </c>
      <c r="AR26" s="176">
        <v>9335</v>
      </c>
      <c r="AS26" s="175" t="s">
        <v>163</v>
      </c>
      <c r="AT26" s="175" t="s">
        <v>163</v>
      </c>
      <c r="AU26" s="175"/>
      <c r="AV26" s="175" t="s">
        <v>163</v>
      </c>
      <c r="AW26" s="175"/>
      <c r="AX26" s="175">
        <v>1970</v>
      </c>
      <c r="AY26" s="175">
        <v>82</v>
      </c>
      <c r="AZ26" s="175">
        <v>35</v>
      </c>
      <c r="BA26" s="176">
        <v>13438</v>
      </c>
      <c r="BB26" s="175">
        <v>314</v>
      </c>
      <c r="BC26" s="175">
        <v>119</v>
      </c>
      <c r="BD26" s="175">
        <v>102</v>
      </c>
      <c r="BE26" s="176">
        <v>14872</v>
      </c>
      <c r="BF26" s="176">
        <v>28845</v>
      </c>
      <c r="BG26" s="175" t="s">
        <v>390</v>
      </c>
      <c r="BH26" s="175" t="s">
        <v>163</v>
      </c>
      <c r="BI26" s="175" t="s">
        <v>163</v>
      </c>
      <c r="BJ26" s="175" t="s">
        <v>390</v>
      </c>
      <c r="BK26" s="175"/>
      <c r="BL26" s="176">
        <v>7782</v>
      </c>
      <c r="BM26" s="175" t="s">
        <v>163</v>
      </c>
      <c r="BN26" s="175"/>
      <c r="BO26" s="175" t="s">
        <v>163</v>
      </c>
      <c r="BP26" s="175"/>
      <c r="BQ26" s="175" t="s">
        <v>163</v>
      </c>
      <c r="BR26" s="175"/>
      <c r="BS26" s="185">
        <v>1970</v>
      </c>
      <c r="BT26" s="185" t="s">
        <v>373</v>
      </c>
      <c r="BU26" s="185">
        <v>1</v>
      </c>
      <c r="BV26" s="185">
        <v>276</v>
      </c>
      <c r="BW26" s="186">
        <v>3198</v>
      </c>
      <c r="BX26" s="185">
        <v>29</v>
      </c>
      <c r="BY26" s="185"/>
      <c r="BZ26" s="186">
        <v>7864</v>
      </c>
      <c r="CA26" s="185"/>
      <c r="CB26" s="185">
        <v>441</v>
      </c>
      <c r="CC26" s="186">
        <v>49314</v>
      </c>
      <c r="CD26" s="186">
        <v>3215</v>
      </c>
      <c r="CE26" s="186">
        <v>64336</v>
      </c>
      <c r="CF26" s="185"/>
      <c r="CG26" s="185">
        <v>105</v>
      </c>
      <c r="CH26" s="185" t="s">
        <v>163</v>
      </c>
      <c r="CI26" s="185"/>
      <c r="CJ26" s="185" t="s">
        <v>163</v>
      </c>
      <c r="CK26" s="185" t="s">
        <v>163</v>
      </c>
      <c r="CL26" s="185"/>
      <c r="CM26" s="193">
        <v>1970</v>
      </c>
      <c r="CN26" s="193">
        <v>149</v>
      </c>
      <c r="CO26" s="193">
        <v>23</v>
      </c>
      <c r="CP26" s="194">
        <v>2897</v>
      </c>
      <c r="CQ26" s="193">
        <v>693</v>
      </c>
      <c r="CR26" s="193"/>
      <c r="CS26" s="193">
        <v>111</v>
      </c>
      <c r="CT26" s="194">
        <v>25742</v>
      </c>
      <c r="CU26" s="194">
        <v>4745</v>
      </c>
      <c r="CV26" s="193"/>
      <c r="CW26" s="194">
        <v>34188</v>
      </c>
      <c r="CX26" s="193"/>
      <c r="CY26" s="193">
        <v>72</v>
      </c>
      <c r="CZ26" s="193" t="s">
        <v>163</v>
      </c>
      <c r="DA26" s="193" t="s">
        <v>163</v>
      </c>
      <c r="DB26" s="193" t="s">
        <v>163</v>
      </c>
      <c r="DC26" s="193" t="s">
        <v>390</v>
      </c>
      <c r="DD26" s="193"/>
      <c r="DE26" s="194">
        <v>7418</v>
      </c>
      <c r="DF26" s="193" t="s">
        <v>163</v>
      </c>
      <c r="DG26" s="193"/>
      <c r="DH26" s="193" t="s">
        <v>163</v>
      </c>
      <c r="DI26" s="193"/>
      <c r="DJ26" s="193" t="s">
        <v>163</v>
      </c>
      <c r="DK26" s="193"/>
      <c r="DL26" s="202">
        <v>1970</v>
      </c>
      <c r="DM26" s="202">
        <v>575</v>
      </c>
      <c r="DN26" s="202">
        <v>6</v>
      </c>
      <c r="DO26" s="203">
        <v>1176</v>
      </c>
      <c r="DP26" s="202">
        <v>0</v>
      </c>
      <c r="DQ26" s="203">
        <v>42301</v>
      </c>
      <c r="DR26" s="203">
        <v>43477</v>
      </c>
      <c r="DS26" s="203">
        <v>1209</v>
      </c>
      <c r="DT26" s="202">
        <v>682</v>
      </c>
      <c r="DU26" s="202" t="s">
        <v>163</v>
      </c>
      <c r="DV26" s="202">
        <v>0</v>
      </c>
      <c r="DW26" s="202" t="s">
        <v>390</v>
      </c>
      <c r="DX26" s="202" t="s">
        <v>390</v>
      </c>
      <c r="DY26" s="202">
        <v>0</v>
      </c>
      <c r="DZ26" s="202" t="s">
        <v>163</v>
      </c>
      <c r="EA26" s="138"/>
    </row>
    <row r="27" spans="4:131" ht="17.25" customHeight="1">
      <c r="D27" s="56">
        <f t="shared" si="0"/>
        <v>0.5286624203821656</v>
      </c>
      <c r="G27" s="159">
        <f t="shared" si="1"/>
        <v>157</v>
      </c>
      <c r="H27" s="167">
        <v>1971</v>
      </c>
      <c r="I27" s="167">
        <v>269</v>
      </c>
      <c r="J27" s="167">
        <v>147</v>
      </c>
      <c r="K27" s="168">
        <v>60434</v>
      </c>
      <c r="L27" s="168">
        <v>1852</v>
      </c>
      <c r="M27" s="168">
        <v>8642</v>
      </c>
      <c r="N27" s="167"/>
      <c r="O27" s="168">
        <v>50827</v>
      </c>
      <c r="P27" s="168">
        <v>41367</v>
      </c>
      <c r="Q27" s="168">
        <v>6983</v>
      </c>
      <c r="R27" s="167"/>
      <c r="S27" s="168">
        <v>170105</v>
      </c>
      <c r="T27" s="167"/>
      <c r="U27" s="167">
        <v>70</v>
      </c>
      <c r="V27" s="167" t="s">
        <v>163</v>
      </c>
      <c r="W27" s="167" t="s">
        <v>163</v>
      </c>
      <c r="X27" s="167" t="s">
        <v>163</v>
      </c>
      <c r="Y27" s="167" t="s">
        <v>163</v>
      </c>
      <c r="Z27" s="167"/>
      <c r="AA27" s="168">
        <v>26383</v>
      </c>
      <c r="AB27" s="167" t="s">
        <v>163</v>
      </c>
      <c r="AC27" s="167"/>
      <c r="AD27" s="167" t="s">
        <v>163</v>
      </c>
      <c r="AE27" s="167"/>
      <c r="AF27" s="167" t="s">
        <v>163</v>
      </c>
      <c r="AG27" s="167"/>
      <c r="AH27" s="175">
        <v>1971</v>
      </c>
      <c r="AI27" s="175">
        <v>83</v>
      </c>
      <c r="AJ27" s="175">
        <v>83</v>
      </c>
      <c r="AK27" s="176">
        <v>40113</v>
      </c>
      <c r="AL27" s="175">
        <v>792</v>
      </c>
      <c r="AM27" s="176">
        <v>1427</v>
      </c>
      <c r="AN27" s="176">
        <v>42332</v>
      </c>
      <c r="AO27" s="175" t="s">
        <v>163</v>
      </c>
      <c r="AP27" s="175" t="s">
        <v>163</v>
      </c>
      <c r="AQ27" s="175" t="s">
        <v>163</v>
      </c>
      <c r="AR27" s="176">
        <v>10200</v>
      </c>
      <c r="AS27" s="175" t="s">
        <v>163</v>
      </c>
      <c r="AT27" s="175" t="s">
        <v>163</v>
      </c>
      <c r="AU27" s="175"/>
      <c r="AV27" s="175" t="s">
        <v>163</v>
      </c>
      <c r="AW27" s="175"/>
      <c r="AX27" s="175">
        <v>1971</v>
      </c>
      <c r="AY27" s="175">
        <v>86</v>
      </c>
      <c r="AZ27" s="175">
        <v>37</v>
      </c>
      <c r="BA27" s="176">
        <v>13990</v>
      </c>
      <c r="BB27" s="175">
        <v>317</v>
      </c>
      <c r="BC27" s="175">
        <v>119</v>
      </c>
      <c r="BD27" s="175">
        <v>103</v>
      </c>
      <c r="BE27" s="176">
        <v>13887</v>
      </c>
      <c r="BF27" s="176">
        <v>28416</v>
      </c>
      <c r="BG27" s="175" t="s">
        <v>390</v>
      </c>
      <c r="BH27" s="175" t="s">
        <v>163</v>
      </c>
      <c r="BI27" s="175" t="s">
        <v>163</v>
      </c>
      <c r="BJ27" s="175" t="s">
        <v>390</v>
      </c>
      <c r="BK27" s="175"/>
      <c r="BL27" s="176">
        <v>8563</v>
      </c>
      <c r="BM27" s="175" t="s">
        <v>163</v>
      </c>
      <c r="BN27" s="175"/>
      <c r="BO27" s="175" t="s">
        <v>163</v>
      </c>
      <c r="BP27" s="175"/>
      <c r="BQ27" s="175" t="s">
        <v>163</v>
      </c>
      <c r="BR27" s="175"/>
      <c r="BS27" s="185">
        <v>1971</v>
      </c>
      <c r="BT27" s="185" t="s">
        <v>373</v>
      </c>
      <c r="BU27" s="185">
        <v>1</v>
      </c>
      <c r="BV27" s="185">
        <v>264</v>
      </c>
      <c r="BW27" s="186">
        <v>3393</v>
      </c>
      <c r="BX27" s="185">
        <v>35</v>
      </c>
      <c r="BY27" s="185"/>
      <c r="BZ27" s="186">
        <v>8642</v>
      </c>
      <c r="CA27" s="185"/>
      <c r="CB27" s="185">
        <v>452</v>
      </c>
      <c r="CC27" s="186">
        <v>50628</v>
      </c>
      <c r="CD27" s="186">
        <v>3475</v>
      </c>
      <c r="CE27" s="186">
        <v>66889</v>
      </c>
      <c r="CF27" s="185"/>
      <c r="CG27" s="185">
        <v>105</v>
      </c>
      <c r="CH27" s="185" t="s">
        <v>163</v>
      </c>
      <c r="CI27" s="185"/>
      <c r="CJ27" s="185" t="s">
        <v>163</v>
      </c>
      <c r="CK27" s="185" t="s">
        <v>163</v>
      </c>
      <c r="CL27" s="185"/>
      <c r="CM27" s="193">
        <v>1971</v>
      </c>
      <c r="CN27" s="193">
        <v>101</v>
      </c>
      <c r="CO27" s="193">
        <v>26</v>
      </c>
      <c r="CP27" s="194">
        <v>2938</v>
      </c>
      <c r="CQ27" s="193">
        <v>707</v>
      </c>
      <c r="CR27" s="193"/>
      <c r="CS27" s="193">
        <v>96</v>
      </c>
      <c r="CT27" s="194">
        <v>24005</v>
      </c>
      <c r="CU27" s="194">
        <v>4722</v>
      </c>
      <c r="CV27" s="193"/>
      <c r="CW27" s="194">
        <v>32468</v>
      </c>
      <c r="CX27" s="193"/>
      <c r="CY27" s="193">
        <v>70</v>
      </c>
      <c r="CZ27" s="193" t="s">
        <v>163</v>
      </c>
      <c r="DA27" s="193" t="s">
        <v>163</v>
      </c>
      <c r="DB27" s="193" t="s">
        <v>163</v>
      </c>
      <c r="DC27" s="193" t="s">
        <v>390</v>
      </c>
      <c r="DD27" s="193"/>
      <c r="DE27" s="194">
        <v>7515</v>
      </c>
      <c r="DF27" s="193" t="s">
        <v>163</v>
      </c>
      <c r="DG27" s="193"/>
      <c r="DH27" s="193" t="s">
        <v>163</v>
      </c>
      <c r="DI27" s="193"/>
      <c r="DJ27" s="193" t="s">
        <v>163</v>
      </c>
      <c r="DK27" s="193"/>
      <c r="DL27" s="202">
        <v>1971</v>
      </c>
      <c r="DM27" s="202">
        <v>265</v>
      </c>
      <c r="DN27" s="202">
        <v>10</v>
      </c>
      <c r="DO27" s="203">
        <v>1182</v>
      </c>
      <c r="DP27" s="202">
        <v>0</v>
      </c>
      <c r="DQ27" s="203">
        <v>42502</v>
      </c>
      <c r="DR27" s="203">
        <v>43683</v>
      </c>
      <c r="DS27" s="203">
        <v>1435</v>
      </c>
      <c r="DT27" s="202">
        <v>636</v>
      </c>
      <c r="DU27" s="202" t="s">
        <v>163</v>
      </c>
      <c r="DV27" s="202">
        <v>0</v>
      </c>
      <c r="DW27" s="202" t="s">
        <v>390</v>
      </c>
      <c r="DX27" s="202" t="s">
        <v>390</v>
      </c>
      <c r="DY27" s="202">
        <v>0</v>
      </c>
      <c r="DZ27" s="202" t="s">
        <v>163</v>
      </c>
      <c r="EA27" s="138"/>
    </row>
    <row r="28" spans="4:131" ht="17.25" customHeight="1">
      <c r="D28" s="56">
        <f t="shared" si="0"/>
        <v>0.53749999999999998</v>
      </c>
      <c r="G28" s="159">
        <f t="shared" si="1"/>
        <v>160</v>
      </c>
      <c r="H28" s="167">
        <v>1972</v>
      </c>
      <c r="I28" s="167">
        <v>249</v>
      </c>
      <c r="J28" s="167">
        <v>152</v>
      </c>
      <c r="K28" s="168">
        <v>63043</v>
      </c>
      <c r="L28" s="168">
        <v>2164</v>
      </c>
      <c r="M28" s="168">
        <v>8788</v>
      </c>
      <c r="N28" s="167"/>
      <c r="O28" s="168">
        <v>53634</v>
      </c>
      <c r="P28" s="168">
        <v>41226</v>
      </c>
      <c r="Q28" s="168">
        <v>6707</v>
      </c>
      <c r="R28" s="167"/>
      <c r="S28" s="168">
        <v>175562</v>
      </c>
      <c r="T28" s="167"/>
      <c r="U28" s="167">
        <v>70</v>
      </c>
      <c r="V28" s="167" t="s">
        <v>163</v>
      </c>
      <c r="W28" s="167" t="s">
        <v>163</v>
      </c>
      <c r="X28" s="167" t="s">
        <v>163</v>
      </c>
      <c r="Y28" s="167" t="s">
        <v>163</v>
      </c>
      <c r="Z28" s="167"/>
      <c r="AA28" s="168">
        <v>28381</v>
      </c>
      <c r="AB28" s="167" t="s">
        <v>163</v>
      </c>
      <c r="AC28" s="167"/>
      <c r="AD28" s="167" t="s">
        <v>163</v>
      </c>
      <c r="AE28" s="167"/>
      <c r="AF28" s="167" t="s">
        <v>163</v>
      </c>
      <c r="AG28" s="167"/>
      <c r="AH28" s="175">
        <v>1972</v>
      </c>
      <c r="AI28" s="175">
        <v>56</v>
      </c>
      <c r="AJ28" s="175">
        <v>86</v>
      </c>
      <c r="AK28" s="176">
        <v>41406</v>
      </c>
      <c r="AL28" s="175">
        <v>880</v>
      </c>
      <c r="AM28" s="176">
        <v>1512</v>
      </c>
      <c r="AN28" s="176">
        <v>43798</v>
      </c>
      <c r="AO28" s="175" t="s">
        <v>163</v>
      </c>
      <c r="AP28" s="175" t="s">
        <v>163</v>
      </c>
      <c r="AQ28" s="175" t="s">
        <v>163</v>
      </c>
      <c r="AR28" s="176">
        <v>10965</v>
      </c>
      <c r="AS28" s="175" t="s">
        <v>163</v>
      </c>
      <c r="AT28" s="175" t="s">
        <v>163</v>
      </c>
      <c r="AU28" s="175"/>
      <c r="AV28" s="175" t="s">
        <v>163</v>
      </c>
      <c r="AW28" s="175"/>
      <c r="AX28" s="175">
        <v>1972</v>
      </c>
      <c r="AY28" s="175">
        <v>74</v>
      </c>
      <c r="AZ28" s="175">
        <v>37</v>
      </c>
      <c r="BA28" s="176">
        <v>14441</v>
      </c>
      <c r="BB28" s="175">
        <v>353</v>
      </c>
      <c r="BC28" s="175">
        <v>126</v>
      </c>
      <c r="BD28" s="175">
        <v>104</v>
      </c>
      <c r="BE28" s="176">
        <v>13844</v>
      </c>
      <c r="BF28" s="176">
        <v>28867</v>
      </c>
      <c r="BG28" s="175" t="s">
        <v>390</v>
      </c>
      <c r="BH28" s="175" t="s">
        <v>163</v>
      </c>
      <c r="BI28" s="175" t="s">
        <v>163</v>
      </c>
      <c r="BJ28" s="175" t="s">
        <v>390</v>
      </c>
      <c r="BK28" s="175"/>
      <c r="BL28" s="176">
        <v>9372</v>
      </c>
      <c r="BM28" s="175" t="s">
        <v>163</v>
      </c>
      <c r="BN28" s="175"/>
      <c r="BO28" s="175" t="s">
        <v>163</v>
      </c>
      <c r="BP28" s="175"/>
      <c r="BQ28" s="175" t="s">
        <v>163</v>
      </c>
      <c r="BR28" s="175"/>
      <c r="BS28" s="185">
        <v>1972</v>
      </c>
      <c r="BT28" s="185" t="s">
        <v>373</v>
      </c>
      <c r="BU28" s="185">
        <v>1</v>
      </c>
      <c r="BV28" s="185">
        <v>305</v>
      </c>
      <c r="BW28" s="186">
        <v>4124</v>
      </c>
      <c r="BX28" s="185">
        <v>38</v>
      </c>
      <c r="BY28" s="185"/>
      <c r="BZ28" s="186">
        <v>8788</v>
      </c>
      <c r="CA28" s="185"/>
      <c r="CB28" s="185">
        <v>484</v>
      </c>
      <c r="CC28" s="186">
        <v>53427</v>
      </c>
      <c r="CD28" s="186">
        <v>3024</v>
      </c>
      <c r="CE28" s="186">
        <v>70190</v>
      </c>
      <c r="CF28" s="185"/>
      <c r="CG28" s="185">
        <v>105</v>
      </c>
      <c r="CH28" s="185" t="s">
        <v>163</v>
      </c>
      <c r="CI28" s="185"/>
      <c r="CJ28" s="185" t="s">
        <v>163</v>
      </c>
      <c r="CK28" s="185" t="s">
        <v>163</v>
      </c>
      <c r="CL28" s="185"/>
      <c r="CM28" s="193">
        <v>1972</v>
      </c>
      <c r="CN28" s="193">
        <v>118</v>
      </c>
      <c r="CO28" s="193">
        <v>29</v>
      </c>
      <c r="CP28" s="194">
        <v>3072</v>
      </c>
      <c r="CQ28" s="193">
        <v>893</v>
      </c>
      <c r="CR28" s="193"/>
      <c r="CS28" s="193">
        <v>103</v>
      </c>
      <c r="CT28" s="194">
        <v>24358</v>
      </c>
      <c r="CU28" s="194">
        <v>4280</v>
      </c>
      <c r="CV28" s="193"/>
      <c r="CW28" s="194">
        <v>32706</v>
      </c>
      <c r="CX28" s="193"/>
      <c r="CY28" s="193">
        <v>70</v>
      </c>
      <c r="CZ28" s="193" t="s">
        <v>163</v>
      </c>
      <c r="DA28" s="193" t="s">
        <v>163</v>
      </c>
      <c r="DB28" s="193" t="s">
        <v>163</v>
      </c>
      <c r="DC28" s="193" t="s">
        <v>390</v>
      </c>
      <c r="DD28" s="193"/>
      <c r="DE28" s="194">
        <v>7939</v>
      </c>
      <c r="DF28" s="193" t="s">
        <v>163</v>
      </c>
      <c r="DG28" s="193"/>
      <c r="DH28" s="193" t="s">
        <v>163</v>
      </c>
      <c r="DI28" s="193"/>
      <c r="DJ28" s="193" t="s">
        <v>163</v>
      </c>
      <c r="DK28" s="193"/>
      <c r="DL28" s="202">
        <v>1972</v>
      </c>
      <c r="DM28" s="202">
        <v>68</v>
      </c>
      <c r="DN28" s="202">
        <v>8</v>
      </c>
      <c r="DO28" s="203">
        <v>1357</v>
      </c>
      <c r="DP28" s="202">
        <v>0</v>
      </c>
      <c r="DQ28" s="203">
        <v>46616</v>
      </c>
      <c r="DR28" s="203">
        <v>47973</v>
      </c>
      <c r="DS28" s="203">
        <v>1499</v>
      </c>
      <c r="DT28" s="202">
        <v>789</v>
      </c>
      <c r="DU28" s="202" t="s">
        <v>163</v>
      </c>
      <c r="DV28" s="202">
        <v>0</v>
      </c>
      <c r="DW28" s="202" t="s">
        <v>390</v>
      </c>
      <c r="DX28" s="202" t="s">
        <v>390</v>
      </c>
      <c r="DY28" s="202">
        <v>0</v>
      </c>
      <c r="DZ28" s="202" t="s">
        <v>163</v>
      </c>
      <c r="EA28" s="138"/>
    </row>
    <row r="29" spans="4:131" ht="17.25" customHeight="1">
      <c r="D29" s="56">
        <f t="shared" si="0"/>
        <v>0.53846153846153844</v>
      </c>
      <c r="G29" s="159">
        <f t="shared" si="1"/>
        <v>156</v>
      </c>
      <c r="H29" s="167">
        <v>1973</v>
      </c>
      <c r="I29" s="167">
        <v>208</v>
      </c>
      <c r="J29" s="167">
        <v>150</v>
      </c>
      <c r="K29" s="168">
        <v>63748</v>
      </c>
      <c r="L29" s="168">
        <v>2131</v>
      </c>
      <c r="M29" s="168">
        <v>8943</v>
      </c>
      <c r="N29" s="167"/>
      <c r="O29" s="168">
        <v>55596</v>
      </c>
      <c r="P29" s="168">
        <v>41233</v>
      </c>
      <c r="Q29" s="168">
        <v>6614</v>
      </c>
      <c r="R29" s="167"/>
      <c r="S29" s="168">
        <v>178266</v>
      </c>
      <c r="T29" s="167"/>
      <c r="U29" s="167">
        <v>72</v>
      </c>
      <c r="V29" s="167" t="s">
        <v>163</v>
      </c>
      <c r="W29" s="167" t="s">
        <v>163</v>
      </c>
      <c r="X29" s="167" t="s">
        <v>163</v>
      </c>
      <c r="Y29" s="167" t="s">
        <v>163</v>
      </c>
      <c r="Z29" s="167"/>
      <c r="AA29" s="168">
        <v>30617</v>
      </c>
      <c r="AB29" s="167" t="s">
        <v>163</v>
      </c>
      <c r="AC29" s="167"/>
      <c r="AD29" s="167" t="s">
        <v>163</v>
      </c>
      <c r="AE29" s="167"/>
      <c r="AF29" s="167" t="s">
        <v>163</v>
      </c>
      <c r="AG29" s="167"/>
      <c r="AH29" s="175">
        <v>1973</v>
      </c>
      <c r="AI29" s="175">
        <v>52</v>
      </c>
      <c r="AJ29" s="175">
        <v>84</v>
      </c>
      <c r="AK29" s="176">
        <v>41628</v>
      </c>
      <c r="AL29" s="175">
        <v>810</v>
      </c>
      <c r="AM29" s="176">
        <v>1041</v>
      </c>
      <c r="AN29" s="176">
        <v>43478</v>
      </c>
      <c r="AO29" s="175" t="s">
        <v>163</v>
      </c>
      <c r="AP29" s="175" t="s">
        <v>163</v>
      </c>
      <c r="AQ29" s="175" t="s">
        <v>163</v>
      </c>
      <c r="AR29" s="176">
        <v>11715</v>
      </c>
      <c r="AS29" s="175" t="s">
        <v>163</v>
      </c>
      <c r="AT29" s="175" t="s">
        <v>163</v>
      </c>
      <c r="AU29" s="175"/>
      <c r="AV29" s="175" t="s">
        <v>163</v>
      </c>
      <c r="AW29" s="175"/>
      <c r="AX29" s="175">
        <v>1973</v>
      </c>
      <c r="AY29" s="175">
        <v>89</v>
      </c>
      <c r="AZ29" s="175">
        <v>39</v>
      </c>
      <c r="BA29" s="176">
        <v>14519</v>
      </c>
      <c r="BB29" s="175">
        <v>324</v>
      </c>
      <c r="BC29" s="175">
        <v>87</v>
      </c>
      <c r="BD29" s="175">
        <v>105</v>
      </c>
      <c r="BE29" s="176">
        <v>13988</v>
      </c>
      <c r="BF29" s="176">
        <v>29022</v>
      </c>
      <c r="BG29" s="175" t="s">
        <v>390</v>
      </c>
      <c r="BH29" s="175" t="s">
        <v>163</v>
      </c>
      <c r="BI29" s="175" t="s">
        <v>163</v>
      </c>
      <c r="BJ29" s="175" t="s">
        <v>390</v>
      </c>
      <c r="BK29" s="175"/>
      <c r="BL29" s="176">
        <v>10380</v>
      </c>
      <c r="BM29" s="175" t="s">
        <v>163</v>
      </c>
      <c r="BN29" s="175"/>
      <c r="BO29" s="175" t="s">
        <v>163</v>
      </c>
      <c r="BP29" s="175"/>
      <c r="BQ29" s="175" t="s">
        <v>163</v>
      </c>
      <c r="BR29" s="175"/>
      <c r="BS29" s="185">
        <v>1973</v>
      </c>
      <c r="BT29" s="185" t="s">
        <v>373</v>
      </c>
      <c r="BU29" s="185">
        <v>1</v>
      </c>
      <c r="BV29" s="185">
        <v>280</v>
      </c>
      <c r="BW29" s="186">
        <v>4529</v>
      </c>
      <c r="BX29" s="185">
        <v>39</v>
      </c>
      <c r="BY29" s="185"/>
      <c r="BZ29" s="186">
        <v>8943</v>
      </c>
      <c r="CA29" s="185"/>
      <c r="CB29" s="185">
        <v>477</v>
      </c>
      <c r="CC29" s="186">
        <v>55343</v>
      </c>
      <c r="CD29" s="186">
        <v>2766</v>
      </c>
      <c r="CE29" s="186">
        <v>72377</v>
      </c>
      <c r="CF29" s="185"/>
      <c r="CG29" s="185">
        <v>105</v>
      </c>
      <c r="CH29" s="185" t="s">
        <v>163</v>
      </c>
      <c r="CI29" s="185"/>
      <c r="CJ29" s="185" t="s">
        <v>163</v>
      </c>
      <c r="CK29" s="185" t="s">
        <v>163</v>
      </c>
      <c r="CL29" s="185"/>
      <c r="CM29" s="193">
        <v>1973</v>
      </c>
      <c r="CN29" s="193">
        <v>67</v>
      </c>
      <c r="CO29" s="193">
        <v>26</v>
      </c>
      <c r="CP29" s="194">
        <v>3073</v>
      </c>
      <c r="CQ29" s="193">
        <v>958</v>
      </c>
      <c r="CR29" s="193"/>
      <c r="CS29" s="193">
        <v>148</v>
      </c>
      <c r="CT29" s="194">
        <v>24479</v>
      </c>
      <c r="CU29" s="194">
        <v>4730</v>
      </c>
      <c r="CV29" s="193"/>
      <c r="CW29" s="194">
        <v>33388</v>
      </c>
      <c r="CX29" s="193"/>
      <c r="CY29" s="193">
        <v>72</v>
      </c>
      <c r="CZ29" s="193" t="s">
        <v>163</v>
      </c>
      <c r="DA29" s="193" t="s">
        <v>163</v>
      </c>
      <c r="DB29" s="193" t="s">
        <v>163</v>
      </c>
      <c r="DC29" s="193" t="s">
        <v>390</v>
      </c>
      <c r="DD29" s="193"/>
      <c r="DE29" s="194">
        <v>8417</v>
      </c>
      <c r="DF29" s="193" t="s">
        <v>163</v>
      </c>
      <c r="DG29" s="193"/>
      <c r="DH29" s="193" t="s">
        <v>163</v>
      </c>
      <c r="DI29" s="193"/>
      <c r="DJ29" s="193" t="s">
        <v>163</v>
      </c>
      <c r="DK29" s="193"/>
      <c r="DL29" s="202">
        <v>1973</v>
      </c>
      <c r="DM29" s="202">
        <v>13</v>
      </c>
      <c r="DN29" s="202">
        <v>6</v>
      </c>
      <c r="DO29" s="202">
        <v>964</v>
      </c>
      <c r="DP29" s="202">
        <v>0</v>
      </c>
      <c r="DQ29" s="203">
        <v>44958</v>
      </c>
      <c r="DR29" s="203">
        <v>45922</v>
      </c>
      <c r="DS29" s="203">
        <v>5120</v>
      </c>
      <c r="DT29" s="202">
        <v>488</v>
      </c>
      <c r="DU29" s="202" t="s">
        <v>163</v>
      </c>
      <c r="DV29" s="202">
        <v>0</v>
      </c>
      <c r="DW29" s="202" t="s">
        <v>390</v>
      </c>
      <c r="DX29" s="202" t="s">
        <v>390</v>
      </c>
      <c r="DY29" s="202">
        <v>0</v>
      </c>
      <c r="DZ29" s="202" t="s">
        <v>163</v>
      </c>
      <c r="EA29" s="138"/>
    </row>
    <row r="30" spans="4:131" ht="17.25" customHeight="1">
      <c r="D30" s="56">
        <f t="shared" si="0"/>
        <v>0.54838709677419351</v>
      </c>
      <c r="G30" s="159">
        <f t="shared" si="1"/>
        <v>155</v>
      </c>
      <c r="H30" s="167">
        <v>1974</v>
      </c>
      <c r="I30" s="167">
        <v>211</v>
      </c>
      <c r="J30" s="167">
        <v>148</v>
      </c>
      <c r="K30" s="168">
        <v>59865</v>
      </c>
      <c r="L30" s="168">
        <v>2061</v>
      </c>
      <c r="M30" s="168">
        <v>8152</v>
      </c>
      <c r="N30" s="167"/>
      <c r="O30" s="168">
        <v>54280</v>
      </c>
      <c r="P30" s="168">
        <v>31928</v>
      </c>
      <c r="Q30" s="168">
        <v>5722</v>
      </c>
      <c r="R30" s="167"/>
      <c r="S30" s="168">
        <v>162007</v>
      </c>
      <c r="T30" s="167"/>
      <c r="U30" s="167">
        <v>68</v>
      </c>
      <c r="V30" s="167" t="s">
        <v>163</v>
      </c>
      <c r="W30" s="167" t="s">
        <v>163</v>
      </c>
      <c r="X30" s="167" t="s">
        <v>163</v>
      </c>
      <c r="Y30" s="167" t="s">
        <v>163</v>
      </c>
      <c r="Z30" s="167"/>
      <c r="AA30" s="168">
        <v>29525</v>
      </c>
      <c r="AB30" s="167" t="s">
        <v>163</v>
      </c>
      <c r="AC30" s="167"/>
      <c r="AD30" s="167" t="s">
        <v>163</v>
      </c>
      <c r="AE30" s="167"/>
      <c r="AF30" s="167" t="s">
        <v>163</v>
      </c>
      <c r="AG30" s="167"/>
      <c r="AH30" s="175">
        <v>1974</v>
      </c>
      <c r="AI30" s="175">
        <v>42</v>
      </c>
      <c r="AJ30" s="175">
        <v>85</v>
      </c>
      <c r="AK30" s="176">
        <v>39084</v>
      </c>
      <c r="AL30" s="175">
        <v>795</v>
      </c>
      <c r="AM30" s="175">
        <v>637</v>
      </c>
      <c r="AN30" s="176">
        <v>40516</v>
      </c>
      <c r="AO30" s="175" t="s">
        <v>163</v>
      </c>
      <c r="AP30" s="175" t="s">
        <v>163</v>
      </c>
      <c r="AQ30" s="175" t="s">
        <v>163</v>
      </c>
      <c r="AR30" s="176">
        <v>11443</v>
      </c>
      <c r="AS30" s="175" t="s">
        <v>163</v>
      </c>
      <c r="AT30" s="175" t="s">
        <v>163</v>
      </c>
      <c r="AU30" s="175"/>
      <c r="AV30" s="175" t="s">
        <v>163</v>
      </c>
      <c r="AW30" s="175"/>
      <c r="AX30" s="175">
        <v>1974</v>
      </c>
      <c r="AY30" s="175">
        <v>90</v>
      </c>
      <c r="AZ30" s="175">
        <v>37</v>
      </c>
      <c r="BA30" s="176">
        <v>13632</v>
      </c>
      <c r="BB30" s="175">
        <v>319</v>
      </c>
      <c r="BC30" s="175">
        <v>53</v>
      </c>
      <c r="BD30" s="175">
        <v>106</v>
      </c>
      <c r="BE30" s="176">
        <v>11127</v>
      </c>
      <c r="BF30" s="176">
        <v>25236</v>
      </c>
      <c r="BG30" s="175" t="s">
        <v>390</v>
      </c>
      <c r="BH30" s="175" t="s">
        <v>163</v>
      </c>
      <c r="BI30" s="175" t="s">
        <v>163</v>
      </c>
      <c r="BJ30" s="175" t="s">
        <v>390</v>
      </c>
      <c r="BK30" s="175"/>
      <c r="BL30" s="176">
        <v>10147</v>
      </c>
      <c r="BM30" s="175" t="s">
        <v>163</v>
      </c>
      <c r="BN30" s="175"/>
      <c r="BO30" s="175" t="s">
        <v>163</v>
      </c>
      <c r="BP30" s="175"/>
      <c r="BQ30" s="175" t="s">
        <v>163</v>
      </c>
      <c r="BR30" s="175"/>
      <c r="BS30" s="185">
        <v>1974</v>
      </c>
      <c r="BT30" s="185" t="s">
        <v>373</v>
      </c>
      <c r="BU30" s="185">
        <v>1</v>
      </c>
      <c r="BV30" s="185">
        <v>288</v>
      </c>
      <c r="BW30" s="186">
        <v>4403</v>
      </c>
      <c r="BX30" s="185">
        <v>37</v>
      </c>
      <c r="BY30" s="185"/>
      <c r="BZ30" s="186">
        <v>8152</v>
      </c>
      <c r="CA30" s="185"/>
      <c r="CB30" s="185">
        <v>456</v>
      </c>
      <c r="CC30" s="186">
        <v>54058</v>
      </c>
      <c r="CD30" s="186">
        <v>1446</v>
      </c>
      <c r="CE30" s="186">
        <v>68839</v>
      </c>
      <c r="CF30" s="185"/>
      <c r="CG30" s="185">
        <v>105</v>
      </c>
      <c r="CH30" s="185" t="s">
        <v>163</v>
      </c>
      <c r="CI30" s="185"/>
      <c r="CJ30" s="185" t="s">
        <v>163</v>
      </c>
      <c r="CK30" s="185" t="s">
        <v>163</v>
      </c>
      <c r="CL30" s="185"/>
      <c r="CM30" s="193">
        <v>1974</v>
      </c>
      <c r="CN30" s="193">
        <v>79</v>
      </c>
      <c r="CO30" s="193">
        <v>24</v>
      </c>
      <c r="CP30" s="194">
        <v>2746</v>
      </c>
      <c r="CQ30" s="193">
        <v>911</v>
      </c>
      <c r="CR30" s="193"/>
      <c r="CS30" s="193">
        <v>116</v>
      </c>
      <c r="CT30" s="194">
        <v>19355</v>
      </c>
      <c r="CU30" s="194">
        <v>4288</v>
      </c>
      <c r="CV30" s="193"/>
      <c r="CW30" s="194">
        <v>27416</v>
      </c>
      <c r="CX30" s="193"/>
      <c r="CY30" s="193">
        <v>68</v>
      </c>
      <c r="CZ30" s="193" t="s">
        <v>163</v>
      </c>
      <c r="DA30" s="193" t="s">
        <v>163</v>
      </c>
      <c r="DB30" s="193" t="s">
        <v>163</v>
      </c>
      <c r="DC30" s="193" t="s">
        <v>390</v>
      </c>
      <c r="DD30" s="193"/>
      <c r="DE30" s="194">
        <v>7830</v>
      </c>
      <c r="DF30" s="193" t="s">
        <v>163</v>
      </c>
      <c r="DG30" s="193"/>
      <c r="DH30" s="193" t="s">
        <v>163</v>
      </c>
      <c r="DI30" s="193"/>
      <c r="DJ30" s="193" t="s">
        <v>163</v>
      </c>
      <c r="DK30" s="193"/>
      <c r="DL30" s="202">
        <v>1974</v>
      </c>
      <c r="DM30" s="202">
        <v>908</v>
      </c>
      <c r="DN30" s="202">
        <v>7</v>
      </c>
      <c r="DO30" s="202">
        <v>778</v>
      </c>
      <c r="DP30" s="202">
        <v>0</v>
      </c>
      <c r="DQ30" s="203">
        <v>37172</v>
      </c>
      <c r="DR30" s="203">
        <v>37950</v>
      </c>
      <c r="DS30" s="203">
        <v>2885</v>
      </c>
      <c r="DT30" s="202">
        <v>359</v>
      </c>
      <c r="DU30" s="202" t="s">
        <v>163</v>
      </c>
      <c r="DV30" s="202">
        <v>0</v>
      </c>
      <c r="DW30" s="202" t="s">
        <v>390</v>
      </c>
      <c r="DX30" s="202" t="s">
        <v>390</v>
      </c>
      <c r="DY30" s="202">
        <v>0</v>
      </c>
      <c r="DZ30" s="202" t="s">
        <v>163</v>
      </c>
      <c r="EA30" s="138"/>
    </row>
    <row r="31" spans="4:131" ht="17.25" customHeight="1">
      <c r="D31" s="56">
        <f t="shared" si="0"/>
        <v>0.58441558441558439</v>
      </c>
      <c r="G31" s="159">
        <f t="shared" si="1"/>
        <v>154</v>
      </c>
      <c r="H31" s="167">
        <v>1975</v>
      </c>
      <c r="I31" s="167">
        <v>212</v>
      </c>
      <c r="J31" s="167">
        <v>153</v>
      </c>
      <c r="K31" s="168">
        <v>58204</v>
      </c>
      <c r="L31" s="168">
        <v>2315</v>
      </c>
      <c r="M31" s="168">
        <v>7967</v>
      </c>
      <c r="N31" s="167"/>
      <c r="O31" s="168">
        <v>54630</v>
      </c>
      <c r="P31" s="168">
        <v>26063</v>
      </c>
      <c r="Q31" s="168">
        <v>4504</v>
      </c>
      <c r="R31" s="167"/>
      <c r="S31" s="168">
        <v>153682</v>
      </c>
      <c r="T31" s="167"/>
      <c r="U31" s="167">
        <v>67</v>
      </c>
      <c r="V31" s="167" t="s">
        <v>163</v>
      </c>
      <c r="W31" s="167" t="s">
        <v>163</v>
      </c>
      <c r="X31" s="167" t="s">
        <v>163</v>
      </c>
      <c r="Y31" s="167" t="s">
        <v>163</v>
      </c>
      <c r="Z31" s="167"/>
      <c r="AA31" s="168">
        <v>29479</v>
      </c>
      <c r="AB31" s="167" t="s">
        <v>163</v>
      </c>
      <c r="AC31" s="167"/>
      <c r="AD31" s="167" t="s">
        <v>163</v>
      </c>
      <c r="AE31" s="167"/>
      <c r="AF31" s="167" t="s">
        <v>163</v>
      </c>
      <c r="AG31" s="167"/>
      <c r="AH31" s="175">
        <v>1975</v>
      </c>
      <c r="AI31" s="175">
        <v>30</v>
      </c>
      <c r="AJ31" s="175">
        <v>90</v>
      </c>
      <c r="AK31" s="176">
        <v>37860</v>
      </c>
      <c r="AL31" s="175">
        <v>845</v>
      </c>
      <c r="AM31" s="175">
        <v>591</v>
      </c>
      <c r="AN31" s="176">
        <v>39295</v>
      </c>
      <c r="AO31" s="175" t="s">
        <v>163</v>
      </c>
      <c r="AP31" s="175" t="s">
        <v>163</v>
      </c>
      <c r="AQ31" s="175" t="s">
        <v>163</v>
      </c>
      <c r="AR31" s="176">
        <v>10648</v>
      </c>
      <c r="AS31" s="175" t="s">
        <v>163</v>
      </c>
      <c r="AT31" s="175" t="s">
        <v>163</v>
      </c>
      <c r="AU31" s="175"/>
      <c r="AV31" s="175" t="s">
        <v>163</v>
      </c>
      <c r="AW31" s="175"/>
      <c r="AX31" s="175">
        <v>1975</v>
      </c>
      <c r="AY31" s="175">
        <v>71</v>
      </c>
      <c r="AZ31" s="175">
        <v>38</v>
      </c>
      <c r="BA31" s="176">
        <v>13204</v>
      </c>
      <c r="BB31" s="175">
        <v>338</v>
      </c>
      <c r="BC31" s="175">
        <v>49</v>
      </c>
      <c r="BD31" s="175">
        <v>109</v>
      </c>
      <c r="BE31" s="176">
        <v>9122</v>
      </c>
      <c r="BF31" s="176">
        <v>22823</v>
      </c>
      <c r="BG31" s="175" t="s">
        <v>390</v>
      </c>
      <c r="BH31" s="175" t="s">
        <v>163</v>
      </c>
      <c r="BI31" s="175" t="s">
        <v>163</v>
      </c>
      <c r="BJ31" s="175" t="s">
        <v>390</v>
      </c>
      <c r="BK31" s="175"/>
      <c r="BL31" s="176">
        <v>11397</v>
      </c>
      <c r="BM31" s="175" t="s">
        <v>163</v>
      </c>
      <c r="BN31" s="175"/>
      <c r="BO31" s="175" t="s">
        <v>163</v>
      </c>
      <c r="BP31" s="175"/>
      <c r="BQ31" s="175" t="s">
        <v>163</v>
      </c>
      <c r="BR31" s="175"/>
      <c r="BS31" s="185">
        <v>1975</v>
      </c>
      <c r="BT31" s="185" t="s">
        <v>373</v>
      </c>
      <c r="BU31" s="185">
        <v>1</v>
      </c>
      <c r="BV31" s="185">
        <v>228</v>
      </c>
      <c r="BW31" s="186">
        <v>4485</v>
      </c>
      <c r="BX31" s="185">
        <v>33</v>
      </c>
      <c r="BY31" s="185"/>
      <c r="BZ31" s="186">
        <v>7967</v>
      </c>
      <c r="CA31" s="185"/>
      <c r="CB31" s="185">
        <v>433</v>
      </c>
      <c r="CC31" s="186">
        <v>54440</v>
      </c>
      <c r="CD31" s="186">
        <v>1049</v>
      </c>
      <c r="CE31" s="186">
        <v>68634</v>
      </c>
      <c r="CF31" s="185"/>
      <c r="CG31" s="185">
        <v>105</v>
      </c>
      <c r="CH31" s="185" t="s">
        <v>163</v>
      </c>
      <c r="CI31" s="185"/>
      <c r="CJ31" s="185" t="s">
        <v>163</v>
      </c>
      <c r="CK31" s="185" t="s">
        <v>163</v>
      </c>
      <c r="CL31" s="185"/>
      <c r="CM31" s="193">
        <v>1975</v>
      </c>
      <c r="CN31" s="193">
        <v>110</v>
      </c>
      <c r="CO31" s="193">
        <v>24</v>
      </c>
      <c r="CP31" s="194">
        <v>2654</v>
      </c>
      <c r="CQ31" s="194">
        <v>1099</v>
      </c>
      <c r="CR31" s="193"/>
      <c r="CS31" s="193">
        <v>81</v>
      </c>
      <c r="CT31" s="194">
        <v>15891</v>
      </c>
      <c r="CU31" s="194">
        <v>3203</v>
      </c>
      <c r="CV31" s="193"/>
      <c r="CW31" s="194">
        <v>22928</v>
      </c>
      <c r="CX31" s="193"/>
      <c r="CY31" s="193">
        <v>67</v>
      </c>
      <c r="CZ31" s="193" t="s">
        <v>163</v>
      </c>
      <c r="DA31" s="193" t="s">
        <v>163</v>
      </c>
      <c r="DB31" s="193" t="s">
        <v>163</v>
      </c>
      <c r="DC31" s="193" t="s">
        <v>390</v>
      </c>
      <c r="DD31" s="193"/>
      <c r="DE31" s="194">
        <v>7330</v>
      </c>
      <c r="DF31" s="193" t="s">
        <v>163</v>
      </c>
      <c r="DG31" s="193"/>
      <c r="DH31" s="193" t="s">
        <v>163</v>
      </c>
      <c r="DI31" s="193"/>
      <c r="DJ31" s="193" t="s">
        <v>163</v>
      </c>
      <c r="DK31" s="193"/>
      <c r="DL31" s="202">
        <v>1975</v>
      </c>
      <c r="DM31" s="202">
        <v>804</v>
      </c>
      <c r="DN31" s="202">
        <v>1</v>
      </c>
      <c r="DO31" s="202">
        <v>503</v>
      </c>
      <c r="DP31" s="202">
        <v>0</v>
      </c>
      <c r="DQ31" s="203">
        <v>39912</v>
      </c>
      <c r="DR31" s="203">
        <v>40415</v>
      </c>
      <c r="DS31" s="203">
        <v>3781</v>
      </c>
      <c r="DT31" s="202">
        <v>350</v>
      </c>
      <c r="DU31" s="202" t="s">
        <v>163</v>
      </c>
      <c r="DV31" s="202">
        <v>0</v>
      </c>
      <c r="DW31" s="202" t="s">
        <v>390</v>
      </c>
      <c r="DX31" s="202" t="s">
        <v>390</v>
      </c>
      <c r="DY31" s="202">
        <v>0</v>
      </c>
      <c r="DZ31" s="202" t="s">
        <v>163</v>
      </c>
      <c r="EA31" s="138"/>
    </row>
    <row r="32" spans="4:131" ht="17.25" customHeight="1">
      <c r="D32" s="56">
        <f t="shared" si="0"/>
        <v>0.60897435897435892</v>
      </c>
      <c r="G32" s="159">
        <f t="shared" si="1"/>
        <v>156</v>
      </c>
      <c r="H32" s="167">
        <v>1976</v>
      </c>
      <c r="I32" s="167">
        <v>170</v>
      </c>
      <c r="J32" s="167">
        <v>154</v>
      </c>
      <c r="K32" s="168">
        <v>62533</v>
      </c>
      <c r="L32" s="168">
        <v>2556</v>
      </c>
      <c r="M32" s="168">
        <v>8005</v>
      </c>
      <c r="N32" s="167"/>
      <c r="O32" s="168">
        <v>56310</v>
      </c>
      <c r="P32" s="168">
        <v>28190</v>
      </c>
      <c r="Q32" s="168">
        <v>5126</v>
      </c>
      <c r="R32" s="167"/>
      <c r="S32" s="168">
        <v>162720</v>
      </c>
      <c r="T32" s="167"/>
      <c r="U32" s="167">
        <v>66</v>
      </c>
      <c r="V32" s="167" t="s">
        <v>163</v>
      </c>
      <c r="W32" s="167" t="s">
        <v>163</v>
      </c>
      <c r="X32" s="167" t="s">
        <v>163</v>
      </c>
      <c r="Y32" s="167" t="s">
        <v>163</v>
      </c>
      <c r="Z32" s="167"/>
      <c r="AA32" s="168">
        <v>31218</v>
      </c>
      <c r="AB32" s="167" t="s">
        <v>163</v>
      </c>
      <c r="AC32" s="167"/>
      <c r="AD32" s="167" t="s">
        <v>163</v>
      </c>
      <c r="AE32" s="167"/>
      <c r="AF32" s="167" t="s">
        <v>163</v>
      </c>
      <c r="AG32" s="167"/>
      <c r="AH32" s="175">
        <v>1976</v>
      </c>
      <c r="AI32" s="175">
        <v>28</v>
      </c>
      <c r="AJ32" s="175">
        <v>95</v>
      </c>
      <c r="AK32" s="176">
        <v>41000</v>
      </c>
      <c r="AL32" s="175">
        <v>893</v>
      </c>
      <c r="AM32" s="175">
        <v>644</v>
      </c>
      <c r="AN32" s="176">
        <v>42537</v>
      </c>
      <c r="AO32" s="175" t="s">
        <v>163</v>
      </c>
      <c r="AP32" s="175" t="s">
        <v>163</v>
      </c>
      <c r="AQ32" s="175" t="s">
        <v>163</v>
      </c>
      <c r="AR32" s="176">
        <v>11227</v>
      </c>
      <c r="AS32" s="175" t="s">
        <v>163</v>
      </c>
      <c r="AT32" s="175" t="s">
        <v>163</v>
      </c>
      <c r="AU32" s="175"/>
      <c r="AV32" s="175" t="s">
        <v>163</v>
      </c>
      <c r="AW32" s="175"/>
      <c r="AX32" s="175">
        <v>1976</v>
      </c>
      <c r="AY32" s="175">
        <v>68</v>
      </c>
      <c r="AZ32" s="175">
        <v>38</v>
      </c>
      <c r="BA32" s="176">
        <v>14300</v>
      </c>
      <c r="BB32" s="175">
        <v>358</v>
      </c>
      <c r="BC32" s="175">
        <v>54</v>
      </c>
      <c r="BD32" s="175">
        <v>112</v>
      </c>
      <c r="BE32" s="176">
        <v>9774</v>
      </c>
      <c r="BF32" s="176">
        <v>24597</v>
      </c>
      <c r="BG32" s="175" t="s">
        <v>390</v>
      </c>
      <c r="BH32" s="175" t="s">
        <v>163</v>
      </c>
      <c r="BI32" s="175" t="s">
        <v>163</v>
      </c>
      <c r="BJ32" s="175" t="s">
        <v>390</v>
      </c>
      <c r="BK32" s="175"/>
      <c r="BL32" s="176">
        <v>12100</v>
      </c>
      <c r="BM32" s="175" t="s">
        <v>163</v>
      </c>
      <c r="BN32" s="175"/>
      <c r="BO32" s="175" t="s">
        <v>163</v>
      </c>
      <c r="BP32" s="175"/>
      <c r="BQ32" s="175" t="s">
        <v>163</v>
      </c>
      <c r="BR32" s="175"/>
      <c r="BS32" s="185">
        <v>1976</v>
      </c>
      <c r="BT32" s="185" t="s">
        <v>373</v>
      </c>
      <c r="BU32" s="185">
        <v>1</v>
      </c>
      <c r="BV32" s="185">
        <v>220</v>
      </c>
      <c r="BW32" s="186">
        <v>4437</v>
      </c>
      <c r="BX32" s="185">
        <v>35</v>
      </c>
      <c r="BY32" s="185"/>
      <c r="BZ32" s="186">
        <v>8005</v>
      </c>
      <c r="CA32" s="185"/>
      <c r="CB32" s="185">
        <v>481</v>
      </c>
      <c r="CC32" s="186">
        <v>56128</v>
      </c>
      <c r="CD32" s="186">
        <v>1389</v>
      </c>
      <c r="CE32" s="186">
        <v>70694</v>
      </c>
      <c r="CF32" s="185"/>
      <c r="CG32" s="185">
        <v>105</v>
      </c>
      <c r="CH32" s="185" t="s">
        <v>163</v>
      </c>
      <c r="CI32" s="185"/>
      <c r="CJ32" s="185" t="s">
        <v>163</v>
      </c>
      <c r="CK32" s="185" t="s">
        <v>163</v>
      </c>
      <c r="CL32" s="185"/>
      <c r="CM32" s="193">
        <v>1976</v>
      </c>
      <c r="CN32" s="193">
        <v>74</v>
      </c>
      <c r="CO32" s="193">
        <v>20</v>
      </c>
      <c r="CP32" s="194">
        <v>2797</v>
      </c>
      <c r="CQ32" s="194">
        <v>1270</v>
      </c>
      <c r="CR32" s="193"/>
      <c r="CS32" s="193">
        <v>70</v>
      </c>
      <c r="CT32" s="194">
        <v>17027</v>
      </c>
      <c r="CU32" s="194">
        <v>3728</v>
      </c>
      <c r="CV32" s="193"/>
      <c r="CW32" s="194">
        <v>24891</v>
      </c>
      <c r="CX32" s="193"/>
      <c r="CY32" s="193">
        <v>66</v>
      </c>
      <c r="CZ32" s="193" t="s">
        <v>163</v>
      </c>
      <c r="DA32" s="193" t="s">
        <v>163</v>
      </c>
      <c r="DB32" s="193" t="s">
        <v>163</v>
      </c>
      <c r="DC32" s="193" t="s">
        <v>390</v>
      </c>
      <c r="DD32" s="193"/>
      <c r="DE32" s="194">
        <v>7785</v>
      </c>
      <c r="DF32" s="193" t="s">
        <v>163</v>
      </c>
      <c r="DG32" s="193"/>
      <c r="DH32" s="193" t="s">
        <v>163</v>
      </c>
      <c r="DI32" s="193"/>
      <c r="DJ32" s="193" t="s">
        <v>163</v>
      </c>
      <c r="DK32" s="193"/>
      <c r="DL32" s="202">
        <v>1976</v>
      </c>
      <c r="DM32" s="202">
        <v>0</v>
      </c>
      <c r="DN32" s="202">
        <v>2</v>
      </c>
      <c r="DO32" s="202">
        <v>373</v>
      </c>
      <c r="DP32" s="202">
        <v>0</v>
      </c>
      <c r="DQ32" s="203">
        <v>46194</v>
      </c>
      <c r="DR32" s="203">
        <v>46568</v>
      </c>
      <c r="DS32" s="203">
        <v>3664</v>
      </c>
      <c r="DT32" s="202">
        <v>424</v>
      </c>
      <c r="DU32" s="202" t="s">
        <v>163</v>
      </c>
      <c r="DV32" s="202">
        <v>0</v>
      </c>
      <c r="DW32" s="202" t="s">
        <v>390</v>
      </c>
      <c r="DX32" s="202" t="s">
        <v>390</v>
      </c>
      <c r="DY32" s="202">
        <v>0</v>
      </c>
      <c r="DZ32" s="202" t="s">
        <v>163</v>
      </c>
      <c r="EA32" s="138"/>
    </row>
    <row r="33" spans="1:131" ht="17.25" customHeight="1">
      <c r="D33" s="56">
        <f t="shared" si="0"/>
        <v>0.58125000000000004</v>
      </c>
      <c r="G33" s="159">
        <f t="shared" si="1"/>
        <v>160</v>
      </c>
      <c r="H33" s="167">
        <v>1977</v>
      </c>
      <c r="I33" s="167">
        <v>167</v>
      </c>
      <c r="J33" s="167">
        <v>157</v>
      </c>
      <c r="K33" s="168">
        <v>60678</v>
      </c>
      <c r="L33" s="168">
        <v>2984</v>
      </c>
      <c r="M33" s="168">
        <v>8756</v>
      </c>
      <c r="N33" s="167"/>
      <c r="O33" s="168">
        <v>56962</v>
      </c>
      <c r="P33" s="168">
        <v>24942</v>
      </c>
      <c r="Q33" s="168">
        <v>5054</v>
      </c>
      <c r="R33" s="167"/>
      <c r="S33" s="168">
        <v>159375</v>
      </c>
      <c r="T33" s="167"/>
      <c r="U33" s="167">
        <v>48</v>
      </c>
      <c r="V33" s="167" t="s">
        <v>163</v>
      </c>
      <c r="W33" s="167" t="s">
        <v>163</v>
      </c>
      <c r="X33" s="167" t="s">
        <v>163</v>
      </c>
      <c r="Y33" s="167" t="s">
        <v>163</v>
      </c>
      <c r="Z33" s="167"/>
      <c r="AA33" s="168">
        <v>31498</v>
      </c>
      <c r="AB33" s="167" t="s">
        <v>163</v>
      </c>
      <c r="AC33" s="167"/>
      <c r="AD33" s="167" t="s">
        <v>163</v>
      </c>
      <c r="AE33" s="167"/>
      <c r="AF33" s="167" t="s">
        <v>163</v>
      </c>
      <c r="AG33" s="167"/>
      <c r="AH33" s="175">
        <v>1977</v>
      </c>
      <c r="AI33" s="175">
        <v>26</v>
      </c>
      <c r="AJ33" s="175">
        <v>93</v>
      </c>
      <c r="AK33" s="176">
        <v>39889</v>
      </c>
      <c r="AL33" s="175">
        <v>988</v>
      </c>
      <c r="AM33" s="175">
        <v>672</v>
      </c>
      <c r="AN33" s="176">
        <v>41549</v>
      </c>
      <c r="AO33" s="175" t="s">
        <v>163</v>
      </c>
      <c r="AP33" s="175" t="s">
        <v>163</v>
      </c>
      <c r="AQ33" s="175" t="s">
        <v>163</v>
      </c>
      <c r="AR33" s="176">
        <v>11089</v>
      </c>
      <c r="AS33" s="175" t="s">
        <v>163</v>
      </c>
      <c r="AT33" s="175" t="s">
        <v>163</v>
      </c>
      <c r="AU33" s="175"/>
      <c r="AV33" s="175" t="s">
        <v>163</v>
      </c>
      <c r="AW33" s="175"/>
      <c r="AX33" s="175">
        <v>1977</v>
      </c>
      <c r="AY33" s="175">
        <v>66</v>
      </c>
      <c r="AZ33" s="175">
        <v>41</v>
      </c>
      <c r="BA33" s="176">
        <v>13912</v>
      </c>
      <c r="BB33" s="175">
        <v>396</v>
      </c>
      <c r="BC33" s="175">
        <v>56</v>
      </c>
      <c r="BD33" s="175">
        <v>112</v>
      </c>
      <c r="BE33" s="176">
        <v>8633</v>
      </c>
      <c r="BF33" s="176">
        <v>23110</v>
      </c>
      <c r="BG33" s="175" t="s">
        <v>390</v>
      </c>
      <c r="BH33" s="175" t="s">
        <v>163</v>
      </c>
      <c r="BI33" s="175" t="s">
        <v>163</v>
      </c>
      <c r="BJ33" s="175" t="s">
        <v>390</v>
      </c>
      <c r="BK33" s="175"/>
      <c r="BL33" s="176">
        <v>12353</v>
      </c>
      <c r="BM33" s="175" t="s">
        <v>163</v>
      </c>
      <c r="BN33" s="175"/>
      <c r="BO33" s="175" t="s">
        <v>163</v>
      </c>
      <c r="BP33" s="175"/>
      <c r="BQ33" s="175" t="s">
        <v>163</v>
      </c>
      <c r="BR33" s="175"/>
      <c r="BS33" s="185">
        <v>1977</v>
      </c>
      <c r="BT33" s="185" t="s">
        <v>373</v>
      </c>
      <c r="BU33" s="185">
        <v>0</v>
      </c>
      <c r="BV33" s="185">
        <v>271</v>
      </c>
      <c r="BW33" s="186">
        <v>4057</v>
      </c>
      <c r="BX33" s="185">
        <v>40</v>
      </c>
      <c r="BY33" s="185"/>
      <c r="BZ33" s="186">
        <v>8756</v>
      </c>
      <c r="CA33" s="185"/>
      <c r="CB33" s="185">
        <v>463</v>
      </c>
      <c r="CC33" s="186">
        <v>56731</v>
      </c>
      <c r="CD33" s="186">
        <v>1282</v>
      </c>
      <c r="CE33" s="186">
        <v>71600</v>
      </c>
      <c r="CF33" s="185"/>
      <c r="CG33" s="185">
        <v>105</v>
      </c>
      <c r="CH33" s="185" t="s">
        <v>163</v>
      </c>
      <c r="CI33" s="185"/>
      <c r="CJ33" s="185" t="s">
        <v>163</v>
      </c>
      <c r="CK33" s="185" t="s">
        <v>163</v>
      </c>
      <c r="CL33" s="185"/>
      <c r="CM33" s="193">
        <v>1977</v>
      </c>
      <c r="CN33" s="193">
        <v>76</v>
      </c>
      <c r="CO33" s="193">
        <v>23</v>
      </c>
      <c r="CP33" s="194">
        <v>2820</v>
      </c>
      <c r="CQ33" s="194">
        <v>1560</v>
      </c>
      <c r="CR33" s="193"/>
      <c r="CS33" s="193">
        <v>119</v>
      </c>
      <c r="CT33" s="194">
        <v>15026</v>
      </c>
      <c r="CU33" s="194">
        <v>3593</v>
      </c>
      <c r="CV33" s="193"/>
      <c r="CW33" s="194">
        <v>23117</v>
      </c>
      <c r="CX33" s="193"/>
      <c r="CY33" s="193">
        <v>48</v>
      </c>
      <c r="CZ33" s="193" t="s">
        <v>163</v>
      </c>
      <c r="DA33" s="193" t="s">
        <v>163</v>
      </c>
      <c r="DB33" s="193" t="s">
        <v>163</v>
      </c>
      <c r="DC33" s="193" t="s">
        <v>390</v>
      </c>
      <c r="DD33" s="193"/>
      <c r="DE33" s="194">
        <v>7951</v>
      </c>
      <c r="DF33" s="193" t="s">
        <v>163</v>
      </c>
      <c r="DG33" s="193"/>
      <c r="DH33" s="193" t="s">
        <v>163</v>
      </c>
      <c r="DI33" s="193"/>
      <c r="DJ33" s="193" t="s">
        <v>163</v>
      </c>
      <c r="DK33" s="193"/>
      <c r="DL33" s="202">
        <v>1977</v>
      </c>
      <c r="DM33" s="202">
        <v>0</v>
      </c>
      <c r="DN33" s="202">
        <v>3</v>
      </c>
      <c r="DO33" s="202">
        <v>348</v>
      </c>
      <c r="DP33" s="202">
        <v>0</v>
      </c>
      <c r="DQ33" s="203">
        <v>46571</v>
      </c>
      <c r="DR33" s="203">
        <v>46919</v>
      </c>
      <c r="DS33" s="203">
        <v>3675</v>
      </c>
      <c r="DT33" s="202">
        <v>375</v>
      </c>
      <c r="DU33" s="202" t="s">
        <v>163</v>
      </c>
      <c r="DV33" s="202">
        <v>0</v>
      </c>
      <c r="DW33" s="202" t="s">
        <v>390</v>
      </c>
      <c r="DX33" s="202" t="s">
        <v>390</v>
      </c>
      <c r="DY33" s="202">
        <v>0</v>
      </c>
      <c r="DZ33" s="202" t="s">
        <v>163</v>
      </c>
      <c r="EA33" s="138"/>
    </row>
    <row r="34" spans="1:131" ht="7.5" customHeight="1">
      <c r="D34" s="56">
        <f t="shared" si="0"/>
        <v>0.54037267080745344</v>
      </c>
      <c r="G34" s="159">
        <f t="shared" si="1"/>
        <v>161</v>
      </c>
      <c r="H34" s="167">
        <v>1978</v>
      </c>
      <c r="I34" s="167">
        <v>131</v>
      </c>
      <c r="J34" s="167">
        <v>159</v>
      </c>
      <c r="K34" s="168">
        <v>58444</v>
      </c>
      <c r="L34" s="168">
        <v>2785</v>
      </c>
      <c r="M34" s="168">
        <v>8454</v>
      </c>
      <c r="N34" s="167"/>
      <c r="O34" s="168">
        <v>57539</v>
      </c>
      <c r="P34" s="168">
        <v>21440</v>
      </c>
      <c r="Q34" s="168">
        <v>4971</v>
      </c>
      <c r="R34" s="167"/>
      <c r="S34" s="168">
        <v>153632</v>
      </c>
      <c r="T34" s="167"/>
      <c r="U34" s="167">
        <v>51</v>
      </c>
      <c r="V34" s="167" t="s">
        <v>163</v>
      </c>
      <c r="W34" s="167" t="s">
        <v>163</v>
      </c>
      <c r="X34" s="167" t="s">
        <v>163</v>
      </c>
      <c r="Y34" s="167" t="s">
        <v>163</v>
      </c>
      <c r="Z34" s="167"/>
      <c r="AA34" s="168">
        <v>32272</v>
      </c>
      <c r="AB34" s="167" t="s">
        <v>163</v>
      </c>
      <c r="AC34" s="167"/>
      <c r="AD34" s="167" t="s">
        <v>163</v>
      </c>
      <c r="AE34" s="167"/>
      <c r="AF34" s="167" t="s">
        <v>163</v>
      </c>
      <c r="AG34" s="167"/>
      <c r="AH34" s="175">
        <v>1978</v>
      </c>
      <c r="AI34" s="175">
        <v>15</v>
      </c>
      <c r="AJ34" s="175">
        <v>87</v>
      </c>
      <c r="AK34" s="176">
        <v>38110</v>
      </c>
      <c r="AL34" s="175">
        <v>949</v>
      </c>
      <c r="AM34" s="175">
        <v>456</v>
      </c>
      <c r="AN34" s="176">
        <v>39515</v>
      </c>
      <c r="AO34" s="175" t="s">
        <v>163</v>
      </c>
      <c r="AP34" s="175" t="s">
        <v>163</v>
      </c>
      <c r="AQ34" s="175" t="s">
        <v>163</v>
      </c>
      <c r="AR34" s="176">
        <v>11242</v>
      </c>
      <c r="AS34" s="175" t="s">
        <v>163</v>
      </c>
      <c r="AT34" s="175" t="s">
        <v>163</v>
      </c>
      <c r="AU34" s="175"/>
      <c r="AV34" s="175" t="s">
        <v>163</v>
      </c>
      <c r="AW34" s="175"/>
      <c r="AX34" s="175">
        <v>1978</v>
      </c>
      <c r="AY34" s="175">
        <v>49</v>
      </c>
      <c r="AZ34" s="175">
        <v>46</v>
      </c>
      <c r="BA34" s="176">
        <v>13292</v>
      </c>
      <c r="BB34" s="175">
        <v>380</v>
      </c>
      <c r="BC34" s="175">
        <v>38</v>
      </c>
      <c r="BD34" s="175">
        <v>189</v>
      </c>
      <c r="BE34" s="176">
        <v>7524</v>
      </c>
      <c r="BF34" s="176">
        <v>21423</v>
      </c>
      <c r="BG34" s="175" t="s">
        <v>390</v>
      </c>
      <c r="BH34" s="175" t="s">
        <v>163</v>
      </c>
      <c r="BI34" s="175" t="s">
        <v>163</v>
      </c>
      <c r="BJ34" s="175" t="s">
        <v>390</v>
      </c>
      <c r="BK34" s="175"/>
      <c r="BL34" s="176">
        <v>12682</v>
      </c>
      <c r="BM34" s="175" t="s">
        <v>163</v>
      </c>
      <c r="BN34" s="175"/>
      <c r="BO34" s="175" t="s">
        <v>163</v>
      </c>
      <c r="BP34" s="175"/>
      <c r="BQ34" s="175" t="s">
        <v>163</v>
      </c>
      <c r="BR34" s="175"/>
      <c r="BS34" s="185">
        <v>1978</v>
      </c>
      <c r="BT34" s="185">
        <v>0</v>
      </c>
      <c r="BU34" s="185">
        <v>1</v>
      </c>
      <c r="BV34" s="185">
        <v>362</v>
      </c>
      <c r="BW34" s="186">
        <v>4474</v>
      </c>
      <c r="BX34" s="185">
        <v>53</v>
      </c>
      <c r="BY34" s="185"/>
      <c r="BZ34" s="186">
        <v>8454</v>
      </c>
      <c r="CA34" s="185"/>
      <c r="CB34" s="185">
        <v>497</v>
      </c>
      <c r="CC34" s="186">
        <v>57261</v>
      </c>
      <c r="CD34" s="185">
        <v>832</v>
      </c>
      <c r="CE34" s="186">
        <v>71932</v>
      </c>
      <c r="CF34" s="185"/>
      <c r="CG34" s="185">
        <v>113</v>
      </c>
      <c r="CH34" s="185" t="s">
        <v>163</v>
      </c>
      <c r="CI34" s="185"/>
      <c r="CJ34" s="185" t="s">
        <v>163</v>
      </c>
      <c r="CK34" s="185" t="s">
        <v>163</v>
      </c>
      <c r="CL34" s="185"/>
      <c r="CM34" s="193">
        <v>1978</v>
      </c>
      <c r="CN34" s="193">
        <v>67</v>
      </c>
      <c r="CO34" s="193">
        <v>26</v>
      </c>
      <c r="CP34" s="194">
        <v>2569</v>
      </c>
      <c r="CQ34" s="194">
        <v>1404</v>
      </c>
      <c r="CR34" s="193"/>
      <c r="CS34" s="193">
        <v>89</v>
      </c>
      <c r="CT34" s="194">
        <v>13083</v>
      </c>
      <c r="CU34" s="194">
        <v>3617</v>
      </c>
      <c r="CV34" s="193"/>
      <c r="CW34" s="194">
        <v>20763</v>
      </c>
      <c r="CX34" s="193"/>
      <c r="CY34" s="193">
        <v>51</v>
      </c>
      <c r="CZ34" s="193" t="s">
        <v>163</v>
      </c>
      <c r="DA34" s="193" t="s">
        <v>163</v>
      </c>
      <c r="DB34" s="193" t="s">
        <v>163</v>
      </c>
      <c r="DC34" s="193" t="s">
        <v>390</v>
      </c>
      <c r="DD34" s="193"/>
      <c r="DE34" s="194">
        <v>8235</v>
      </c>
      <c r="DF34" s="193" t="s">
        <v>163</v>
      </c>
      <c r="DG34" s="193"/>
      <c r="DH34" s="193" t="s">
        <v>163</v>
      </c>
      <c r="DI34" s="193"/>
      <c r="DJ34" s="193" t="s">
        <v>163</v>
      </c>
      <c r="DK34" s="193"/>
      <c r="DL34" s="202">
        <v>1978</v>
      </c>
      <c r="DM34" s="202">
        <v>0</v>
      </c>
      <c r="DN34" s="202">
        <v>2</v>
      </c>
      <c r="DO34" s="202">
        <v>360</v>
      </c>
      <c r="DP34" s="202">
        <v>0</v>
      </c>
      <c r="DQ34" s="203">
        <v>48409</v>
      </c>
      <c r="DR34" s="203">
        <v>48769</v>
      </c>
      <c r="DS34" s="203">
        <v>5570</v>
      </c>
      <c r="DT34" s="202">
        <v>163</v>
      </c>
      <c r="DU34" s="202" t="s">
        <v>163</v>
      </c>
      <c r="DV34" s="202">
        <v>0</v>
      </c>
      <c r="DW34" s="202" t="s">
        <v>390</v>
      </c>
      <c r="DX34" s="202" t="s">
        <v>390</v>
      </c>
      <c r="DY34" s="202">
        <v>0</v>
      </c>
      <c r="DZ34" s="202" t="s">
        <v>163</v>
      </c>
      <c r="EA34" s="138"/>
    </row>
    <row r="35" spans="1:131" ht="100.5" customHeight="1">
      <c r="A35" s="214" t="s">
        <v>440</v>
      </c>
      <c r="B35" s="214" t="s">
        <v>458</v>
      </c>
      <c r="C35" s="206" t="s">
        <v>438</v>
      </c>
      <c r="D35" s="207">
        <f t="shared" si="0"/>
        <v>0.51592356687898089</v>
      </c>
      <c r="E35" s="206" t="s">
        <v>437</v>
      </c>
      <c r="F35" s="206"/>
      <c r="G35" s="159">
        <f t="shared" si="1"/>
        <v>157</v>
      </c>
      <c r="H35" s="167">
        <v>1979</v>
      </c>
      <c r="I35" s="167">
        <v>136</v>
      </c>
      <c r="J35" s="167">
        <v>150</v>
      </c>
      <c r="K35" s="168">
        <v>43013</v>
      </c>
      <c r="L35" s="168">
        <v>2234</v>
      </c>
      <c r="M35" s="168">
        <v>8712</v>
      </c>
      <c r="N35" s="167"/>
      <c r="O35" s="168">
        <v>55533</v>
      </c>
      <c r="P35" s="168">
        <v>12162</v>
      </c>
      <c r="Q35" s="168">
        <v>4503</v>
      </c>
      <c r="R35" s="167"/>
      <c r="S35" s="168">
        <v>126157</v>
      </c>
      <c r="T35" s="167"/>
      <c r="U35" s="167">
        <v>65</v>
      </c>
      <c r="V35" s="167" t="s">
        <v>163</v>
      </c>
      <c r="W35" s="167" t="s">
        <v>163</v>
      </c>
      <c r="X35" s="167" t="s">
        <v>163</v>
      </c>
      <c r="Y35" s="167" t="s">
        <v>163</v>
      </c>
      <c r="Z35" s="167"/>
      <c r="AA35" s="168">
        <v>32941</v>
      </c>
      <c r="AB35" s="167" t="s">
        <v>163</v>
      </c>
      <c r="AC35" s="167"/>
      <c r="AD35" s="167" t="s">
        <v>163</v>
      </c>
      <c r="AE35" s="167"/>
      <c r="AF35" s="167" t="s">
        <v>163</v>
      </c>
      <c r="AG35" s="167"/>
      <c r="AH35" s="175">
        <v>1979</v>
      </c>
      <c r="AI35" s="175">
        <v>11</v>
      </c>
      <c r="AJ35" s="175">
        <v>81</v>
      </c>
      <c r="AK35" s="176">
        <v>26272</v>
      </c>
      <c r="AL35" s="175">
        <v>542</v>
      </c>
      <c r="AM35" s="175">
        <v>433</v>
      </c>
      <c r="AN35" s="176">
        <v>27247</v>
      </c>
      <c r="AO35" s="175" t="s">
        <v>163</v>
      </c>
      <c r="AP35" s="175" t="s">
        <v>163</v>
      </c>
      <c r="AQ35" s="175" t="s">
        <v>163</v>
      </c>
      <c r="AR35" s="176">
        <v>11422</v>
      </c>
      <c r="AS35" s="175" t="s">
        <v>163</v>
      </c>
      <c r="AT35" s="175" t="s">
        <v>163</v>
      </c>
      <c r="AU35" s="175"/>
      <c r="AV35" s="175" t="s">
        <v>163</v>
      </c>
      <c r="AW35" s="175"/>
      <c r="AX35" s="175">
        <v>1979</v>
      </c>
      <c r="AY35" s="175">
        <v>43</v>
      </c>
      <c r="AZ35" s="175">
        <v>47</v>
      </c>
      <c r="BA35" s="176">
        <v>9163</v>
      </c>
      <c r="BB35" s="175">
        <v>217</v>
      </c>
      <c r="BC35" s="175">
        <v>36</v>
      </c>
      <c r="BD35" s="175">
        <v>190</v>
      </c>
      <c r="BE35" s="176">
        <v>3777</v>
      </c>
      <c r="BF35" s="176">
        <v>13384</v>
      </c>
      <c r="BG35" s="175" t="s">
        <v>390</v>
      </c>
      <c r="BH35" s="175" t="s">
        <v>163</v>
      </c>
      <c r="BI35" s="175" t="s">
        <v>163</v>
      </c>
      <c r="BJ35" s="175" t="s">
        <v>390</v>
      </c>
      <c r="BK35" s="175"/>
      <c r="BL35" s="176">
        <v>12963</v>
      </c>
      <c r="BM35" s="175" t="s">
        <v>163</v>
      </c>
      <c r="BN35" s="175"/>
      <c r="BO35" s="175" t="s">
        <v>163</v>
      </c>
      <c r="BP35" s="175"/>
      <c r="BQ35" s="175" t="s">
        <v>163</v>
      </c>
      <c r="BR35" s="175"/>
      <c r="BS35" s="185">
        <v>1979</v>
      </c>
      <c r="BT35" s="185">
        <v>0</v>
      </c>
      <c r="BU35" s="185">
        <v>1</v>
      </c>
      <c r="BV35" s="185">
        <v>269</v>
      </c>
      <c r="BW35" s="186">
        <v>5142</v>
      </c>
      <c r="BX35" s="185">
        <v>39</v>
      </c>
      <c r="BY35" s="185"/>
      <c r="BZ35" s="186">
        <v>8712</v>
      </c>
      <c r="CA35" s="185"/>
      <c r="CB35" s="185">
        <v>520</v>
      </c>
      <c r="CC35" s="186">
        <v>55233</v>
      </c>
      <c r="CD35" s="186">
        <v>1531</v>
      </c>
      <c r="CE35" s="186">
        <v>71447</v>
      </c>
      <c r="CF35" s="185"/>
      <c r="CG35" s="185">
        <v>113</v>
      </c>
      <c r="CH35" s="185" t="s">
        <v>163</v>
      </c>
      <c r="CI35" s="185"/>
      <c r="CJ35" s="185" t="s">
        <v>163</v>
      </c>
      <c r="CK35" s="185" t="s">
        <v>163</v>
      </c>
      <c r="CL35" s="185"/>
      <c r="CM35" s="193">
        <v>1979</v>
      </c>
      <c r="CN35" s="193">
        <v>82</v>
      </c>
      <c r="CO35" s="193">
        <v>21</v>
      </c>
      <c r="CP35" s="194">
        <v>2436</v>
      </c>
      <c r="CQ35" s="194">
        <v>1436</v>
      </c>
      <c r="CR35" s="193"/>
      <c r="CS35" s="193">
        <v>109</v>
      </c>
      <c r="CT35" s="194">
        <v>6854</v>
      </c>
      <c r="CU35" s="194">
        <v>3244</v>
      </c>
      <c r="CV35" s="193"/>
      <c r="CW35" s="194">
        <v>14079</v>
      </c>
      <c r="CX35" s="193"/>
      <c r="CY35" s="193">
        <v>65</v>
      </c>
      <c r="CZ35" s="193" t="s">
        <v>163</v>
      </c>
      <c r="DA35" s="193" t="s">
        <v>163</v>
      </c>
      <c r="DB35" s="193" t="s">
        <v>163</v>
      </c>
      <c r="DC35" s="193" t="s">
        <v>390</v>
      </c>
      <c r="DD35" s="193"/>
      <c r="DE35" s="194">
        <v>8443</v>
      </c>
      <c r="DF35" s="193" t="s">
        <v>163</v>
      </c>
      <c r="DG35" s="193"/>
      <c r="DH35" s="193" t="s">
        <v>163</v>
      </c>
      <c r="DI35" s="193"/>
      <c r="DJ35" s="193" t="s">
        <v>163</v>
      </c>
      <c r="DK35" s="193"/>
      <c r="DL35" s="202">
        <v>1979</v>
      </c>
      <c r="DM35" s="202">
        <v>50</v>
      </c>
      <c r="DN35" s="202">
        <v>7</v>
      </c>
      <c r="DO35" s="202">
        <v>454</v>
      </c>
      <c r="DP35" s="202">
        <v>0</v>
      </c>
      <c r="DQ35" s="203">
        <v>45368</v>
      </c>
      <c r="DR35" s="203">
        <v>45822</v>
      </c>
      <c r="DS35" s="203">
        <v>6077</v>
      </c>
      <c r="DT35" s="202">
        <v>373</v>
      </c>
      <c r="DU35" s="202" t="s">
        <v>163</v>
      </c>
      <c r="DV35" s="202">
        <v>0</v>
      </c>
      <c r="DW35" s="202" t="s">
        <v>390</v>
      </c>
      <c r="DX35" s="202" t="s">
        <v>390</v>
      </c>
      <c r="DY35" s="202">
        <v>0</v>
      </c>
      <c r="DZ35" s="202" t="s">
        <v>163</v>
      </c>
      <c r="EA35" s="138"/>
    </row>
    <row r="36" spans="1:131" ht="17.25" customHeight="1">
      <c r="A36" s="205">
        <f>1.028*C36</f>
        <v>8.1139197377049186</v>
      </c>
      <c r="B36" s="205">
        <f>+C36*'EIA Emissions'!$C$3/1000</f>
        <v>433084.41245901637</v>
      </c>
      <c r="C36" s="208">
        <f>D36*E36</f>
        <v>7.8929180327868851</v>
      </c>
      <c r="D36" s="207">
        <f t="shared" si="0"/>
        <v>0.51366120218579236</v>
      </c>
      <c r="E36" s="208">
        <f>'EIA Energy Use '!B85/1000</f>
        <v>15.366</v>
      </c>
      <c r="F36" s="208"/>
      <c r="G36" s="159">
        <f t="shared" si="1"/>
        <v>183</v>
      </c>
      <c r="H36" s="167">
        <v>1980</v>
      </c>
      <c r="I36" s="167">
        <v>198</v>
      </c>
      <c r="J36" s="167">
        <v>178</v>
      </c>
      <c r="K36" s="168">
        <v>37006</v>
      </c>
      <c r="L36" s="168">
        <v>2125</v>
      </c>
      <c r="M36" s="168">
        <v>8563</v>
      </c>
      <c r="N36" s="167"/>
      <c r="O36" s="168">
        <v>51443</v>
      </c>
      <c r="P36" s="168">
        <v>8417</v>
      </c>
      <c r="Q36" s="168">
        <v>4052</v>
      </c>
      <c r="R36" s="167"/>
      <c r="S36" s="168">
        <v>111607</v>
      </c>
      <c r="T36" s="167"/>
      <c r="U36" s="167">
        <v>63</v>
      </c>
      <c r="V36" s="167" t="s">
        <v>163</v>
      </c>
      <c r="W36" s="167" t="s">
        <v>163</v>
      </c>
      <c r="X36" s="167" t="s">
        <v>163</v>
      </c>
      <c r="Y36" s="167" t="s">
        <v>163</v>
      </c>
      <c r="Z36" s="167"/>
      <c r="AA36" s="168">
        <v>33271</v>
      </c>
      <c r="AB36" s="167" t="s">
        <v>163</v>
      </c>
      <c r="AC36" s="167"/>
      <c r="AD36" s="167" t="s">
        <v>163</v>
      </c>
      <c r="AE36" s="167"/>
      <c r="AF36" s="167" t="s">
        <v>163</v>
      </c>
      <c r="AG36" s="167"/>
      <c r="AH36" s="175">
        <v>1980</v>
      </c>
      <c r="AI36" s="175">
        <v>21</v>
      </c>
      <c r="AJ36" s="175">
        <v>94</v>
      </c>
      <c r="AK36" s="176">
        <v>22712</v>
      </c>
      <c r="AL36" s="175">
        <v>567</v>
      </c>
      <c r="AM36" s="175">
        <v>323</v>
      </c>
      <c r="AN36" s="176">
        <v>23602</v>
      </c>
      <c r="AO36" s="175" t="s">
        <v>163</v>
      </c>
      <c r="AP36" s="175" t="s">
        <v>163</v>
      </c>
      <c r="AQ36" s="175" t="s">
        <v>163</v>
      </c>
      <c r="AR36" s="176">
        <v>11571</v>
      </c>
      <c r="AS36" s="175" t="s">
        <v>163</v>
      </c>
      <c r="AT36" s="175" t="s">
        <v>163</v>
      </c>
      <c r="AU36" s="175"/>
      <c r="AV36" s="175" t="s">
        <v>163</v>
      </c>
      <c r="AW36" s="175"/>
      <c r="AX36" s="175">
        <v>1980</v>
      </c>
      <c r="AY36" s="175">
        <v>79</v>
      </c>
      <c r="AZ36" s="175">
        <v>53</v>
      </c>
      <c r="BA36" s="176">
        <v>7510</v>
      </c>
      <c r="BB36" s="175">
        <v>227</v>
      </c>
      <c r="BC36" s="175">
        <v>30</v>
      </c>
      <c r="BD36" s="175">
        <v>191</v>
      </c>
      <c r="BE36" s="176">
        <v>4854</v>
      </c>
      <c r="BF36" s="176">
        <v>12812</v>
      </c>
      <c r="BG36" s="175" t="s">
        <v>390</v>
      </c>
      <c r="BH36" s="175" t="s">
        <v>163</v>
      </c>
      <c r="BI36" s="175" t="s">
        <v>163</v>
      </c>
      <c r="BJ36" s="175" t="s">
        <v>390</v>
      </c>
      <c r="BK36" s="175"/>
      <c r="BL36" s="176">
        <v>13047</v>
      </c>
      <c r="BM36" s="175" t="s">
        <v>163</v>
      </c>
      <c r="BN36" s="175"/>
      <c r="BO36" s="175" t="s">
        <v>163</v>
      </c>
      <c r="BP36" s="175"/>
      <c r="BQ36" s="175" t="s">
        <v>163</v>
      </c>
      <c r="BR36" s="175"/>
      <c r="BS36" s="185">
        <v>1980</v>
      </c>
      <c r="BT36" s="185">
        <v>0</v>
      </c>
      <c r="BU36" s="185">
        <v>1</v>
      </c>
      <c r="BV36" s="185">
        <v>274</v>
      </c>
      <c r="BW36" s="186">
        <v>4900</v>
      </c>
      <c r="BX36" s="185">
        <v>26</v>
      </c>
      <c r="BY36" s="185"/>
      <c r="BZ36" s="186">
        <v>8563</v>
      </c>
      <c r="CA36" s="185"/>
      <c r="CB36" s="185">
        <v>463</v>
      </c>
      <c r="CC36" s="186">
        <v>51161</v>
      </c>
      <c r="CD36" s="185">
        <v>900</v>
      </c>
      <c r="CE36" s="186">
        <v>66287</v>
      </c>
      <c r="CF36" s="185"/>
      <c r="CG36" s="185">
        <v>167</v>
      </c>
      <c r="CH36" s="185" t="s">
        <v>163</v>
      </c>
      <c r="CI36" s="185"/>
      <c r="CJ36" s="185" t="s">
        <v>163</v>
      </c>
      <c r="CK36" s="185" t="s">
        <v>163</v>
      </c>
      <c r="CL36" s="185"/>
      <c r="CM36" s="193">
        <v>1980</v>
      </c>
      <c r="CN36" s="193">
        <v>98</v>
      </c>
      <c r="CO36" s="193">
        <v>29</v>
      </c>
      <c r="CP36" s="194">
        <v>1886</v>
      </c>
      <c r="CQ36" s="194">
        <v>1305</v>
      </c>
      <c r="CR36" s="193"/>
      <c r="CS36" s="193">
        <v>91</v>
      </c>
      <c r="CT36" s="194">
        <v>2663</v>
      </c>
      <c r="CU36" s="194">
        <v>2962</v>
      </c>
      <c r="CV36" s="193"/>
      <c r="CW36" s="194">
        <v>8906</v>
      </c>
      <c r="CX36" s="193"/>
      <c r="CY36" s="193">
        <v>63</v>
      </c>
      <c r="CZ36" s="193" t="s">
        <v>163</v>
      </c>
      <c r="DA36" s="193" t="s">
        <v>163</v>
      </c>
      <c r="DB36" s="193" t="s">
        <v>163</v>
      </c>
      <c r="DC36" s="193" t="s">
        <v>390</v>
      </c>
      <c r="DD36" s="193"/>
      <c r="DE36" s="194">
        <v>8486</v>
      </c>
      <c r="DF36" s="193" t="s">
        <v>163</v>
      </c>
      <c r="DG36" s="193"/>
      <c r="DH36" s="193" t="s">
        <v>163</v>
      </c>
      <c r="DI36" s="193"/>
      <c r="DJ36" s="193" t="s">
        <v>163</v>
      </c>
      <c r="DK36" s="193"/>
      <c r="DL36" s="202">
        <v>1980</v>
      </c>
      <c r="DM36" s="202">
        <v>676</v>
      </c>
      <c r="DN36" s="202">
        <v>5</v>
      </c>
      <c r="DO36" s="202">
        <v>616</v>
      </c>
      <c r="DP36" s="202">
        <v>0</v>
      </c>
      <c r="DQ36" s="203">
        <v>45726</v>
      </c>
      <c r="DR36" s="203">
        <v>46342</v>
      </c>
      <c r="DS36" s="203">
        <v>3232</v>
      </c>
      <c r="DT36" s="202">
        <v>96</v>
      </c>
      <c r="DU36" s="202" t="s">
        <v>163</v>
      </c>
      <c r="DV36" s="202">
        <v>0</v>
      </c>
      <c r="DW36" s="202" t="s">
        <v>390</v>
      </c>
      <c r="DX36" s="202" t="s">
        <v>390</v>
      </c>
      <c r="DY36" s="202">
        <v>0</v>
      </c>
      <c r="DZ36" s="202" t="s">
        <v>163</v>
      </c>
      <c r="EA36" s="138"/>
    </row>
    <row r="37" spans="1:131" ht="17.25" customHeight="1">
      <c r="A37" s="205">
        <f t="shared" ref="A37:A50" si="2">1.028*C37</f>
        <v>11.765409989189189</v>
      </c>
      <c r="B37" s="205">
        <f>+C37*'EIA Emissions'!$C$3/1000</f>
        <v>627984.48064864858</v>
      </c>
      <c r="C37" s="208">
        <f t="shared" ref="C37:C50" si="3">D37*E37</f>
        <v>11.444951351351351</v>
      </c>
      <c r="D37" s="207">
        <f t="shared" si="0"/>
        <v>0.5243243243243243</v>
      </c>
      <c r="E37" s="208">
        <f>'EIA Energy Use '!B86/1000</f>
        <v>21.827999999999999</v>
      </c>
      <c r="F37" s="208"/>
      <c r="G37" s="159">
        <f t="shared" si="1"/>
        <v>185</v>
      </c>
      <c r="H37" s="167">
        <v>1981</v>
      </c>
      <c r="I37" s="167">
        <v>190</v>
      </c>
      <c r="J37" s="167">
        <v>178</v>
      </c>
      <c r="K37" s="168">
        <v>31754</v>
      </c>
      <c r="L37" s="168">
        <v>2572</v>
      </c>
      <c r="M37" s="168">
        <v>7982</v>
      </c>
      <c r="N37" s="167"/>
      <c r="O37" s="168">
        <v>52079</v>
      </c>
      <c r="P37" s="168">
        <v>8930</v>
      </c>
      <c r="Q37" s="168">
        <v>3988</v>
      </c>
      <c r="R37" s="167"/>
      <c r="S37" s="168">
        <v>107306</v>
      </c>
      <c r="T37" s="167"/>
      <c r="U37" s="167">
        <v>63</v>
      </c>
      <c r="V37" s="167" t="s">
        <v>163</v>
      </c>
      <c r="W37" s="167" t="s">
        <v>163</v>
      </c>
      <c r="X37" s="167" t="s">
        <v>163</v>
      </c>
      <c r="Y37" s="167" t="s">
        <v>163</v>
      </c>
      <c r="Z37" s="167"/>
      <c r="AA37" s="168">
        <v>34164</v>
      </c>
      <c r="AB37" s="167" t="s">
        <v>163</v>
      </c>
      <c r="AC37" s="167"/>
      <c r="AD37" s="167" t="s">
        <v>163</v>
      </c>
      <c r="AE37" s="167"/>
      <c r="AF37" s="167" t="s">
        <v>163</v>
      </c>
      <c r="AG37" s="167"/>
      <c r="AH37" s="175">
        <v>1981</v>
      </c>
      <c r="AI37" s="175">
        <v>23</v>
      </c>
      <c r="AJ37" s="175">
        <v>97</v>
      </c>
      <c r="AK37" s="176">
        <v>18702</v>
      </c>
      <c r="AL37" s="175">
        <v>599</v>
      </c>
      <c r="AM37" s="175">
        <v>181</v>
      </c>
      <c r="AN37" s="176">
        <v>19482</v>
      </c>
      <c r="AO37" s="175" t="s">
        <v>163</v>
      </c>
      <c r="AP37" s="175" t="s">
        <v>163</v>
      </c>
      <c r="AQ37" s="175" t="s">
        <v>163</v>
      </c>
      <c r="AR37" s="176">
        <v>11684</v>
      </c>
      <c r="AS37" s="175" t="s">
        <v>163</v>
      </c>
      <c r="AT37" s="175" t="s">
        <v>163</v>
      </c>
      <c r="AU37" s="175"/>
      <c r="AV37" s="175" t="s">
        <v>163</v>
      </c>
      <c r="AW37" s="175"/>
      <c r="AX37" s="175">
        <v>1981</v>
      </c>
      <c r="AY37" s="175">
        <v>107</v>
      </c>
      <c r="AZ37" s="175">
        <v>50</v>
      </c>
      <c r="BA37" s="176">
        <v>5759</v>
      </c>
      <c r="BB37" s="175">
        <v>240</v>
      </c>
      <c r="BC37" s="175">
        <v>9</v>
      </c>
      <c r="BD37" s="175">
        <v>206</v>
      </c>
      <c r="BE37" s="176">
        <v>3149</v>
      </c>
      <c r="BF37" s="176">
        <v>9363</v>
      </c>
      <c r="BG37" s="175" t="s">
        <v>390</v>
      </c>
      <c r="BH37" s="175" t="s">
        <v>163</v>
      </c>
      <c r="BI37" s="175" t="s">
        <v>163</v>
      </c>
      <c r="BJ37" s="175" t="s">
        <v>390</v>
      </c>
      <c r="BK37" s="175"/>
      <c r="BL37" s="176">
        <v>13389</v>
      </c>
      <c r="BM37" s="175" t="s">
        <v>163</v>
      </c>
      <c r="BN37" s="175"/>
      <c r="BO37" s="175" t="s">
        <v>163</v>
      </c>
      <c r="BP37" s="175"/>
      <c r="BQ37" s="175" t="s">
        <v>163</v>
      </c>
      <c r="BR37" s="175"/>
      <c r="BS37" s="185">
        <v>1981</v>
      </c>
      <c r="BT37" s="185">
        <v>0</v>
      </c>
      <c r="BU37" s="185">
        <v>1</v>
      </c>
      <c r="BV37" s="185">
        <v>209</v>
      </c>
      <c r="BW37" s="186">
        <v>4970</v>
      </c>
      <c r="BX37" s="185">
        <v>58</v>
      </c>
      <c r="BY37" s="185"/>
      <c r="BZ37" s="186">
        <v>7982</v>
      </c>
      <c r="CA37" s="185"/>
      <c r="CB37" s="185">
        <v>444</v>
      </c>
      <c r="CC37" s="186">
        <v>51798</v>
      </c>
      <c r="CD37" s="186">
        <v>1062</v>
      </c>
      <c r="CE37" s="186">
        <v>66523</v>
      </c>
      <c r="CF37" s="185"/>
      <c r="CG37" s="185">
        <v>135</v>
      </c>
      <c r="CH37" s="185" t="s">
        <v>163</v>
      </c>
      <c r="CI37" s="185"/>
      <c r="CJ37" s="185" t="s">
        <v>163</v>
      </c>
      <c r="CK37" s="185" t="s">
        <v>163</v>
      </c>
      <c r="CL37" s="185"/>
      <c r="CM37" s="193">
        <v>1981</v>
      </c>
      <c r="CN37" s="193">
        <v>60</v>
      </c>
      <c r="CO37" s="193">
        <v>30</v>
      </c>
      <c r="CP37" s="194">
        <v>2322</v>
      </c>
      <c r="CQ37" s="194">
        <v>1676</v>
      </c>
      <c r="CR37" s="193"/>
      <c r="CS37" s="193">
        <v>75</v>
      </c>
      <c r="CT37" s="194">
        <v>4719</v>
      </c>
      <c r="CU37" s="194">
        <v>3145</v>
      </c>
      <c r="CV37" s="193"/>
      <c r="CW37" s="194">
        <v>11938</v>
      </c>
      <c r="CX37" s="193"/>
      <c r="CY37" s="193">
        <v>63</v>
      </c>
      <c r="CZ37" s="193" t="s">
        <v>163</v>
      </c>
      <c r="DA37" s="193" t="s">
        <v>163</v>
      </c>
      <c r="DB37" s="193" t="s">
        <v>163</v>
      </c>
      <c r="DC37" s="193" t="s">
        <v>390</v>
      </c>
      <c r="DD37" s="193"/>
      <c r="DE37" s="194">
        <v>8956</v>
      </c>
      <c r="DF37" s="193" t="s">
        <v>163</v>
      </c>
      <c r="DG37" s="193"/>
      <c r="DH37" s="193" t="s">
        <v>163</v>
      </c>
      <c r="DI37" s="193"/>
      <c r="DJ37" s="193" t="s">
        <v>163</v>
      </c>
      <c r="DK37" s="193"/>
      <c r="DL37" s="202">
        <v>1981</v>
      </c>
      <c r="DM37" s="202">
        <v>845</v>
      </c>
      <c r="DN37" s="202">
        <v>7</v>
      </c>
      <c r="DO37" s="202">
        <v>291</v>
      </c>
      <c r="DP37" s="202">
        <v>0</v>
      </c>
      <c r="DQ37" s="203">
        <v>40488</v>
      </c>
      <c r="DR37" s="203">
        <v>40779</v>
      </c>
      <c r="DS37" s="203">
        <v>4331</v>
      </c>
      <c r="DT37" s="202">
        <v>368</v>
      </c>
      <c r="DU37" s="202" t="s">
        <v>163</v>
      </c>
      <c r="DV37" s="202">
        <v>0</v>
      </c>
      <c r="DW37" s="202" t="s">
        <v>390</v>
      </c>
      <c r="DX37" s="202" t="s">
        <v>390</v>
      </c>
      <c r="DY37" s="202">
        <v>0</v>
      </c>
      <c r="DZ37" s="202" t="s">
        <v>163</v>
      </c>
      <c r="EA37" s="138"/>
    </row>
    <row r="38" spans="1:131" ht="17.25" customHeight="1">
      <c r="A38" s="205">
        <f t="shared" si="2"/>
        <v>9.0855588923076915</v>
      </c>
      <c r="B38" s="205">
        <f>+C38*'EIA Emissions'!$C$3/1000</f>
        <v>484946.12492307689</v>
      </c>
      <c r="C38" s="208">
        <f t="shared" si="3"/>
        <v>8.8380923076923068</v>
      </c>
      <c r="D38" s="207">
        <f t="shared" si="0"/>
        <v>0.50256410256410255</v>
      </c>
      <c r="E38" s="208">
        <f>'EIA Energy Use '!B87/1000</f>
        <v>17.585999999999999</v>
      </c>
      <c r="F38" s="208"/>
      <c r="G38" s="159">
        <f t="shared" si="1"/>
        <v>195</v>
      </c>
      <c r="H38" s="167">
        <v>1982</v>
      </c>
      <c r="I38" s="167">
        <v>240</v>
      </c>
      <c r="J38" s="167">
        <v>180</v>
      </c>
      <c r="K38" s="168">
        <v>31499</v>
      </c>
      <c r="L38" s="168">
        <v>2157</v>
      </c>
      <c r="M38" s="168">
        <v>7358</v>
      </c>
      <c r="N38" s="167"/>
      <c r="O38" s="168">
        <v>51956</v>
      </c>
      <c r="P38" s="168">
        <v>11211</v>
      </c>
      <c r="Q38" s="168">
        <v>4226</v>
      </c>
      <c r="R38" s="167"/>
      <c r="S38" s="168">
        <v>108407</v>
      </c>
      <c r="T38" s="167"/>
      <c r="U38" s="167">
        <v>63</v>
      </c>
      <c r="V38" s="167" t="s">
        <v>163</v>
      </c>
      <c r="W38" s="167" t="s">
        <v>163</v>
      </c>
      <c r="X38" s="167" t="s">
        <v>163</v>
      </c>
      <c r="Y38" s="167" t="s">
        <v>163</v>
      </c>
      <c r="Z38" s="167"/>
      <c r="AA38" s="168">
        <v>34450</v>
      </c>
      <c r="AB38" s="167" t="s">
        <v>163</v>
      </c>
      <c r="AC38" s="167"/>
      <c r="AD38" s="167" t="s">
        <v>163</v>
      </c>
      <c r="AE38" s="167"/>
      <c r="AF38" s="167" t="s">
        <v>163</v>
      </c>
      <c r="AG38" s="167"/>
      <c r="AH38" s="175">
        <v>1982</v>
      </c>
      <c r="AI38" s="175">
        <v>26</v>
      </c>
      <c r="AJ38" s="175">
        <v>98</v>
      </c>
      <c r="AK38" s="176">
        <v>18086</v>
      </c>
      <c r="AL38" s="175">
        <v>599</v>
      </c>
      <c r="AM38" s="175">
        <v>510</v>
      </c>
      <c r="AN38" s="176">
        <v>19195</v>
      </c>
      <c r="AO38" s="175" t="s">
        <v>163</v>
      </c>
      <c r="AP38" s="175" t="s">
        <v>163</v>
      </c>
      <c r="AQ38" s="175" t="s">
        <v>163</v>
      </c>
      <c r="AR38" s="176">
        <v>11986</v>
      </c>
      <c r="AS38" s="175" t="s">
        <v>163</v>
      </c>
      <c r="AT38" s="175" t="s">
        <v>163</v>
      </c>
      <c r="AU38" s="175"/>
      <c r="AV38" s="175" t="s">
        <v>163</v>
      </c>
      <c r="AW38" s="175"/>
      <c r="AX38" s="175">
        <v>1982</v>
      </c>
      <c r="AY38" s="175">
        <v>126</v>
      </c>
      <c r="AZ38" s="175">
        <v>61</v>
      </c>
      <c r="BA38" s="176">
        <v>5509</v>
      </c>
      <c r="BB38" s="175">
        <v>240</v>
      </c>
      <c r="BC38" s="175">
        <v>28</v>
      </c>
      <c r="BD38" s="175">
        <v>213</v>
      </c>
      <c r="BE38" s="176">
        <v>4227</v>
      </c>
      <c r="BF38" s="176">
        <v>10217</v>
      </c>
      <c r="BG38" s="175" t="s">
        <v>390</v>
      </c>
      <c r="BH38" s="175" t="s">
        <v>163</v>
      </c>
      <c r="BI38" s="175" t="s">
        <v>163</v>
      </c>
      <c r="BJ38" s="175" t="s">
        <v>390</v>
      </c>
      <c r="BK38" s="175"/>
      <c r="BL38" s="176">
        <v>13691</v>
      </c>
      <c r="BM38" s="175" t="s">
        <v>163</v>
      </c>
      <c r="BN38" s="175"/>
      <c r="BO38" s="175" t="s">
        <v>163</v>
      </c>
      <c r="BP38" s="175"/>
      <c r="BQ38" s="175" t="s">
        <v>163</v>
      </c>
      <c r="BR38" s="175"/>
      <c r="BS38" s="185">
        <v>1982</v>
      </c>
      <c r="BT38" s="185">
        <v>0</v>
      </c>
      <c r="BU38" s="185">
        <v>2</v>
      </c>
      <c r="BV38" s="185">
        <v>166</v>
      </c>
      <c r="BW38" s="186">
        <v>5803</v>
      </c>
      <c r="BX38" s="185">
        <v>49</v>
      </c>
      <c r="BY38" s="185"/>
      <c r="BZ38" s="186">
        <v>7358</v>
      </c>
      <c r="CA38" s="185"/>
      <c r="CB38" s="185">
        <v>405</v>
      </c>
      <c r="CC38" s="186">
        <v>51647</v>
      </c>
      <c r="CD38" s="186">
        <v>1459</v>
      </c>
      <c r="CE38" s="186">
        <v>66887</v>
      </c>
      <c r="CF38" s="185"/>
      <c r="CG38" s="185">
        <v>118</v>
      </c>
      <c r="CH38" s="185" t="s">
        <v>163</v>
      </c>
      <c r="CI38" s="185"/>
      <c r="CJ38" s="185" t="s">
        <v>163</v>
      </c>
      <c r="CK38" s="185" t="s">
        <v>163</v>
      </c>
      <c r="CL38" s="185"/>
      <c r="CM38" s="193">
        <v>1982</v>
      </c>
      <c r="CN38" s="193">
        <v>88</v>
      </c>
      <c r="CO38" s="193">
        <v>19</v>
      </c>
      <c r="CP38" s="194">
        <v>2101</v>
      </c>
      <c r="CQ38" s="194">
        <v>1270</v>
      </c>
      <c r="CR38" s="193"/>
      <c r="CS38" s="193">
        <v>97</v>
      </c>
      <c r="CT38" s="194">
        <v>5524</v>
      </c>
      <c r="CU38" s="194">
        <v>3117</v>
      </c>
      <c r="CV38" s="193"/>
      <c r="CW38" s="194">
        <v>12108</v>
      </c>
      <c r="CX38" s="193"/>
      <c r="CY38" s="193">
        <v>63</v>
      </c>
      <c r="CZ38" s="193" t="s">
        <v>163</v>
      </c>
      <c r="DA38" s="193" t="s">
        <v>163</v>
      </c>
      <c r="DB38" s="193" t="s">
        <v>163</v>
      </c>
      <c r="DC38" s="193" t="s">
        <v>390</v>
      </c>
      <c r="DD38" s="193"/>
      <c r="DE38" s="194">
        <v>8655</v>
      </c>
      <c r="DF38" s="193" t="s">
        <v>163</v>
      </c>
      <c r="DG38" s="193"/>
      <c r="DH38" s="193" t="s">
        <v>163</v>
      </c>
      <c r="DI38" s="193"/>
      <c r="DJ38" s="193" t="s">
        <v>163</v>
      </c>
      <c r="DK38" s="193"/>
      <c r="DL38" s="202">
        <v>1982</v>
      </c>
      <c r="DM38" s="203">
        <v>3182</v>
      </c>
      <c r="DN38" s="202">
        <v>15</v>
      </c>
      <c r="DO38" s="202">
        <v>409</v>
      </c>
      <c r="DP38" s="202">
        <v>0</v>
      </c>
      <c r="DQ38" s="203">
        <v>30900</v>
      </c>
      <c r="DR38" s="203">
        <v>31309</v>
      </c>
      <c r="DS38" s="203">
        <v>4173</v>
      </c>
      <c r="DT38" s="202">
        <v>189</v>
      </c>
      <c r="DU38" s="202" t="s">
        <v>163</v>
      </c>
      <c r="DV38" s="202">
        <v>0</v>
      </c>
      <c r="DW38" s="202" t="s">
        <v>390</v>
      </c>
      <c r="DX38" s="202" t="s">
        <v>390</v>
      </c>
      <c r="DY38" s="202">
        <v>0</v>
      </c>
      <c r="DZ38" s="202" t="s">
        <v>163</v>
      </c>
      <c r="EA38" s="138"/>
    </row>
    <row r="39" spans="1:131" ht="17.25" customHeight="1">
      <c r="A39" s="205">
        <f t="shared" si="2"/>
        <v>5.3140818429319365</v>
      </c>
      <c r="B39" s="205">
        <f>+C39*'EIA Emissions'!$C$3/1000</f>
        <v>283641.70303664915</v>
      </c>
      <c r="C39" s="208">
        <f t="shared" si="3"/>
        <v>5.1693403141361252</v>
      </c>
      <c r="D39" s="207">
        <f t="shared" si="0"/>
        <v>0.48167539267015708</v>
      </c>
      <c r="E39" s="208">
        <f>'EIA Energy Use '!B88/1000</f>
        <v>10.731999999999999</v>
      </c>
      <c r="F39" s="208"/>
      <c r="G39" s="159">
        <f t="shared" si="1"/>
        <v>191</v>
      </c>
      <c r="H39" s="167">
        <v>1983</v>
      </c>
      <c r="I39" s="167">
        <v>247</v>
      </c>
      <c r="J39" s="167">
        <v>167</v>
      </c>
      <c r="K39" s="168">
        <v>31046</v>
      </c>
      <c r="L39" s="168">
        <v>2169</v>
      </c>
      <c r="M39" s="168">
        <v>7280</v>
      </c>
      <c r="N39" s="167"/>
      <c r="O39" s="168">
        <v>52559</v>
      </c>
      <c r="P39" s="168">
        <v>7942</v>
      </c>
      <c r="Q39" s="168">
        <v>3452</v>
      </c>
      <c r="R39" s="167"/>
      <c r="S39" s="168">
        <v>104449</v>
      </c>
      <c r="T39" s="167"/>
      <c r="U39" s="167">
        <v>63</v>
      </c>
      <c r="V39" s="167" t="s">
        <v>163</v>
      </c>
      <c r="W39" s="167" t="s">
        <v>163</v>
      </c>
      <c r="X39" s="167" t="s">
        <v>163</v>
      </c>
      <c r="Y39" s="167" t="s">
        <v>163</v>
      </c>
      <c r="Z39" s="167"/>
      <c r="AA39" s="168">
        <v>36002</v>
      </c>
      <c r="AB39" s="167" t="s">
        <v>163</v>
      </c>
      <c r="AC39" s="167"/>
      <c r="AD39" s="167" t="s">
        <v>163</v>
      </c>
      <c r="AE39" s="167"/>
      <c r="AF39" s="167" t="s">
        <v>163</v>
      </c>
      <c r="AG39" s="167"/>
      <c r="AH39" s="175">
        <v>1983</v>
      </c>
      <c r="AI39" s="175">
        <v>22</v>
      </c>
      <c r="AJ39" s="175">
        <v>92</v>
      </c>
      <c r="AK39" s="176">
        <v>17563</v>
      </c>
      <c r="AL39" s="175">
        <v>712</v>
      </c>
      <c r="AM39" s="175">
        <v>164</v>
      </c>
      <c r="AN39" s="176">
        <v>18439</v>
      </c>
      <c r="AO39" s="175" t="s">
        <v>163</v>
      </c>
      <c r="AP39" s="175" t="s">
        <v>163</v>
      </c>
      <c r="AQ39" s="175" t="s">
        <v>163</v>
      </c>
      <c r="AR39" s="176">
        <v>12436</v>
      </c>
      <c r="AS39" s="175" t="s">
        <v>163</v>
      </c>
      <c r="AT39" s="175" t="s">
        <v>163</v>
      </c>
      <c r="AU39" s="175"/>
      <c r="AV39" s="175" t="s">
        <v>163</v>
      </c>
      <c r="AW39" s="175"/>
      <c r="AX39" s="175">
        <v>1983</v>
      </c>
      <c r="AY39" s="175">
        <v>113</v>
      </c>
      <c r="AZ39" s="175">
        <v>40</v>
      </c>
      <c r="BA39" s="176">
        <v>5444</v>
      </c>
      <c r="BB39" s="175">
        <v>285</v>
      </c>
      <c r="BC39" s="175">
        <v>36</v>
      </c>
      <c r="BD39" s="175">
        <v>193</v>
      </c>
      <c r="BE39" s="176">
        <v>2440</v>
      </c>
      <c r="BF39" s="176">
        <v>8398</v>
      </c>
      <c r="BG39" s="175" t="s">
        <v>390</v>
      </c>
      <c r="BH39" s="175" t="s">
        <v>163</v>
      </c>
      <c r="BI39" s="175" t="s">
        <v>163</v>
      </c>
      <c r="BJ39" s="175" t="s">
        <v>390</v>
      </c>
      <c r="BK39" s="175"/>
      <c r="BL39" s="176">
        <v>14370</v>
      </c>
      <c r="BM39" s="175" t="s">
        <v>163</v>
      </c>
      <c r="BN39" s="175"/>
      <c r="BO39" s="175" t="s">
        <v>163</v>
      </c>
      <c r="BP39" s="175"/>
      <c r="BQ39" s="175" t="s">
        <v>163</v>
      </c>
      <c r="BR39" s="175"/>
      <c r="BS39" s="185">
        <v>1983</v>
      </c>
      <c r="BT39" s="185">
        <v>0</v>
      </c>
      <c r="BU39" s="185">
        <v>1</v>
      </c>
      <c r="BV39" s="185">
        <v>164</v>
      </c>
      <c r="BW39" s="186">
        <v>6707</v>
      </c>
      <c r="BX39" s="185">
        <v>58</v>
      </c>
      <c r="BY39" s="185"/>
      <c r="BZ39" s="186">
        <v>7280</v>
      </c>
      <c r="CA39" s="185"/>
      <c r="CB39" s="185">
        <v>424</v>
      </c>
      <c r="CC39" s="186">
        <v>52325</v>
      </c>
      <c r="CD39" s="185">
        <v>152</v>
      </c>
      <c r="CE39" s="186">
        <v>67110</v>
      </c>
      <c r="CF39" s="185"/>
      <c r="CG39" s="185">
        <v>151</v>
      </c>
      <c r="CH39" s="185" t="s">
        <v>163</v>
      </c>
      <c r="CI39" s="185"/>
      <c r="CJ39" s="185" t="s">
        <v>163</v>
      </c>
      <c r="CK39" s="185" t="s">
        <v>163</v>
      </c>
      <c r="CL39" s="185"/>
      <c r="CM39" s="193">
        <v>1983</v>
      </c>
      <c r="CN39" s="193">
        <v>112</v>
      </c>
      <c r="CO39" s="193">
        <v>35</v>
      </c>
      <c r="CP39" s="194">
        <v>1332</v>
      </c>
      <c r="CQ39" s="194">
        <v>1114</v>
      </c>
      <c r="CR39" s="193"/>
      <c r="CS39" s="193">
        <v>42</v>
      </c>
      <c r="CT39" s="194">
        <v>5351</v>
      </c>
      <c r="CU39" s="194">
        <v>2663</v>
      </c>
      <c r="CV39" s="193"/>
      <c r="CW39" s="194">
        <v>10502</v>
      </c>
      <c r="CX39" s="193"/>
      <c r="CY39" s="193">
        <v>63</v>
      </c>
      <c r="CZ39" s="193" t="s">
        <v>163</v>
      </c>
      <c r="DA39" s="193" t="s">
        <v>163</v>
      </c>
      <c r="DB39" s="193" t="s">
        <v>163</v>
      </c>
      <c r="DC39" s="193" t="s">
        <v>390</v>
      </c>
      <c r="DD39" s="193"/>
      <c r="DE39" s="194">
        <v>9046</v>
      </c>
      <c r="DF39" s="193" t="s">
        <v>163</v>
      </c>
      <c r="DG39" s="193"/>
      <c r="DH39" s="193" t="s">
        <v>163</v>
      </c>
      <c r="DI39" s="193"/>
      <c r="DJ39" s="193" t="s">
        <v>163</v>
      </c>
      <c r="DK39" s="193"/>
      <c r="DL39" s="202">
        <v>1983</v>
      </c>
      <c r="DM39" s="203">
        <v>3413</v>
      </c>
      <c r="DN39" s="202">
        <v>24</v>
      </c>
      <c r="DO39" s="202">
        <v>511</v>
      </c>
      <c r="DP39" s="202">
        <v>0</v>
      </c>
      <c r="DQ39" s="203">
        <v>27063</v>
      </c>
      <c r="DR39" s="203">
        <v>27574</v>
      </c>
      <c r="DS39" s="203">
        <v>6063</v>
      </c>
      <c r="DT39" s="202">
        <v>215</v>
      </c>
      <c r="DU39" s="202" t="s">
        <v>163</v>
      </c>
      <c r="DV39" s="202">
        <v>0</v>
      </c>
      <c r="DW39" s="202" t="s">
        <v>390</v>
      </c>
      <c r="DX39" s="202">
        <v>0</v>
      </c>
      <c r="DY39" s="202">
        <v>0</v>
      </c>
      <c r="DZ39" s="202" t="s">
        <v>163</v>
      </c>
      <c r="EA39" s="138"/>
    </row>
    <row r="40" spans="1:131" ht="17.25" customHeight="1">
      <c r="A40" s="205">
        <f t="shared" si="2"/>
        <v>3.1226852631578947</v>
      </c>
      <c r="B40" s="205">
        <f>+C40*'EIA Emissions'!$C$3/1000</f>
        <v>166674.84473684209</v>
      </c>
      <c r="C40" s="208">
        <f t="shared" si="3"/>
        <v>3.0376315789473685</v>
      </c>
      <c r="D40" s="207">
        <f t="shared" si="0"/>
        <v>0.46411483253588515</v>
      </c>
      <c r="E40" s="208">
        <f>'EIA Energy Use '!B89/1000</f>
        <v>6.5449999999999999</v>
      </c>
      <c r="F40" s="208"/>
      <c r="G40" s="159">
        <f t="shared" si="1"/>
        <v>209</v>
      </c>
      <c r="H40" s="167">
        <v>1984</v>
      </c>
      <c r="I40" s="167">
        <v>323</v>
      </c>
      <c r="J40" s="167">
        <v>177</v>
      </c>
      <c r="K40" s="168">
        <v>35762</v>
      </c>
      <c r="L40" s="168">
        <v>1721</v>
      </c>
      <c r="M40" s="168">
        <v>6899</v>
      </c>
      <c r="N40" s="167"/>
      <c r="O40" s="168">
        <v>53880</v>
      </c>
      <c r="P40" s="168">
        <v>10781</v>
      </c>
      <c r="Q40" s="168">
        <v>4260</v>
      </c>
      <c r="R40" s="167"/>
      <c r="S40" s="168">
        <v>113303</v>
      </c>
      <c r="T40" s="167"/>
      <c r="U40" s="167">
        <v>63</v>
      </c>
      <c r="V40" s="167" t="s">
        <v>163</v>
      </c>
      <c r="W40" s="167" t="s">
        <v>163</v>
      </c>
      <c r="X40" s="167" t="s">
        <v>163</v>
      </c>
      <c r="Y40" s="167" t="s">
        <v>163</v>
      </c>
      <c r="Z40" s="167"/>
      <c r="AA40" s="168">
        <v>37242</v>
      </c>
      <c r="AB40" s="167" t="s">
        <v>163</v>
      </c>
      <c r="AC40" s="167"/>
      <c r="AD40" s="167" t="s">
        <v>163</v>
      </c>
      <c r="AE40" s="167"/>
      <c r="AF40" s="167" t="s">
        <v>163</v>
      </c>
      <c r="AG40" s="167"/>
      <c r="AH40" s="175">
        <v>1984</v>
      </c>
      <c r="AI40" s="175">
        <v>41</v>
      </c>
      <c r="AJ40" s="175">
        <v>97</v>
      </c>
      <c r="AK40" s="176">
        <v>20657</v>
      </c>
      <c r="AL40" s="175">
        <v>722</v>
      </c>
      <c r="AM40" s="175">
        <v>684</v>
      </c>
      <c r="AN40" s="176">
        <v>22063</v>
      </c>
      <c r="AO40" s="175" t="s">
        <v>163</v>
      </c>
      <c r="AP40" s="175" t="s">
        <v>163</v>
      </c>
      <c r="AQ40" s="175" t="s">
        <v>163</v>
      </c>
      <c r="AR40" s="176">
        <v>12702</v>
      </c>
      <c r="AS40" s="175" t="s">
        <v>163</v>
      </c>
      <c r="AT40" s="175" t="s">
        <v>163</v>
      </c>
      <c r="AU40" s="175"/>
      <c r="AV40" s="175" t="s">
        <v>163</v>
      </c>
      <c r="AW40" s="175"/>
      <c r="AX40" s="175">
        <v>1984</v>
      </c>
      <c r="AY40" s="175">
        <v>176</v>
      </c>
      <c r="AZ40" s="175">
        <v>41</v>
      </c>
      <c r="BA40" s="176">
        <v>6403</v>
      </c>
      <c r="BB40" s="175">
        <v>289</v>
      </c>
      <c r="BC40" s="175">
        <v>58</v>
      </c>
      <c r="BD40" s="175">
        <v>168</v>
      </c>
      <c r="BE40" s="176">
        <v>3331</v>
      </c>
      <c r="BF40" s="176">
        <v>10249</v>
      </c>
      <c r="BG40" s="175" t="s">
        <v>390</v>
      </c>
      <c r="BH40" s="175" t="s">
        <v>163</v>
      </c>
      <c r="BI40" s="175" t="s">
        <v>163</v>
      </c>
      <c r="BJ40" s="175" t="s">
        <v>390</v>
      </c>
      <c r="BK40" s="175"/>
      <c r="BL40" s="176">
        <v>14883</v>
      </c>
      <c r="BM40" s="175" t="s">
        <v>163</v>
      </c>
      <c r="BN40" s="175"/>
      <c r="BO40" s="175" t="s">
        <v>163</v>
      </c>
      <c r="BP40" s="175"/>
      <c r="BQ40" s="175" t="s">
        <v>163</v>
      </c>
      <c r="BR40" s="175"/>
      <c r="BS40" s="185">
        <v>1984</v>
      </c>
      <c r="BT40" s="185">
        <v>0</v>
      </c>
      <c r="BU40" s="185">
        <v>1</v>
      </c>
      <c r="BV40" s="185">
        <v>138</v>
      </c>
      <c r="BW40" s="186">
        <v>7136</v>
      </c>
      <c r="BX40" s="185">
        <v>103</v>
      </c>
      <c r="BY40" s="185"/>
      <c r="BZ40" s="186">
        <v>6899</v>
      </c>
      <c r="CA40" s="185"/>
      <c r="CB40" s="185">
        <v>453</v>
      </c>
      <c r="CC40" s="186">
        <v>53603</v>
      </c>
      <c r="CD40" s="185">
        <v>146</v>
      </c>
      <c r="CE40" s="186">
        <v>68477</v>
      </c>
      <c r="CF40" s="185"/>
      <c r="CG40" s="185">
        <v>180</v>
      </c>
      <c r="CH40" s="185" t="s">
        <v>163</v>
      </c>
      <c r="CI40" s="185"/>
      <c r="CJ40" s="185" t="s">
        <v>163</v>
      </c>
      <c r="CK40" s="185" t="s">
        <v>163</v>
      </c>
      <c r="CL40" s="185"/>
      <c r="CM40" s="193">
        <v>1984</v>
      </c>
      <c r="CN40" s="193">
        <v>106</v>
      </c>
      <c r="CO40" s="193">
        <v>37</v>
      </c>
      <c r="CP40" s="194">
        <v>1567</v>
      </c>
      <c r="CQ40" s="193">
        <v>607</v>
      </c>
      <c r="CR40" s="193"/>
      <c r="CS40" s="193">
        <v>109</v>
      </c>
      <c r="CT40" s="194">
        <v>7305</v>
      </c>
      <c r="CU40" s="194">
        <v>2927</v>
      </c>
      <c r="CV40" s="193"/>
      <c r="CW40" s="194">
        <v>12514</v>
      </c>
      <c r="CX40" s="193"/>
      <c r="CY40" s="193">
        <v>63</v>
      </c>
      <c r="CZ40" s="193" t="s">
        <v>163</v>
      </c>
      <c r="DA40" s="193" t="s">
        <v>163</v>
      </c>
      <c r="DB40" s="193" t="s">
        <v>163</v>
      </c>
      <c r="DC40" s="193" t="s">
        <v>390</v>
      </c>
      <c r="DD40" s="193"/>
      <c r="DE40" s="194">
        <v>9476</v>
      </c>
      <c r="DF40" s="193" t="s">
        <v>163</v>
      </c>
      <c r="DG40" s="193"/>
      <c r="DH40" s="193" t="s">
        <v>163</v>
      </c>
      <c r="DI40" s="193"/>
      <c r="DJ40" s="193" t="s">
        <v>163</v>
      </c>
      <c r="DK40" s="193"/>
      <c r="DL40" s="202">
        <v>1984</v>
      </c>
      <c r="DM40" s="203">
        <v>4080</v>
      </c>
      <c r="DN40" s="202">
        <v>32</v>
      </c>
      <c r="DO40" s="203">
        <v>1016</v>
      </c>
      <c r="DP40" s="202">
        <v>0</v>
      </c>
      <c r="DQ40" s="203">
        <v>26772</v>
      </c>
      <c r="DR40" s="203">
        <v>27789</v>
      </c>
      <c r="DS40" s="203">
        <v>1035</v>
      </c>
      <c r="DT40" s="202">
        <v>234</v>
      </c>
      <c r="DU40" s="202" t="s">
        <v>163</v>
      </c>
      <c r="DV40" s="202">
        <v>0</v>
      </c>
      <c r="DW40" s="202">
        <v>0</v>
      </c>
      <c r="DX40" s="202">
        <v>0</v>
      </c>
      <c r="DY40" s="202">
        <v>0</v>
      </c>
      <c r="DZ40" s="202" t="s">
        <v>163</v>
      </c>
      <c r="EA40" s="138"/>
    </row>
    <row r="41" spans="1:131" ht="17.25" customHeight="1">
      <c r="A41" s="205">
        <f t="shared" si="2"/>
        <v>1.6873469954337901</v>
      </c>
      <c r="B41" s="205">
        <f>+C41*'EIA Emissions'!$C$3/1000</f>
        <v>90062.966575342463</v>
      </c>
      <c r="C41" s="208">
        <f t="shared" si="3"/>
        <v>1.6413881278538813</v>
      </c>
      <c r="D41" s="207">
        <f t="shared" si="0"/>
        <v>0.44748858447488582</v>
      </c>
      <c r="E41" s="208">
        <f>'EIA Energy Use '!B90/1000</f>
        <v>3.6680000000000001</v>
      </c>
      <c r="F41" s="208"/>
      <c r="G41" s="159">
        <f t="shared" si="1"/>
        <v>219</v>
      </c>
      <c r="H41" s="167">
        <v>1985</v>
      </c>
      <c r="I41" s="167">
        <v>313</v>
      </c>
      <c r="J41" s="167">
        <v>174</v>
      </c>
      <c r="K41" s="168">
        <v>35198</v>
      </c>
      <c r="L41" s="168">
        <v>1719</v>
      </c>
      <c r="M41" s="168">
        <v>6984</v>
      </c>
      <c r="N41" s="167"/>
      <c r="O41" s="168">
        <v>54847</v>
      </c>
      <c r="P41" s="168">
        <v>12430</v>
      </c>
      <c r="Q41" s="168">
        <v>3836</v>
      </c>
      <c r="R41" s="167"/>
      <c r="S41" s="168">
        <v>115013</v>
      </c>
      <c r="T41" s="167"/>
      <c r="U41" s="167">
        <v>63</v>
      </c>
      <c r="V41" s="167" t="s">
        <v>163</v>
      </c>
      <c r="W41" s="167" t="s">
        <v>163</v>
      </c>
      <c r="X41" s="167" t="s">
        <v>163</v>
      </c>
      <c r="Y41" s="167" t="s">
        <v>163</v>
      </c>
      <c r="Z41" s="167"/>
      <c r="AA41" s="168">
        <v>38119</v>
      </c>
      <c r="AB41" s="167" t="s">
        <v>163</v>
      </c>
      <c r="AC41" s="167"/>
      <c r="AD41" s="167" t="s">
        <v>163</v>
      </c>
      <c r="AE41" s="167"/>
      <c r="AF41" s="167" t="s">
        <v>163</v>
      </c>
      <c r="AG41" s="167"/>
      <c r="AH41" s="175">
        <v>1985</v>
      </c>
      <c r="AI41" s="175">
        <v>30</v>
      </c>
      <c r="AJ41" s="175">
        <v>98</v>
      </c>
      <c r="AK41" s="176">
        <v>20064</v>
      </c>
      <c r="AL41" s="175">
        <v>858</v>
      </c>
      <c r="AM41" s="175">
        <v>577</v>
      </c>
      <c r="AN41" s="176">
        <v>21499</v>
      </c>
      <c r="AO41" s="175" t="s">
        <v>163</v>
      </c>
      <c r="AP41" s="175" t="s">
        <v>163</v>
      </c>
      <c r="AQ41" s="175" t="s">
        <v>163</v>
      </c>
      <c r="AR41" s="176">
        <v>12907</v>
      </c>
      <c r="AS41" s="175" t="s">
        <v>163</v>
      </c>
      <c r="AT41" s="175" t="s">
        <v>163</v>
      </c>
      <c r="AU41" s="175"/>
      <c r="AV41" s="175" t="s">
        <v>163</v>
      </c>
      <c r="AW41" s="175"/>
      <c r="AX41" s="175">
        <v>1985</v>
      </c>
      <c r="AY41" s="175">
        <v>107</v>
      </c>
      <c r="AZ41" s="175">
        <v>41</v>
      </c>
      <c r="BA41" s="176">
        <v>6369</v>
      </c>
      <c r="BB41" s="175">
        <v>344</v>
      </c>
      <c r="BC41" s="175">
        <v>108</v>
      </c>
      <c r="BD41" s="175">
        <v>188</v>
      </c>
      <c r="BE41" s="176">
        <v>3157</v>
      </c>
      <c r="BF41" s="176">
        <v>10165</v>
      </c>
      <c r="BG41" s="175" t="s">
        <v>390</v>
      </c>
      <c r="BH41" s="175" t="s">
        <v>163</v>
      </c>
      <c r="BI41" s="175" t="s">
        <v>163</v>
      </c>
      <c r="BJ41" s="175" t="s">
        <v>390</v>
      </c>
      <c r="BK41" s="175"/>
      <c r="BL41" s="176">
        <v>15566</v>
      </c>
      <c r="BM41" s="175" t="s">
        <v>163</v>
      </c>
      <c r="BN41" s="175"/>
      <c r="BO41" s="175" t="s">
        <v>163</v>
      </c>
      <c r="BP41" s="175"/>
      <c r="BQ41" s="175" t="s">
        <v>163</v>
      </c>
      <c r="BR41" s="175"/>
      <c r="BS41" s="185">
        <v>1985</v>
      </c>
      <c r="BT41" s="185">
        <v>0</v>
      </c>
      <c r="BU41" s="185">
        <v>1</v>
      </c>
      <c r="BV41" s="185">
        <v>134</v>
      </c>
      <c r="BW41" s="186">
        <v>7600</v>
      </c>
      <c r="BX41" s="185">
        <v>70</v>
      </c>
      <c r="BY41" s="185"/>
      <c r="BZ41" s="186">
        <v>6984</v>
      </c>
      <c r="CA41" s="185"/>
      <c r="CB41" s="185">
        <v>422</v>
      </c>
      <c r="CC41" s="186">
        <v>54292</v>
      </c>
      <c r="CD41" s="185">
        <v>874</v>
      </c>
      <c r="CE41" s="186">
        <v>70375</v>
      </c>
      <c r="CF41" s="185"/>
      <c r="CG41" s="185">
        <v>193</v>
      </c>
      <c r="CH41" s="185" t="s">
        <v>163</v>
      </c>
      <c r="CI41" s="185"/>
      <c r="CJ41" s="185" t="s">
        <v>163</v>
      </c>
      <c r="CK41" s="185" t="s">
        <v>163</v>
      </c>
      <c r="CL41" s="185"/>
      <c r="CM41" s="193">
        <v>1985</v>
      </c>
      <c r="CN41" s="193">
        <v>176</v>
      </c>
      <c r="CO41" s="193">
        <v>33</v>
      </c>
      <c r="CP41" s="194">
        <v>1165</v>
      </c>
      <c r="CQ41" s="193">
        <v>448</v>
      </c>
      <c r="CR41" s="193"/>
      <c r="CS41" s="193">
        <v>367</v>
      </c>
      <c r="CT41" s="194">
        <v>8399</v>
      </c>
      <c r="CU41" s="194">
        <v>2595</v>
      </c>
      <c r="CV41" s="193"/>
      <c r="CW41" s="194">
        <v>12974</v>
      </c>
      <c r="CX41" s="193"/>
      <c r="CY41" s="193">
        <v>63</v>
      </c>
      <c r="CZ41" s="193" t="s">
        <v>163</v>
      </c>
      <c r="DA41" s="193" t="s">
        <v>163</v>
      </c>
      <c r="DB41" s="193" t="s">
        <v>163</v>
      </c>
      <c r="DC41" s="193" t="s">
        <v>390</v>
      </c>
      <c r="DD41" s="193"/>
      <c r="DE41" s="194">
        <v>9454</v>
      </c>
      <c r="DF41" s="193" t="s">
        <v>163</v>
      </c>
      <c r="DG41" s="193"/>
      <c r="DH41" s="193" t="s">
        <v>163</v>
      </c>
      <c r="DI41" s="193"/>
      <c r="DJ41" s="193" t="s">
        <v>163</v>
      </c>
      <c r="DK41" s="193"/>
      <c r="DL41" s="202">
        <v>1985</v>
      </c>
      <c r="DM41" s="203">
        <v>3863</v>
      </c>
      <c r="DN41" s="202">
        <v>45</v>
      </c>
      <c r="DO41" s="202">
        <v>822</v>
      </c>
      <c r="DP41" s="202">
        <v>0</v>
      </c>
      <c r="DQ41" s="203">
        <v>23645</v>
      </c>
      <c r="DR41" s="203">
        <v>24467</v>
      </c>
      <c r="DS41" s="203">
        <v>6133</v>
      </c>
      <c r="DT41" s="202">
        <v>200</v>
      </c>
      <c r="DU41" s="202" t="s">
        <v>163</v>
      </c>
      <c r="DV41" s="202">
        <v>0</v>
      </c>
      <c r="DW41" s="202">
        <v>0</v>
      </c>
      <c r="DX41" s="202">
        <v>0</v>
      </c>
      <c r="DY41" s="203">
        <v>4311</v>
      </c>
      <c r="DZ41" s="202" t="s">
        <v>163</v>
      </c>
      <c r="EA41" s="138"/>
    </row>
    <row r="42" spans="1:131" ht="17.25" customHeight="1">
      <c r="A42" s="205">
        <f t="shared" si="2"/>
        <v>1.3411420645161289</v>
      </c>
      <c r="B42" s="205">
        <f>+C42*'EIA Emissions'!$C$3/1000</f>
        <v>71584.109999999986</v>
      </c>
      <c r="C42" s="208">
        <f t="shared" si="3"/>
        <v>1.3046129032258063</v>
      </c>
      <c r="D42" s="207">
        <f t="shared" si="0"/>
        <v>0.54838709677419351</v>
      </c>
      <c r="E42" s="208">
        <f>'EIA Energy Use '!B91/1000</f>
        <v>2.379</v>
      </c>
      <c r="F42" s="208"/>
      <c r="G42" s="159">
        <f t="shared" si="1"/>
        <v>186</v>
      </c>
      <c r="H42" s="167">
        <v>1986</v>
      </c>
      <c r="I42" s="167">
        <v>189</v>
      </c>
      <c r="J42" s="167">
        <v>171</v>
      </c>
      <c r="K42" s="168">
        <v>37671</v>
      </c>
      <c r="L42" s="168">
        <v>2279</v>
      </c>
      <c r="M42" s="168">
        <v>6913</v>
      </c>
      <c r="N42" s="167"/>
      <c r="O42" s="168">
        <v>56380</v>
      </c>
      <c r="P42" s="168">
        <v>17596</v>
      </c>
      <c r="Q42" s="168">
        <v>3664</v>
      </c>
      <c r="R42" s="167"/>
      <c r="S42" s="168">
        <v>124503</v>
      </c>
      <c r="T42" s="167"/>
      <c r="U42" s="167">
        <v>63</v>
      </c>
      <c r="V42" s="167" t="s">
        <v>163</v>
      </c>
      <c r="W42" s="167" t="s">
        <v>163</v>
      </c>
      <c r="X42" s="167" t="s">
        <v>163</v>
      </c>
      <c r="Y42" s="167" t="s">
        <v>163</v>
      </c>
      <c r="Z42" s="167"/>
      <c r="AA42" s="168">
        <v>40042</v>
      </c>
      <c r="AB42" s="167" t="s">
        <v>163</v>
      </c>
      <c r="AC42" s="167"/>
      <c r="AD42" s="167" t="s">
        <v>163</v>
      </c>
      <c r="AE42" s="167"/>
      <c r="AF42" s="167" t="s">
        <v>163</v>
      </c>
      <c r="AG42" s="167"/>
      <c r="AH42" s="175">
        <v>1986</v>
      </c>
      <c r="AI42" s="175">
        <v>18</v>
      </c>
      <c r="AJ42" s="175">
        <v>102</v>
      </c>
      <c r="AK42" s="176">
        <v>20615</v>
      </c>
      <c r="AL42" s="175">
        <v>955</v>
      </c>
      <c r="AM42" s="175">
        <v>501</v>
      </c>
      <c r="AN42" s="176">
        <v>22070</v>
      </c>
      <c r="AO42" s="175" t="s">
        <v>163</v>
      </c>
      <c r="AP42" s="175" t="s">
        <v>163</v>
      </c>
      <c r="AQ42" s="175" t="s">
        <v>163</v>
      </c>
      <c r="AR42" s="176">
        <v>13608</v>
      </c>
      <c r="AS42" s="175" t="s">
        <v>163</v>
      </c>
      <c r="AT42" s="175" t="s">
        <v>163</v>
      </c>
      <c r="AU42" s="175"/>
      <c r="AV42" s="175" t="s">
        <v>163</v>
      </c>
      <c r="AW42" s="175"/>
      <c r="AX42" s="175">
        <v>1986</v>
      </c>
      <c r="AY42" s="175">
        <v>59</v>
      </c>
      <c r="AZ42" s="175">
        <v>44</v>
      </c>
      <c r="BA42" s="176">
        <v>7443</v>
      </c>
      <c r="BB42" s="175">
        <v>383</v>
      </c>
      <c r="BC42" s="175">
        <v>290</v>
      </c>
      <c r="BD42" s="175">
        <v>189</v>
      </c>
      <c r="BE42" s="176">
        <v>3426</v>
      </c>
      <c r="BF42" s="176">
        <v>11730</v>
      </c>
      <c r="BG42" s="175" t="s">
        <v>390</v>
      </c>
      <c r="BH42" s="175" t="s">
        <v>163</v>
      </c>
      <c r="BI42" s="175" t="s">
        <v>163</v>
      </c>
      <c r="BJ42" s="175" t="s">
        <v>390</v>
      </c>
      <c r="BK42" s="175"/>
      <c r="BL42" s="176">
        <v>16561</v>
      </c>
      <c r="BM42" s="175" t="s">
        <v>163</v>
      </c>
      <c r="BN42" s="175"/>
      <c r="BO42" s="175" t="s">
        <v>163</v>
      </c>
      <c r="BP42" s="175"/>
      <c r="BQ42" s="175" t="s">
        <v>163</v>
      </c>
      <c r="BR42" s="175"/>
      <c r="BS42" s="185">
        <v>1986</v>
      </c>
      <c r="BT42" s="185">
        <v>0</v>
      </c>
      <c r="BU42" s="185">
        <v>2</v>
      </c>
      <c r="BV42" s="185">
        <v>145</v>
      </c>
      <c r="BW42" s="186">
        <v>7869</v>
      </c>
      <c r="BX42" s="185">
        <v>62</v>
      </c>
      <c r="BY42" s="185"/>
      <c r="BZ42" s="186">
        <v>6913</v>
      </c>
      <c r="CA42" s="185"/>
      <c r="CB42" s="185">
        <v>412</v>
      </c>
      <c r="CC42" s="186">
        <v>55812</v>
      </c>
      <c r="CD42" s="185">
        <v>606</v>
      </c>
      <c r="CE42" s="186">
        <v>71820</v>
      </c>
      <c r="CF42" s="185"/>
      <c r="CG42" s="185">
        <v>191</v>
      </c>
      <c r="CH42" s="185" t="s">
        <v>163</v>
      </c>
      <c r="CI42" s="185"/>
      <c r="CJ42" s="185" t="s">
        <v>163</v>
      </c>
      <c r="CK42" s="185" t="s">
        <v>163</v>
      </c>
      <c r="CL42" s="185"/>
      <c r="CM42" s="193">
        <v>1986</v>
      </c>
      <c r="CN42" s="193">
        <v>112</v>
      </c>
      <c r="CO42" s="193">
        <v>24</v>
      </c>
      <c r="CP42" s="194">
        <v>1744</v>
      </c>
      <c r="CQ42" s="193">
        <v>879</v>
      </c>
      <c r="CR42" s="193"/>
      <c r="CS42" s="193">
        <v>379</v>
      </c>
      <c r="CT42" s="194">
        <v>13565</v>
      </c>
      <c r="CU42" s="194">
        <v>2316</v>
      </c>
      <c r="CV42" s="193"/>
      <c r="CW42" s="194">
        <v>18883</v>
      </c>
      <c r="CX42" s="193"/>
      <c r="CY42" s="193">
        <v>63</v>
      </c>
      <c r="CZ42" s="193" t="s">
        <v>163</v>
      </c>
      <c r="DA42" s="193" t="s">
        <v>163</v>
      </c>
      <c r="DB42" s="193" t="s">
        <v>163</v>
      </c>
      <c r="DC42" s="193" t="s">
        <v>390</v>
      </c>
      <c r="DD42" s="193"/>
      <c r="DE42" s="194">
        <v>9682</v>
      </c>
      <c r="DF42" s="193" t="s">
        <v>163</v>
      </c>
      <c r="DG42" s="193"/>
      <c r="DH42" s="193" t="s">
        <v>163</v>
      </c>
      <c r="DI42" s="193"/>
      <c r="DJ42" s="193" t="s">
        <v>163</v>
      </c>
      <c r="DK42" s="193"/>
      <c r="DL42" s="202">
        <v>1986</v>
      </c>
      <c r="DM42" s="203">
        <v>3596</v>
      </c>
      <c r="DN42" s="202">
        <v>15</v>
      </c>
      <c r="DO42" s="203">
        <v>1026</v>
      </c>
      <c r="DP42" s="202">
        <v>0</v>
      </c>
      <c r="DQ42" s="203">
        <v>32050</v>
      </c>
      <c r="DR42" s="203">
        <v>33076</v>
      </c>
      <c r="DS42" s="203">
        <v>2420</v>
      </c>
      <c r="DT42" s="202">
        <v>329</v>
      </c>
      <c r="DU42" s="202" t="s">
        <v>163</v>
      </c>
      <c r="DV42" s="202">
        <v>0</v>
      </c>
      <c r="DW42" s="202">
        <v>0</v>
      </c>
      <c r="DX42" s="202">
        <v>0</v>
      </c>
      <c r="DY42" s="203">
        <v>3628</v>
      </c>
      <c r="DZ42" s="202" t="s">
        <v>163</v>
      </c>
      <c r="EA42" s="138"/>
    </row>
    <row r="43" spans="1:131" ht="17.25" customHeight="1">
      <c r="A43" s="205">
        <f t="shared" si="2"/>
        <v>0.66761127753303962</v>
      </c>
      <c r="B43" s="205">
        <f>+C43*'EIA Emissions'!$C$3/1000</f>
        <v>35634.076651982381</v>
      </c>
      <c r="C43" s="208">
        <f t="shared" si="3"/>
        <v>0.64942731277533039</v>
      </c>
      <c r="D43" s="207">
        <f t="shared" si="0"/>
        <v>0.46255506607929514</v>
      </c>
      <c r="E43" s="208">
        <f>'EIA Energy Use '!B92/1000</f>
        <v>1.4039999999999999</v>
      </c>
      <c r="F43" s="208"/>
      <c r="G43" s="159">
        <f t="shared" si="1"/>
        <v>227</v>
      </c>
      <c r="H43" s="167">
        <v>1987</v>
      </c>
      <c r="I43" s="167">
        <v>220</v>
      </c>
      <c r="J43" s="167">
        <v>187</v>
      </c>
      <c r="K43" s="168">
        <v>41028</v>
      </c>
      <c r="L43" s="168">
        <v>2634</v>
      </c>
      <c r="M43" s="168">
        <v>7850</v>
      </c>
      <c r="N43" s="167"/>
      <c r="O43" s="168">
        <v>57692</v>
      </c>
      <c r="P43" s="168">
        <v>10454</v>
      </c>
      <c r="Q43" s="168">
        <v>3974</v>
      </c>
      <c r="R43" s="167"/>
      <c r="S43" s="168">
        <v>123633</v>
      </c>
      <c r="T43" s="167"/>
      <c r="U43" s="167">
        <v>63</v>
      </c>
      <c r="V43" s="167" t="s">
        <v>163</v>
      </c>
      <c r="W43" s="167" t="s">
        <v>163</v>
      </c>
      <c r="X43" s="167" t="s">
        <v>163</v>
      </c>
      <c r="Y43" s="167" t="s">
        <v>163</v>
      </c>
      <c r="Z43" s="167"/>
      <c r="AA43" s="168">
        <v>42383</v>
      </c>
      <c r="AB43" s="167" t="s">
        <v>163</v>
      </c>
      <c r="AC43" s="167"/>
      <c r="AD43" s="167" t="s">
        <v>163</v>
      </c>
      <c r="AE43" s="167"/>
      <c r="AF43" s="167" t="s">
        <v>163</v>
      </c>
      <c r="AG43" s="167"/>
      <c r="AH43" s="175">
        <v>1987</v>
      </c>
      <c r="AI43" s="175">
        <v>13</v>
      </c>
      <c r="AJ43" s="175">
        <v>105</v>
      </c>
      <c r="AK43" s="176">
        <v>21218</v>
      </c>
      <c r="AL43" s="176">
        <v>1142</v>
      </c>
      <c r="AM43" s="175">
        <v>530</v>
      </c>
      <c r="AN43" s="176">
        <v>22890</v>
      </c>
      <c r="AO43" s="175" t="s">
        <v>163</v>
      </c>
      <c r="AP43" s="175" t="s">
        <v>163</v>
      </c>
      <c r="AQ43" s="175" t="s">
        <v>163</v>
      </c>
      <c r="AR43" s="176">
        <v>14475</v>
      </c>
      <c r="AS43" s="175" t="s">
        <v>163</v>
      </c>
      <c r="AT43" s="175" t="s">
        <v>163</v>
      </c>
      <c r="AU43" s="175"/>
      <c r="AV43" s="175" t="s">
        <v>163</v>
      </c>
      <c r="AW43" s="175"/>
      <c r="AX43" s="175">
        <v>1987</v>
      </c>
      <c r="AY43" s="175">
        <v>42</v>
      </c>
      <c r="AZ43" s="175">
        <v>47</v>
      </c>
      <c r="BA43" s="176">
        <v>6935</v>
      </c>
      <c r="BB43" s="175">
        <v>457</v>
      </c>
      <c r="BC43" s="175">
        <v>50</v>
      </c>
      <c r="BD43" s="175">
        <v>194</v>
      </c>
      <c r="BE43" s="176">
        <v>2851</v>
      </c>
      <c r="BF43" s="176">
        <v>10487</v>
      </c>
      <c r="BG43" s="175" t="s">
        <v>390</v>
      </c>
      <c r="BH43" s="175" t="s">
        <v>163</v>
      </c>
      <c r="BI43" s="175" t="s">
        <v>163</v>
      </c>
      <c r="BJ43" s="175" t="s">
        <v>390</v>
      </c>
      <c r="BK43" s="175"/>
      <c r="BL43" s="176">
        <v>17666</v>
      </c>
      <c r="BM43" s="175" t="s">
        <v>163</v>
      </c>
      <c r="BN43" s="175"/>
      <c r="BO43" s="175" t="s">
        <v>163</v>
      </c>
      <c r="BP43" s="175"/>
      <c r="BQ43" s="175" t="s">
        <v>163</v>
      </c>
      <c r="BR43" s="175"/>
      <c r="BS43" s="185">
        <v>1987</v>
      </c>
      <c r="BT43" s="185">
        <v>0</v>
      </c>
      <c r="BU43" s="185">
        <v>1</v>
      </c>
      <c r="BV43" s="185">
        <v>123</v>
      </c>
      <c r="BW43" s="186">
        <v>8461</v>
      </c>
      <c r="BX43" s="185">
        <v>51</v>
      </c>
      <c r="BY43" s="185"/>
      <c r="BZ43" s="186">
        <v>7850</v>
      </c>
      <c r="CA43" s="185"/>
      <c r="CB43" s="185">
        <v>466</v>
      </c>
      <c r="CC43" s="186">
        <v>57108</v>
      </c>
      <c r="CD43" s="185">
        <v>459</v>
      </c>
      <c r="CE43" s="186">
        <v>74518</v>
      </c>
      <c r="CF43" s="185"/>
      <c r="CG43" s="185">
        <v>199</v>
      </c>
      <c r="CH43" s="185" t="s">
        <v>163</v>
      </c>
      <c r="CI43" s="185"/>
      <c r="CJ43" s="185" t="s">
        <v>163</v>
      </c>
      <c r="CK43" s="185" t="s">
        <v>163</v>
      </c>
      <c r="CL43" s="185"/>
      <c r="CM43" s="193">
        <v>1987</v>
      </c>
      <c r="CN43" s="193">
        <v>165</v>
      </c>
      <c r="CO43" s="193">
        <v>34</v>
      </c>
      <c r="CP43" s="194">
        <v>4414</v>
      </c>
      <c r="CQ43" s="193">
        <v>984</v>
      </c>
      <c r="CR43" s="193"/>
      <c r="CS43" s="193">
        <v>391</v>
      </c>
      <c r="CT43" s="194">
        <v>7144</v>
      </c>
      <c r="CU43" s="194">
        <v>2804</v>
      </c>
      <c r="CV43" s="193"/>
      <c r="CW43" s="194">
        <v>15737</v>
      </c>
      <c r="CX43" s="193"/>
      <c r="CY43" s="193">
        <v>63</v>
      </c>
      <c r="CZ43" s="193" t="s">
        <v>163</v>
      </c>
      <c r="DA43" s="193" t="s">
        <v>163</v>
      </c>
      <c r="DB43" s="193" t="s">
        <v>163</v>
      </c>
      <c r="DC43" s="193" t="s">
        <v>390</v>
      </c>
      <c r="DD43" s="193"/>
      <c r="DE43" s="194">
        <v>10043</v>
      </c>
      <c r="DF43" s="193" t="s">
        <v>163</v>
      </c>
      <c r="DG43" s="193"/>
      <c r="DH43" s="193" t="s">
        <v>163</v>
      </c>
      <c r="DI43" s="193"/>
      <c r="DJ43" s="193" t="s">
        <v>163</v>
      </c>
      <c r="DK43" s="193"/>
      <c r="DL43" s="202">
        <v>1987</v>
      </c>
      <c r="DM43" s="203">
        <v>4267</v>
      </c>
      <c r="DN43" s="202">
        <v>40</v>
      </c>
      <c r="DO43" s="203">
        <v>1124</v>
      </c>
      <c r="DP43" s="202">
        <v>0</v>
      </c>
      <c r="DQ43" s="203">
        <v>27616</v>
      </c>
      <c r="DR43" s="203">
        <v>28739</v>
      </c>
      <c r="DS43" s="203">
        <v>1136</v>
      </c>
      <c r="DT43" s="202">
        <v>247</v>
      </c>
      <c r="DU43" s="202" t="s">
        <v>163</v>
      </c>
      <c r="DV43" s="202">
        <v>0</v>
      </c>
      <c r="DW43" s="202">
        <v>0</v>
      </c>
      <c r="DX43" s="202">
        <v>0</v>
      </c>
      <c r="DY43" s="203">
        <v>4845</v>
      </c>
      <c r="DZ43" s="202" t="s">
        <v>163</v>
      </c>
      <c r="EA43" s="138"/>
    </row>
    <row r="44" spans="1:131" ht="17.25" customHeight="1">
      <c r="A44" s="205">
        <f t="shared" si="2"/>
        <v>0.46520166824644549</v>
      </c>
      <c r="B44" s="205">
        <f>+C44*'EIA Emissions'!$C$3/1000</f>
        <v>24830.365308056873</v>
      </c>
      <c r="C44" s="208">
        <f t="shared" si="3"/>
        <v>0.45253080568720377</v>
      </c>
      <c r="D44" s="207">
        <f t="shared" si="0"/>
        <v>0.51658767772511849</v>
      </c>
      <c r="E44" s="208">
        <f>'EIA Energy Use '!B93/1000</f>
        <v>0.876</v>
      </c>
      <c r="F44" s="208"/>
      <c r="G44" s="159">
        <f t="shared" si="1"/>
        <v>211</v>
      </c>
      <c r="H44" s="167">
        <v>1988</v>
      </c>
      <c r="I44" s="167">
        <v>203</v>
      </c>
      <c r="J44" s="167">
        <v>191</v>
      </c>
      <c r="K44" s="168">
        <v>39347</v>
      </c>
      <c r="L44" s="168">
        <v>2373</v>
      </c>
      <c r="M44" s="168">
        <v>9320</v>
      </c>
      <c r="N44" s="167"/>
      <c r="O44" s="168">
        <v>59344</v>
      </c>
      <c r="P44" s="168">
        <v>7756</v>
      </c>
      <c r="Q44" s="168">
        <v>3938</v>
      </c>
      <c r="R44" s="167"/>
      <c r="S44" s="168">
        <v>122079</v>
      </c>
      <c r="T44" s="167"/>
      <c r="U44" s="167">
        <v>63</v>
      </c>
      <c r="V44" s="167" t="s">
        <v>163</v>
      </c>
      <c r="W44" s="167" t="s">
        <v>163</v>
      </c>
      <c r="X44" s="167" t="s">
        <v>163</v>
      </c>
      <c r="Y44" s="167" t="s">
        <v>163</v>
      </c>
      <c r="Z44" s="167"/>
      <c r="AA44" s="168">
        <v>44727</v>
      </c>
      <c r="AB44" s="167" t="s">
        <v>163</v>
      </c>
      <c r="AC44" s="167"/>
      <c r="AD44" s="167" t="s">
        <v>163</v>
      </c>
      <c r="AE44" s="167"/>
      <c r="AF44" s="167" t="s">
        <v>163</v>
      </c>
      <c r="AG44" s="167"/>
      <c r="AH44" s="175">
        <v>1988</v>
      </c>
      <c r="AI44" s="175">
        <v>14</v>
      </c>
      <c r="AJ44" s="175">
        <v>109</v>
      </c>
      <c r="AK44" s="176">
        <v>21221</v>
      </c>
      <c r="AL44" s="176">
        <v>1122</v>
      </c>
      <c r="AM44" s="175">
        <v>300</v>
      </c>
      <c r="AN44" s="176">
        <v>22642</v>
      </c>
      <c r="AO44" s="175" t="s">
        <v>163</v>
      </c>
      <c r="AP44" s="175" t="s">
        <v>163</v>
      </c>
      <c r="AQ44" s="175" t="s">
        <v>163</v>
      </c>
      <c r="AR44" s="176">
        <v>15511</v>
      </c>
      <c r="AS44" s="175" t="s">
        <v>163</v>
      </c>
      <c r="AT44" s="175" t="s">
        <v>163</v>
      </c>
      <c r="AU44" s="175"/>
      <c r="AV44" s="175" t="s">
        <v>163</v>
      </c>
      <c r="AW44" s="175"/>
      <c r="AX44" s="175">
        <v>1988</v>
      </c>
      <c r="AY44" s="175">
        <v>49</v>
      </c>
      <c r="AZ44" s="175">
        <v>49</v>
      </c>
      <c r="BA44" s="176">
        <v>7284</v>
      </c>
      <c r="BB44" s="175">
        <v>449</v>
      </c>
      <c r="BC44" s="175">
        <v>71</v>
      </c>
      <c r="BD44" s="175">
        <v>183</v>
      </c>
      <c r="BE44" s="176">
        <v>3426</v>
      </c>
      <c r="BF44" s="176">
        <v>11413</v>
      </c>
      <c r="BG44" s="175" t="s">
        <v>390</v>
      </c>
      <c r="BH44" s="175" t="s">
        <v>163</v>
      </c>
      <c r="BI44" s="175" t="s">
        <v>163</v>
      </c>
      <c r="BJ44" s="175" t="s">
        <v>390</v>
      </c>
      <c r="BK44" s="175"/>
      <c r="BL44" s="176">
        <v>18732</v>
      </c>
      <c r="BM44" s="175" t="s">
        <v>163</v>
      </c>
      <c r="BN44" s="175"/>
      <c r="BO44" s="175" t="s">
        <v>163</v>
      </c>
      <c r="BP44" s="175"/>
      <c r="BQ44" s="175" t="s">
        <v>163</v>
      </c>
      <c r="BR44" s="175"/>
      <c r="BS44" s="185">
        <v>1988</v>
      </c>
      <c r="BT44" s="185">
        <v>0</v>
      </c>
      <c r="BU44" s="185">
        <v>2</v>
      </c>
      <c r="BV44" s="185">
        <v>127</v>
      </c>
      <c r="BW44" s="186">
        <v>8036</v>
      </c>
      <c r="BX44" s="185">
        <v>62</v>
      </c>
      <c r="BY44" s="185"/>
      <c r="BZ44" s="186">
        <v>9320</v>
      </c>
      <c r="CA44" s="185"/>
      <c r="CB44" s="185">
        <v>450</v>
      </c>
      <c r="CC44" s="186">
        <v>58744</v>
      </c>
      <c r="CD44" s="185">
        <v>675</v>
      </c>
      <c r="CE44" s="186">
        <v>77414</v>
      </c>
      <c r="CF44" s="185"/>
      <c r="CG44" s="185">
        <v>241</v>
      </c>
      <c r="CH44" s="185" t="s">
        <v>163</v>
      </c>
      <c r="CI44" s="185"/>
      <c r="CJ44" s="185" t="s">
        <v>163</v>
      </c>
      <c r="CK44" s="185" t="s">
        <v>163</v>
      </c>
      <c r="CL44" s="185"/>
      <c r="CM44" s="193">
        <v>1988</v>
      </c>
      <c r="CN44" s="193">
        <v>140</v>
      </c>
      <c r="CO44" s="193">
        <v>32</v>
      </c>
      <c r="CP44" s="194">
        <v>2806</v>
      </c>
      <c r="CQ44" s="193">
        <v>740</v>
      </c>
      <c r="CR44" s="193"/>
      <c r="CS44" s="193">
        <v>417</v>
      </c>
      <c r="CT44" s="194">
        <v>3655</v>
      </c>
      <c r="CU44" s="194">
        <v>2991</v>
      </c>
      <c r="CV44" s="193"/>
      <c r="CW44" s="194">
        <v>10609</v>
      </c>
      <c r="CX44" s="193"/>
      <c r="CY44" s="193">
        <v>63</v>
      </c>
      <c r="CZ44" s="193" t="s">
        <v>163</v>
      </c>
      <c r="DA44" s="193" t="s">
        <v>163</v>
      </c>
      <c r="DB44" s="193" t="s">
        <v>163</v>
      </c>
      <c r="DC44" s="193" t="s">
        <v>390</v>
      </c>
      <c r="DD44" s="193"/>
      <c r="DE44" s="194">
        <v>10243</v>
      </c>
      <c r="DF44" s="193" t="s">
        <v>163</v>
      </c>
      <c r="DG44" s="193"/>
      <c r="DH44" s="193" t="s">
        <v>163</v>
      </c>
      <c r="DI44" s="193"/>
      <c r="DJ44" s="193" t="s">
        <v>163</v>
      </c>
      <c r="DK44" s="193"/>
      <c r="DL44" s="202">
        <v>1988</v>
      </c>
      <c r="DM44" s="203">
        <v>4260</v>
      </c>
      <c r="DN44" s="202">
        <v>20</v>
      </c>
      <c r="DO44" s="203">
        <v>1534</v>
      </c>
      <c r="DP44" s="202">
        <v>0</v>
      </c>
      <c r="DQ44" s="203">
        <v>30664</v>
      </c>
      <c r="DR44" s="203">
        <v>32198</v>
      </c>
      <c r="DS44" s="203">
        <v>1117</v>
      </c>
      <c r="DT44" s="202">
        <v>150</v>
      </c>
      <c r="DU44" s="202" t="s">
        <v>163</v>
      </c>
      <c r="DV44" s="202">
        <v>0</v>
      </c>
      <c r="DW44" s="202">
        <v>0</v>
      </c>
      <c r="DX44" s="202">
        <v>0</v>
      </c>
      <c r="DY44" s="203">
        <v>2872</v>
      </c>
      <c r="DZ44" s="202" t="s">
        <v>163</v>
      </c>
      <c r="EA44" s="138"/>
    </row>
    <row r="45" spans="1:131" ht="17.25" customHeight="1">
      <c r="A45" s="205">
        <f t="shared" si="2"/>
        <v>0.31742674103585655</v>
      </c>
      <c r="B45" s="205">
        <f>+C45*'EIA Emissions'!$C$3/1000</f>
        <v>16942.806693227089</v>
      </c>
      <c r="C45" s="208">
        <f t="shared" si="3"/>
        <v>0.30878087649402386</v>
      </c>
      <c r="D45" s="207">
        <f t="shared" si="0"/>
        <v>0.44621513944223107</v>
      </c>
      <c r="E45" s="208">
        <f>'EIA Energy Use '!B94/1000</f>
        <v>0.69199999999999995</v>
      </c>
      <c r="F45" s="208"/>
      <c r="G45" s="159">
        <f t="shared" si="1"/>
        <v>251</v>
      </c>
      <c r="H45" s="167">
        <v>1989</v>
      </c>
      <c r="I45" s="167">
        <v>167</v>
      </c>
      <c r="J45" s="167">
        <v>201</v>
      </c>
      <c r="K45" s="168">
        <v>42037</v>
      </c>
      <c r="L45" s="168">
        <v>2567</v>
      </c>
      <c r="M45" s="168">
        <v>10005</v>
      </c>
      <c r="N45" s="167"/>
      <c r="O45" s="168">
        <v>58290</v>
      </c>
      <c r="P45" s="168">
        <v>8389</v>
      </c>
      <c r="Q45" s="168">
        <v>3541</v>
      </c>
      <c r="R45" s="167"/>
      <c r="S45" s="168">
        <v>124830</v>
      </c>
      <c r="T45" s="167"/>
      <c r="U45" s="167">
        <v>8</v>
      </c>
      <c r="V45" s="167" t="s">
        <v>163</v>
      </c>
      <c r="W45" s="167" t="s">
        <v>163</v>
      </c>
      <c r="X45" s="167" t="s">
        <v>163</v>
      </c>
      <c r="Y45" s="167" t="s">
        <v>163</v>
      </c>
      <c r="Z45" s="167"/>
      <c r="AA45" s="168">
        <v>45683</v>
      </c>
      <c r="AB45" s="167" t="s">
        <v>163</v>
      </c>
      <c r="AC45" s="167"/>
      <c r="AD45" s="167" t="s">
        <v>163</v>
      </c>
      <c r="AE45" s="167"/>
      <c r="AF45" s="167" t="s">
        <v>163</v>
      </c>
      <c r="AG45" s="167"/>
      <c r="AH45" s="175">
        <v>1989</v>
      </c>
      <c r="AI45" s="175">
        <v>11</v>
      </c>
      <c r="AJ45" s="175">
        <v>112</v>
      </c>
      <c r="AK45" s="176">
        <v>22823</v>
      </c>
      <c r="AL45" s="176">
        <v>1333</v>
      </c>
      <c r="AM45" s="175">
        <v>270</v>
      </c>
      <c r="AN45" s="176">
        <v>24425</v>
      </c>
      <c r="AO45" s="175" t="s">
        <v>163</v>
      </c>
      <c r="AP45" s="175" t="s">
        <v>163</v>
      </c>
      <c r="AQ45" s="175" t="s">
        <v>163</v>
      </c>
      <c r="AR45" s="176">
        <v>15772</v>
      </c>
      <c r="AS45" s="175" t="s">
        <v>163</v>
      </c>
      <c r="AT45" s="175" t="s">
        <v>163</v>
      </c>
      <c r="AU45" s="175"/>
      <c r="AV45" s="175" t="s">
        <v>163</v>
      </c>
      <c r="AW45" s="175"/>
      <c r="AX45" s="175">
        <v>1989</v>
      </c>
      <c r="AY45" s="175">
        <v>43</v>
      </c>
      <c r="AZ45" s="175">
        <v>52</v>
      </c>
      <c r="BA45" s="176">
        <v>8615</v>
      </c>
      <c r="BB45" s="175">
        <v>534</v>
      </c>
      <c r="BC45" s="175">
        <v>64</v>
      </c>
      <c r="BD45" s="175">
        <v>188</v>
      </c>
      <c r="BE45" s="176">
        <v>3826</v>
      </c>
      <c r="BF45" s="176">
        <v>13227</v>
      </c>
      <c r="BG45" s="175">
        <v>0</v>
      </c>
      <c r="BH45" s="175" t="s">
        <v>163</v>
      </c>
      <c r="BI45" s="175" t="s">
        <v>163</v>
      </c>
      <c r="BJ45" s="175" t="s">
        <v>373</v>
      </c>
      <c r="BK45" s="175"/>
      <c r="BL45" s="176">
        <v>19330</v>
      </c>
      <c r="BM45" s="175" t="s">
        <v>163</v>
      </c>
      <c r="BN45" s="175"/>
      <c r="BO45" s="175" t="s">
        <v>163</v>
      </c>
      <c r="BP45" s="175"/>
      <c r="BQ45" s="175" t="s">
        <v>163</v>
      </c>
      <c r="BR45" s="175"/>
      <c r="BS45" s="185">
        <v>1989</v>
      </c>
      <c r="BT45" s="185">
        <v>0</v>
      </c>
      <c r="BU45" s="185">
        <v>2</v>
      </c>
      <c r="BV45" s="185">
        <v>118</v>
      </c>
      <c r="BW45" s="186">
        <v>7778</v>
      </c>
      <c r="BX45" s="185">
        <v>62</v>
      </c>
      <c r="BY45" s="185"/>
      <c r="BZ45" s="186">
        <v>10005</v>
      </c>
      <c r="CA45" s="185"/>
      <c r="CB45" s="185">
        <v>461</v>
      </c>
      <c r="CC45" s="186">
        <v>57627</v>
      </c>
      <c r="CD45" s="186">
        <v>1174</v>
      </c>
      <c r="CE45" s="186">
        <v>77225</v>
      </c>
      <c r="CF45" s="185"/>
      <c r="CG45" s="185">
        <v>200</v>
      </c>
      <c r="CH45" s="185" t="s">
        <v>163</v>
      </c>
      <c r="CI45" s="185"/>
      <c r="CJ45" s="185" t="s">
        <v>163</v>
      </c>
      <c r="CK45" s="185" t="s">
        <v>163</v>
      </c>
      <c r="CL45" s="185"/>
      <c r="CM45" s="193">
        <v>1989</v>
      </c>
      <c r="CN45" s="193">
        <v>113</v>
      </c>
      <c r="CO45" s="193">
        <v>36</v>
      </c>
      <c r="CP45" s="194">
        <v>2821</v>
      </c>
      <c r="CQ45" s="193">
        <v>639</v>
      </c>
      <c r="CR45" s="193"/>
      <c r="CS45" s="193">
        <v>475</v>
      </c>
      <c r="CT45" s="194">
        <v>3389</v>
      </c>
      <c r="CU45" s="194">
        <v>2628</v>
      </c>
      <c r="CV45" s="193"/>
      <c r="CW45" s="194">
        <v>9953</v>
      </c>
      <c r="CX45" s="193"/>
      <c r="CY45" s="193">
        <v>8</v>
      </c>
      <c r="CZ45" s="193" t="s">
        <v>163</v>
      </c>
      <c r="DA45" s="193" t="s">
        <v>163</v>
      </c>
      <c r="DB45" s="193" t="s">
        <v>163</v>
      </c>
      <c r="DC45" s="193" t="s">
        <v>390</v>
      </c>
      <c r="DD45" s="193"/>
      <c r="DE45" s="194">
        <v>10381</v>
      </c>
      <c r="DF45" s="193" t="s">
        <v>163</v>
      </c>
      <c r="DG45" s="193"/>
      <c r="DH45" s="193" t="s">
        <v>163</v>
      </c>
      <c r="DI45" s="193"/>
      <c r="DJ45" s="193" t="s">
        <v>163</v>
      </c>
      <c r="DK45" s="193"/>
      <c r="DL45" s="202">
        <v>1989</v>
      </c>
      <c r="DM45" s="203">
        <v>4503</v>
      </c>
      <c r="DN45" s="202">
        <v>50</v>
      </c>
      <c r="DO45" s="203">
        <v>1724</v>
      </c>
      <c r="DP45" s="202">
        <v>0</v>
      </c>
      <c r="DQ45" s="203">
        <v>29641</v>
      </c>
      <c r="DR45" s="203">
        <v>31365</v>
      </c>
      <c r="DS45" s="203">
        <v>3015</v>
      </c>
      <c r="DT45" s="202">
        <v>396</v>
      </c>
      <c r="DU45" s="202" t="s">
        <v>163</v>
      </c>
      <c r="DV45" s="202">
        <v>0</v>
      </c>
      <c r="DW45" s="202">
        <v>0</v>
      </c>
      <c r="DX45" s="202">
        <v>0</v>
      </c>
      <c r="DY45" s="203">
        <v>2060</v>
      </c>
      <c r="DZ45" s="202" t="s">
        <v>163</v>
      </c>
      <c r="EA45" s="138"/>
    </row>
    <row r="46" spans="1:131" ht="17.25" customHeight="1">
      <c r="A46" s="205">
        <f t="shared" si="2"/>
        <v>0.13207853030303029</v>
      </c>
      <c r="B46" s="205">
        <f>+C46*'EIA Emissions'!$C$3/1000</f>
        <v>7049.7557954545446</v>
      </c>
      <c r="C46" s="208">
        <f t="shared" si="3"/>
        <v>0.1284810606060606</v>
      </c>
      <c r="D46" s="207">
        <f t="shared" si="0"/>
        <v>0.40530303030303028</v>
      </c>
      <c r="E46" s="208">
        <f>'EIA Energy Use '!B95/1000</f>
        <v>0.317</v>
      </c>
      <c r="F46" s="208"/>
      <c r="G46" s="159">
        <f t="shared" si="1"/>
        <v>264</v>
      </c>
      <c r="H46" s="167">
        <v>1990</v>
      </c>
      <c r="I46" s="167">
        <v>136</v>
      </c>
      <c r="J46" s="167">
        <v>203</v>
      </c>
      <c r="K46" s="168">
        <v>37991</v>
      </c>
      <c r="L46" s="168">
        <v>2631</v>
      </c>
      <c r="M46" s="168">
        <v>9806</v>
      </c>
      <c r="N46" s="167"/>
      <c r="O46" s="168">
        <v>56125</v>
      </c>
      <c r="P46" s="168">
        <v>8442</v>
      </c>
      <c r="Q46" s="168">
        <v>3354</v>
      </c>
      <c r="R46" s="167"/>
      <c r="S46" s="168">
        <v>118349</v>
      </c>
      <c r="T46" s="167"/>
      <c r="U46" s="167">
        <v>11</v>
      </c>
      <c r="V46" s="167" t="s">
        <v>163</v>
      </c>
      <c r="W46" s="167" t="s">
        <v>163</v>
      </c>
      <c r="X46" s="167" t="s">
        <v>163</v>
      </c>
      <c r="Y46" s="167" t="s">
        <v>163</v>
      </c>
      <c r="Z46" s="167"/>
      <c r="AA46" s="168">
        <v>45442</v>
      </c>
      <c r="AB46" s="167" t="s">
        <v>163</v>
      </c>
      <c r="AC46" s="167"/>
      <c r="AD46" s="167" t="s">
        <v>163</v>
      </c>
      <c r="AE46" s="167"/>
      <c r="AF46" s="167" t="s">
        <v>163</v>
      </c>
      <c r="AG46" s="167"/>
      <c r="AH46" s="175">
        <v>1990</v>
      </c>
      <c r="AI46" s="175">
        <v>13</v>
      </c>
      <c r="AJ46" s="175">
        <v>107</v>
      </c>
      <c r="AK46" s="176">
        <v>20540</v>
      </c>
      <c r="AL46" s="176">
        <v>1141</v>
      </c>
      <c r="AM46" s="175">
        <v>163</v>
      </c>
      <c r="AN46" s="176">
        <v>21843</v>
      </c>
      <c r="AO46" s="175" t="s">
        <v>163</v>
      </c>
      <c r="AP46" s="175" t="s">
        <v>163</v>
      </c>
      <c r="AQ46" s="175" t="s">
        <v>163</v>
      </c>
      <c r="AR46" s="176">
        <v>15581</v>
      </c>
      <c r="AS46" s="175" t="s">
        <v>163</v>
      </c>
      <c r="AT46" s="175" t="s">
        <v>163</v>
      </c>
      <c r="AU46" s="175"/>
      <c r="AV46" s="175" t="s">
        <v>163</v>
      </c>
      <c r="AW46" s="175"/>
      <c r="AX46" s="175">
        <v>1990</v>
      </c>
      <c r="AY46" s="175">
        <v>50</v>
      </c>
      <c r="AZ46" s="175">
        <v>51</v>
      </c>
      <c r="BA46" s="176">
        <v>7409</v>
      </c>
      <c r="BB46" s="175">
        <v>457</v>
      </c>
      <c r="BC46" s="175">
        <v>127</v>
      </c>
      <c r="BD46" s="175">
        <v>69</v>
      </c>
      <c r="BE46" s="176">
        <v>4473</v>
      </c>
      <c r="BF46" s="176">
        <v>12535</v>
      </c>
      <c r="BG46" s="175">
        <v>0</v>
      </c>
      <c r="BH46" s="175" t="s">
        <v>163</v>
      </c>
      <c r="BI46" s="175" t="s">
        <v>163</v>
      </c>
      <c r="BJ46" s="175" t="s">
        <v>373</v>
      </c>
      <c r="BK46" s="175"/>
      <c r="BL46" s="176">
        <v>19520</v>
      </c>
      <c r="BM46" s="175" t="s">
        <v>163</v>
      </c>
      <c r="BN46" s="175"/>
      <c r="BO46" s="175" t="s">
        <v>163</v>
      </c>
      <c r="BP46" s="175"/>
      <c r="BQ46" s="175" t="s">
        <v>163</v>
      </c>
      <c r="BR46" s="175"/>
      <c r="BS46" s="185">
        <v>1990</v>
      </c>
      <c r="BT46" s="185">
        <v>0</v>
      </c>
      <c r="BU46" s="185">
        <v>1</v>
      </c>
      <c r="BV46" s="185">
        <v>97</v>
      </c>
      <c r="BW46" s="186">
        <v>7457</v>
      </c>
      <c r="BX46" s="185">
        <v>59</v>
      </c>
      <c r="BY46" s="185"/>
      <c r="BZ46" s="186">
        <v>9806</v>
      </c>
      <c r="CA46" s="185"/>
      <c r="CB46" s="185">
        <v>475</v>
      </c>
      <c r="CC46" s="186">
        <v>55642</v>
      </c>
      <c r="CD46" s="186">
        <v>1366</v>
      </c>
      <c r="CE46" s="186">
        <v>74901</v>
      </c>
      <c r="CF46" s="185"/>
      <c r="CG46" s="185">
        <v>183</v>
      </c>
      <c r="CH46" s="185" t="s">
        <v>163</v>
      </c>
      <c r="CI46" s="185"/>
      <c r="CJ46" s="185" t="s">
        <v>163</v>
      </c>
      <c r="CK46" s="185" t="s">
        <v>163</v>
      </c>
      <c r="CL46" s="185"/>
      <c r="CM46" s="193">
        <v>1990</v>
      </c>
      <c r="CN46" s="193">
        <v>73</v>
      </c>
      <c r="CO46" s="193">
        <v>44</v>
      </c>
      <c r="CP46" s="194">
        <v>2585</v>
      </c>
      <c r="CQ46" s="193">
        <v>973</v>
      </c>
      <c r="CR46" s="193"/>
      <c r="CS46" s="193">
        <v>414</v>
      </c>
      <c r="CT46" s="194">
        <v>2604</v>
      </c>
      <c r="CU46" s="194">
        <v>2493</v>
      </c>
      <c r="CV46" s="193"/>
      <c r="CW46" s="194">
        <v>9070</v>
      </c>
      <c r="CX46" s="193"/>
      <c r="CY46" s="193">
        <v>11</v>
      </c>
      <c r="CZ46" s="193" t="s">
        <v>163</v>
      </c>
      <c r="DA46" s="193" t="s">
        <v>163</v>
      </c>
      <c r="DB46" s="193" t="s">
        <v>163</v>
      </c>
      <c r="DC46" s="193" t="s">
        <v>373</v>
      </c>
      <c r="DD46" s="193"/>
      <c r="DE46" s="194">
        <v>10157</v>
      </c>
      <c r="DF46" s="193" t="s">
        <v>163</v>
      </c>
      <c r="DG46" s="193"/>
      <c r="DH46" s="193" t="s">
        <v>163</v>
      </c>
      <c r="DI46" s="193"/>
      <c r="DJ46" s="193" t="s">
        <v>163</v>
      </c>
      <c r="DK46" s="193"/>
      <c r="DL46" s="202">
        <v>1990</v>
      </c>
      <c r="DM46" s="203">
        <v>4234</v>
      </c>
      <c r="DN46" s="202">
        <v>61</v>
      </c>
      <c r="DO46" s="202">
        <v>614</v>
      </c>
      <c r="DP46" s="202">
        <v>0</v>
      </c>
      <c r="DQ46" s="203">
        <v>23505</v>
      </c>
      <c r="DR46" s="203">
        <v>24120</v>
      </c>
      <c r="DS46" s="203">
        <v>5070</v>
      </c>
      <c r="DT46" s="203">
        <v>1238</v>
      </c>
      <c r="DU46" s="202" t="s">
        <v>163</v>
      </c>
      <c r="DV46" s="202">
        <v>0</v>
      </c>
      <c r="DW46" s="202">
        <v>0</v>
      </c>
      <c r="DX46" s="202">
        <v>0</v>
      </c>
      <c r="DY46" s="203">
        <v>1921</v>
      </c>
      <c r="DZ46" s="202" t="s">
        <v>163</v>
      </c>
      <c r="EA46" s="138"/>
    </row>
    <row r="47" spans="1:131" ht="17.25" customHeight="1">
      <c r="A47" s="205">
        <f t="shared" si="2"/>
        <v>4.6542417582417582E-2</v>
      </c>
      <c r="B47" s="205">
        <f>+C47*'EIA Emissions'!$C$3/1000</f>
        <v>2484.2241758241757</v>
      </c>
      <c r="C47" s="208">
        <f t="shared" si="3"/>
        <v>4.5274725274725272E-2</v>
      </c>
      <c r="D47" s="207">
        <f t="shared" si="0"/>
        <v>0.37728937728937728</v>
      </c>
      <c r="E47" s="208">
        <f>'EIA Energy Use '!B96/1000</f>
        <v>0.12</v>
      </c>
      <c r="F47" s="208"/>
      <c r="G47" s="159">
        <f t="shared" si="1"/>
        <v>273</v>
      </c>
      <c r="H47" s="167">
        <v>1991</v>
      </c>
      <c r="I47" s="167">
        <v>112</v>
      </c>
      <c r="J47" s="167">
        <v>212</v>
      </c>
      <c r="K47" s="168">
        <v>36888</v>
      </c>
      <c r="L47" s="168">
        <v>1919</v>
      </c>
      <c r="M47" s="168">
        <v>9398</v>
      </c>
      <c r="N47" s="167"/>
      <c r="O47" s="168">
        <v>54488</v>
      </c>
      <c r="P47" s="168">
        <v>6374</v>
      </c>
      <c r="Q47" s="168">
        <v>3892</v>
      </c>
      <c r="R47" s="167"/>
      <c r="S47" s="168">
        <v>112959</v>
      </c>
      <c r="T47" s="167"/>
      <c r="U47" s="167">
        <v>11</v>
      </c>
      <c r="V47" s="167" t="s">
        <v>163</v>
      </c>
      <c r="W47" s="167" t="s">
        <v>163</v>
      </c>
      <c r="X47" s="167" t="s">
        <v>163</v>
      </c>
      <c r="Y47" s="167" t="s">
        <v>163</v>
      </c>
      <c r="Z47" s="167"/>
      <c r="AA47" s="168">
        <v>44797</v>
      </c>
      <c r="AB47" s="167" t="s">
        <v>163</v>
      </c>
      <c r="AC47" s="167"/>
      <c r="AD47" s="167" t="s">
        <v>163</v>
      </c>
      <c r="AE47" s="167"/>
      <c r="AF47" s="167" t="s">
        <v>163</v>
      </c>
      <c r="AG47" s="167"/>
      <c r="AH47" s="175">
        <v>1991</v>
      </c>
      <c r="AI47" s="175">
        <v>5</v>
      </c>
      <c r="AJ47" s="175">
        <v>103</v>
      </c>
      <c r="AK47" s="176">
        <v>19261</v>
      </c>
      <c r="AL47" s="176">
        <v>1032</v>
      </c>
      <c r="AM47" s="175">
        <v>151</v>
      </c>
      <c r="AN47" s="176">
        <v>20444</v>
      </c>
      <c r="AO47" s="175" t="s">
        <v>163</v>
      </c>
      <c r="AP47" s="175" t="s">
        <v>163</v>
      </c>
      <c r="AQ47" s="175" t="s">
        <v>163</v>
      </c>
      <c r="AR47" s="176">
        <v>15379</v>
      </c>
      <c r="AS47" s="175" t="s">
        <v>163</v>
      </c>
      <c r="AT47" s="175" t="s">
        <v>163</v>
      </c>
      <c r="AU47" s="175"/>
      <c r="AV47" s="175" t="s">
        <v>163</v>
      </c>
      <c r="AW47" s="175"/>
      <c r="AX47" s="175">
        <v>1991</v>
      </c>
      <c r="AY47" s="175">
        <v>22</v>
      </c>
      <c r="AZ47" s="175">
        <v>53</v>
      </c>
      <c r="BA47" s="176">
        <v>8809</v>
      </c>
      <c r="BB47" s="175">
        <v>414</v>
      </c>
      <c r="BC47" s="175">
        <v>200</v>
      </c>
      <c r="BD47" s="175">
        <v>182</v>
      </c>
      <c r="BE47" s="176">
        <v>4536</v>
      </c>
      <c r="BF47" s="176">
        <v>14141</v>
      </c>
      <c r="BG47" s="175">
        <v>0</v>
      </c>
      <c r="BH47" s="175" t="s">
        <v>163</v>
      </c>
      <c r="BI47" s="175" t="s">
        <v>163</v>
      </c>
      <c r="BJ47" s="175" t="s">
        <v>373</v>
      </c>
      <c r="BK47" s="175"/>
      <c r="BL47" s="176">
        <v>19421</v>
      </c>
      <c r="BM47" s="175" t="s">
        <v>163</v>
      </c>
      <c r="BN47" s="175"/>
      <c r="BO47" s="175" t="s">
        <v>163</v>
      </c>
      <c r="BP47" s="175"/>
      <c r="BQ47" s="175" t="s">
        <v>163</v>
      </c>
      <c r="BR47" s="175"/>
      <c r="BS47" s="185">
        <v>1991</v>
      </c>
      <c r="BT47" s="185">
        <v>0</v>
      </c>
      <c r="BU47" s="185">
        <v>2</v>
      </c>
      <c r="BV47" s="185">
        <v>45</v>
      </c>
      <c r="BW47" s="186">
        <v>7434</v>
      </c>
      <c r="BX47" s="185">
        <v>69</v>
      </c>
      <c r="BY47" s="185"/>
      <c r="BZ47" s="186">
        <v>9398</v>
      </c>
      <c r="CA47" s="185"/>
      <c r="CB47" s="185">
        <v>425</v>
      </c>
      <c r="CC47" s="186">
        <v>53974</v>
      </c>
      <c r="CD47" s="185">
        <v>440</v>
      </c>
      <c r="CE47" s="186">
        <v>71784</v>
      </c>
      <c r="CF47" s="185"/>
      <c r="CG47" s="185">
        <v>203</v>
      </c>
      <c r="CH47" s="185" t="s">
        <v>163</v>
      </c>
      <c r="CI47" s="185"/>
      <c r="CJ47" s="185" t="s">
        <v>163</v>
      </c>
      <c r="CK47" s="185" t="s">
        <v>163</v>
      </c>
      <c r="CL47" s="185"/>
      <c r="CM47" s="193">
        <v>1991</v>
      </c>
      <c r="CN47" s="193">
        <v>85</v>
      </c>
      <c r="CO47" s="193">
        <v>55</v>
      </c>
      <c r="CP47" s="194">
        <v>1383</v>
      </c>
      <c r="CQ47" s="193">
        <v>404</v>
      </c>
      <c r="CR47" s="193"/>
      <c r="CS47" s="193">
        <v>332</v>
      </c>
      <c r="CT47" s="194">
        <v>1398</v>
      </c>
      <c r="CU47" s="194">
        <v>3072</v>
      </c>
      <c r="CV47" s="193"/>
      <c r="CW47" s="194">
        <v>6589</v>
      </c>
      <c r="CX47" s="193"/>
      <c r="CY47" s="193">
        <v>11</v>
      </c>
      <c r="CZ47" s="193" t="s">
        <v>163</v>
      </c>
      <c r="DA47" s="193" t="s">
        <v>163</v>
      </c>
      <c r="DB47" s="193" t="s">
        <v>163</v>
      </c>
      <c r="DC47" s="193" t="s">
        <v>373</v>
      </c>
      <c r="DD47" s="193"/>
      <c r="DE47" s="194">
        <v>9794</v>
      </c>
      <c r="DF47" s="193" t="s">
        <v>163</v>
      </c>
      <c r="DG47" s="193"/>
      <c r="DH47" s="193" t="s">
        <v>163</v>
      </c>
      <c r="DI47" s="193"/>
      <c r="DJ47" s="193" t="s">
        <v>163</v>
      </c>
      <c r="DK47" s="193"/>
      <c r="DL47" s="202">
        <v>1991</v>
      </c>
      <c r="DM47" s="203">
        <v>4383</v>
      </c>
      <c r="DN47" s="202">
        <v>61</v>
      </c>
      <c r="DO47" s="202">
        <v>511</v>
      </c>
      <c r="DP47" s="202">
        <v>0</v>
      </c>
      <c r="DQ47" s="203">
        <v>24129</v>
      </c>
      <c r="DR47" s="203">
        <v>24640</v>
      </c>
      <c r="DS47" s="203">
        <v>4417</v>
      </c>
      <c r="DT47" s="203">
        <v>1104</v>
      </c>
      <c r="DU47" s="202" t="s">
        <v>163</v>
      </c>
      <c r="DV47" s="202">
        <v>0</v>
      </c>
      <c r="DW47" s="202">
        <v>0</v>
      </c>
      <c r="DX47" s="202">
        <v>0</v>
      </c>
      <c r="DY47" s="203">
        <v>2281</v>
      </c>
      <c r="DZ47" s="202" t="s">
        <v>163</v>
      </c>
      <c r="EA47" s="138"/>
    </row>
    <row r="48" spans="1:131" ht="17.25" customHeight="1">
      <c r="A48" s="205">
        <f t="shared" si="2"/>
        <v>3.9014457831325303E-2</v>
      </c>
      <c r="B48" s="205">
        <f>+C48*'EIA Emissions'!$C$3/1000</f>
        <v>2082.4156626506024</v>
      </c>
      <c r="C48" s="208">
        <f t="shared" si="3"/>
        <v>3.7951807228915661E-2</v>
      </c>
      <c r="D48" s="207">
        <f t="shared" si="0"/>
        <v>0.36144578313253012</v>
      </c>
      <c r="E48" s="208">
        <f>'EIA Energy Use '!B97/1000</f>
        <v>0.105</v>
      </c>
      <c r="F48" s="208"/>
      <c r="G48" s="159">
        <f t="shared" si="1"/>
        <v>332</v>
      </c>
      <c r="H48" s="167">
        <v>1992</v>
      </c>
      <c r="I48" s="167">
        <v>213</v>
      </c>
      <c r="J48" s="167">
        <v>257</v>
      </c>
      <c r="K48" s="168">
        <v>39272</v>
      </c>
      <c r="L48" s="168">
        <v>1869</v>
      </c>
      <c r="M48" s="168">
        <v>7880</v>
      </c>
      <c r="N48" s="167"/>
      <c r="O48" s="168">
        <v>55436</v>
      </c>
      <c r="P48" s="168">
        <v>6255</v>
      </c>
      <c r="Q48" s="168">
        <v>3590</v>
      </c>
      <c r="R48" s="167"/>
      <c r="S48" s="168">
        <v>114301</v>
      </c>
      <c r="T48" s="167"/>
      <c r="U48" s="167">
        <v>16</v>
      </c>
      <c r="V48" s="167" t="s">
        <v>163</v>
      </c>
      <c r="W48" s="167" t="s">
        <v>163</v>
      </c>
      <c r="X48" s="167" t="s">
        <v>163</v>
      </c>
      <c r="Y48" s="167" t="s">
        <v>163</v>
      </c>
      <c r="Z48" s="167"/>
      <c r="AA48" s="168">
        <v>44998</v>
      </c>
      <c r="AB48" s="167" t="s">
        <v>163</v>
      </c>
      <c r="AC48" s="167"/>
      <c r="AD48" s="167" t="s">
        <v>163</v>
      </c>
      <c r="AE48" s="167"/>
      <c r="AF48" s="167" t="s">
        <v>163</v>
      </c>
      <c r="AG48" s="167"/>
      <c r="AH48" s="175">
        <v>1992</v>
      </c>
      <c r="AI48" s="175">
        <v>10</v>
      </c>
      <c r="AJ48" s="175">
        <v>120</v>
      </c>
      <c r="AK48" s="176">
        <v>21874</v>
      </c>
      <c r="AL48" s="176">
        <v>1024</v>
      </c>
      <c r="AM48" s="175">
        <v>259</v>
      </c>
      <c r="AN48" s="176">
        <v>23157</v>
      </c>
      <c r="AO48" s="175" t="s">
        <v>163</v>
      </c>
      <c r="AP48" s="175" t="s">
        <v>163</v>
      </c>
      <c r="AQ48" s="175" t="s">
        <v>163</v>
      </c>
      <c r="AR48" s="176">
        <v>15560</v>
      </c>
      <c r="AS48" s="175" t="s">
        <v>163</v>
      </c>
      <c r="AT48" s="175" t="s">
        <v>163</v>
      </c>
      <c r="AU48" s="175"/>
      <c r="AV48" s="175" t="s">
        <v>163</v>
      </c>
      <c r="AW48" s="175"/>
      <c r="AX48" s="175">
        <v>1992</v>
      </c>
      <c r="AY48" s="175">
        <v>48</v>
      </c>
      <c r="AZ48" s="175">
        <v>64</v>
      </c>
      <c r="BA48" s="176">
        <v>7773</v>
      </c>
      <c r="BB48" s="175">
        <v>410</v>
      </c>
      <c r="BC48" s="175">
        <v>73</v>
      </c>
      <c r="BD48" s="175">
        <v>164</v>
      </c>
      <c r="BE48" s="176">
        <v>3670</v>
      </c>
      <c r="BF48" s="176">
        <v>12089</v>
      </c>
      <c r="BG48" s="175">
        <v>0</v>
      </c>
      <c r="BH48" s="175" t="s">
        <v>163</v>
      </c>
      <c r="BI48" s="175" t="s">
        <v>163</v>
      </c>
      <c r="BJ48" s="175" t="s">
        <v>373</v>
      </c>
      <c r="BK48" s="175"/>
      <c r="BL48" s="176">
        <v>19563</v>
      </c>
      <c r="BM48" s="175" t="s">
        <v>163</v>
      </c>
      <c r="BN48" s="175"/>
      <c r="BO48" s="175" t="s">
        <v>163</v>
      </c>
      <c r="BP48" s="175"/>
      <c r="BQ48" s="175" t="s">
        <v>163</v>
      </c>
      <c r="BR48" s="175"/>
      <c r="BS48" s="185">
        <v>1992</v>
      </c>
      <c r="BT48" s="185">
        <v>0</v>
      </c>
      <c r="BU48" s="185">
        <v>2</v>
      </c>
      <c r="BV48" s="185">
        <v>45</v>
      </c>
      <c r="BW48" s="186">
        <v>7468</v>
      </c>
      <c r="BX48" s="185">
        <v>63</v>
      </c>
      <c r="BY48" s="185"/>
      <c r="BZ48" s="186">
        <v>7880</v>
      </c>
      <c r="CA48" s="185"/>
      <c r="CB48" s="185">
        <v>433</v>
      </c>
      <c r="CC48" s="186">
        <v>54938</v>
      </c>
      <c r="CD48" s="185">
        <v>430</v>
      </c>
      <c r="CE48" s="186">
        <v>71256</v>
      </c>
      <c r="CF48" s="185"/>
      <c r="CG48" s="185">
        <v>212</v>
      </c>
      <c r="CH48" s="185" t="s">
        <v>163</v>
      </c>
      <c r="CI48" s="185"/>
      <c r="CJ48" s="185" t="s">
        <v>163</v>
      </c>
      <c r="CK48" s="185" t="s">
        <v>163</v>
      </c>
      <c r="CL48" s="185"/>
      <c r="CM48" s="193">
        <v>1992</v>
      </c>
      <c r="CN48" s="193">
        <v>155</v>
      </c>
      <c r="CO48" s="193">
        <v>71</v>
      </c>
      <c r="CP48" s="194">
        <v>2157</v>
      </c>
      <c r="CQ48" s="193">
        <v>372</v>
      </c>
      <c r="CR48" s="193"/>
      <c r="CS48" s="193">
        <v>334</v>
      </c>
      <c r="CT48" s="194">
        <v>2155</v>
      </c>
      <c r="CU48" s="194">
        <v>2781</v>
      </c>
      <c r="CV48" s="193"/>
      <c r="CW48" s="194">
        <v>7798</v>
      </c>
      <c r="CX48" s="193"/>
      <c r="CY48" s="193">
        <v>16</v>
      </c>
      <c r="CZ48" s="193" t="s">
        <v>163</v>
      </c>
      <c r="DA48" s="193" t="s">
        <v>163</v>
      </c>
      <c r="DB48" s="193" t="s">
        <v>163</v>
      </c>
      <c r="DC48" s="193" t="s">
        <v>373</v>
      </c>
      <c r="DD48" s="193"/>
      <c r="DE48" s="194">
        <v>9663</v>
      </c>
      <c r="DF48" s="193" t="s">
        <v>163</v>
      </c>
      <c r="DG48" s="193"/>
      <c r="DH48" s="193" t="s">
        <v>163</v>
      </c>
      <c r="DI48" s="193"/>
      <c r="DJ48" s="193" t="s">
        <v>163</v>
      </c>
      <c r="DK48" s="193"/>
      <c r="DL48" s="202">
        <v>1992</v>
      </c>
      <c r="DM48" s="203">
        <v>4082</v>
      </c>
      <c r="DN48" s="202">
        <v>75</v>
      </c>
      <c r="DO48" s="202">
        <v>453</v>
      </c>
      <c r="DP48" s="202">
        <v>0</v>
      </c>
      <c r="DQ48" s="203">
        <v>21061</v>
      </c>
      <c r="DR48" s="203">
        <v>21514</v>
      </c>
      <c r="DS48" s="203">
        <v>4742</v>
      </c>
      <c r="DT48" s="202">
        <v>995</v>
      </c>
      <c r="DU48" s="202" t="s">
        <v>163</v>
      </c>
      <c r="DV48" s="202">
        <v>0</v>
      </c>
      <c r="DW48" s="202">
        <v>0</v>
      </c>
      <c r="DX48" s="202">
        <v>0</v>
      </c>
      <c r="DY48" s="203">
        <v>1660</v>
      </c>
      <c r="DZ48" s="202" t="s">
        <v>163</v>
      </c>
      <c r="EA48" s="138"/>
    </row>
    <row r="49" spans="1:131" ht="17.25" customHeight="1">
      <c r="A49" s="205">
        <f t="shared" si="2"/>
        <v>2.2448721893491126E-2</v>
      </c>
      <c r="B49" s="205">
        <f>+C49*'EIA Emissions'!$C$3/1000</f>
        <v>1198.2114497041421</v>
      </c>
      <c r="C49" s="208">
        <f t="shared" si="3"/>
        <v>2.1837278106508876E-2</v>
      </c>
      <c r="D49" s="207">
        <f t="shared" si="0"/>
        <v>0.35798816568047337</v>
      </c>
      <c r="E49" s="208">
        <f>'EIA Energy Use '!B98/1000</f>
        <v>6.0999999999999999E-2</v>
      </c>
      <c r="F49" s="208"/>
      <c r="G49" s="159">
        <f t="shared" si="1"/>
        <v>338</v>
      </c>
      <c r="H49" s="167">
        <v>1993</v>
      </c>
      <c r="I49" s="167">
        <v>159</v>
      </c>
      <c r="J49" s="167">
        <v>260</v>
      </c>
      <c r="K49" s="168">
        <v>37988</v>
      </c>
      <c r="L49" s="168">
        <v>2102</v>
      </c>
      <c r="M49" s="168">
        <v>7728</v>
      </c>
      <c r="N49" s="167"/>
      <c r="O49" s="168">
        <v>56065</v>
      </c>
      <c r="P49" s="168">
        <v>6394</v>
      </c>
      <c r="Q49" s="168">
        <v>3492</v>
      </c>
      <c r="R49" s="167"/>
      <c r="S49" s="168">
        <v>113767</v>
      </c>
      <c r="T49" s="167"/>
      <c r="U49" s="167">
        <v>11</v>
      </c>
      <c r="V49" s="167" t="s">
        <v>163</v>
      </c>
      <c r="W49" s="167" t="s">
        <v>163</v>
      </c>
      <c r="X49" s="167" t="s">
        <v>163</v>
      </c>
      <c r="Y49" s="167" t="s">
        <v>163</v>
      </c>
      <c r="Z49" s="167"/>
      <c r="AA49" s="168">
        <v>45281</v>
      </c>
      <c r="AB49" s="167" t="s">
        <v>163</v>
      </c>
      <c r="AC49" s="167"/>
      <c r="AD49" s="167" t="s">
        <v>163</v>
      </c>
      <c r="AE49" s="167"/>
      <c r="AF49" s="167" t="s">
        <v>163</v>
      </c>
      <c r="AG49" s="167"/>
      <c r="AH49" s="175">
        <v>1993</v>
      </c>
      <c r="AI49" s="175">
        <v>8</v>
      </c>
      <c r="AJ49" s="175">
        <v>121</v>
      </c>
      <c r="AK49" s="176">
        <v>21893</v>
      </c>
      <c r="AL49" s="176">
        <v>1129</v>
      </c>
      <c r="AM49" s="175">
        <v>250</v>
      </c>
      <c r="AN49" s="176">
        <v>23271</v>
      </c>
      <c r="AO49" s="175" t="s">
        <v>163</v>
      </c>
      <c r="AP49" s="175" t="s">
        <v>163</v>
      </c>
      <c r="AQ49" s="175" t="s">
        <v>163</v>
      </c>
      <c r="AR49" s="176">
        <v>15785</v>
      </c>
      <c r="AS49" s="175" t="s">
        <v>163</v>
      </c>
      <c r="AT49" s="175" t="s">
        <v>163</v>
      </c>
      <c r="AU49" s="175"/>
      <c r="AV49" s="175" t="s">
        <v>163</v>
      </c>
      <c r="AW49" s="175"/>
      <c r="AX49" s="175">
        <v>1993</v>
      </c>
      <c r="AY49" s="175">
        <v>36</v>
      </c>
      <c r="AZ49" s="175">
        <v>65</v>
      </c>
      <c r="BA49" s="176">
        <v>6756</v>
      </c>
      <c r="BB49" s="175">
        <v>452</v>
      </c>
      <c r="BC49" s="175">
        <v>113</v>
      </c>
      <c r="BD49" s="175">
        <v>53</v>
      </c>
      <c r="BE49" s="176">
        <v>2558</v>
      </c>
      <c r="BF49" s="176">
        <v>9933</v>
      </c>
      <c r="BG49" s="175">
        <v>0</v>
      </c>
      <c r="BH49" s="175" t="s">
        <v>163</v>
      </c>
      <c r="BI49" s="175" t="s">
        <v>163</v>
      </c>
      <c r="BJ49" s="175" t="s">
        <v>373</v>
      </c>
      <c r="BK49" s="175"/>
      <c r="BL49" s="176">
        <v>19670</v>
      </c>
      <c r="BM49" s="175" t="s">
        <v>163</v>
      </c>
      <c r="BN49" s="175"/>
      <c r="BO49" s="175" t="s">
        <v>163</v>
      </c>
      <c r="BP49" s="175"/>
      <c r="BQ49" s="175" t="s">
        <v>163</v>
      </c>
      <c r="BR49" s="175"/>
      <c r="BS49" s="185">
        <v>1993</v>
      </c>
      <c r="BT49" s="185">
        <v>0</v>
      </c>
      <c r="BU49" s="185">
        <v>2</v>
      </c>
      <c r="BV49" s="185">
        <v>85</v>
      </c>
      <c r="BW49" s="186">
        <v>7843</v>
      </c>
      <c r="BX49" s="185">
        <v>62</v>
      </c>
      <c r="BY49" s="185"/>
      <c r="BZ49" s="186">
        <v>7728</v>
      </c>
      <c r="CA49" s="185"/>
      <c r="CB49" s="185">
        <v>441</v>
      </c>
      <c r="CC49" s="186">
        <v>55837</v>
      </c>
      <c r="CD49" s="185">
        <v>345</v>
      </c>
      <c r="CE49" s="186">
        <v>72340</v>
      </c>
      <c r="CF49" s="185"/>
      <c r="CG49" s="185">
        <v>221</v>
      </c>
      <c r="CH49" s="185" t="s">
        <v>163</v>
      </c>
      <c r="CI49" s="185"/>
      <c r="CJ49" s="185" t="s">
        <v>163</v>
      </c>
      <c r="CK49" s="185" t="s">
        <v>163</v>
      </c>
      <c r="CL49" s="185"/>
      <c r="CM49" s="193">
        <v>1993</v>
      </c>
      <c r="CN49" s="193">
        <v>115</v>
      </c>
      <c r="CO49" s="193">
        <v>71</v>
      </c>
      <c r="CP49" s="194">
        <v>1496</v>
      </c>
      <c r="CQ49" s="193">
        <v>460</v>
      </c>
      <c r="CR49" s="193"/>
      <c r="CS49" s="193">
        <v>175</v>
      </c>
      <c r="CT49" s="194">
        <v>3491</v>
      </c>
      <c r="CU49" s="194">
        <v>2603</v>
      </c>
      <c r="CV49" s="193"/>
      <c r="CW49" s="194">
        <v>8223</v>
      </c>
      <c r="CX49" s="193"/>
      <c r="CY49" s="193">
        <v>11</v>
      </c>
      <c r="CZ49" s="193" t="s">
        <v>163</v>
      </c>
      <c r="DA49" s="193" t="s">
        <v>163</v>
      </c>
      <c r="DB49" s="193" t="s">
        <v>163</v>
      </c>
      <c r="DC49" s="193" t="s">
        <v>373</v>
      </c>
      <c r="DD49" s="193"/>
      <c r="DE49" s="194">
        <v>9605</v>
      </c>
      <c r="DF49" s="193" t="s">
        <v>163</v>
      </c>
      <c r="DG49" s="193"/>
      <c r="DH49" s="193" t="s">
        <v>163</v>
      </c>
      <c r="DI49" s="193"/>
      <c r="DJ49" s="193" t="s">
        <v>163</v>
      </c>
      <c r="DK49" s="193"/>
      <c r="DL49" s="202">
        <v>1993</v>
      </c>
      <c r="DM49" s="203">
        <v>3693</v>
      </c>
      <c r="DN49" s="202">
        <v>78</v>
      </c>
      <c r="DO49" s="202">
        <v>469</v>
      </c>
      <c r="DP49" s="202">
        <v>0</v>
      </c>
      <c r="DQ49" s="203">
        <v>17883</v>
      </c>
      <c r="DR49" s="203">
        <v>18352</v>
      </c>
      <c r="DS49" s="203">
        <v>4339</v>
      </c>
      <c r="DT49" s="202">
        <v>872</v>
      </c>
      <c r="DU49" s="202" t="s">
        <v>163</v>
      </c>
      <c r="DV49" s="202">
        <v>0</v>
      </c>
      <c r="DW49" s="202">
        <v>0</v>
      </c>
      <c r="DX49" s="202">
        <v>0</v>
      </c>
      <c r="DY49" s="203">
        <v>1840</v>
      </c>
      <c r="DZ49" s="202" t="s">
        <v>163</v>
      </c>
      <c r="EA49" s="138"/>
    </row>
    <row r="50" spans="1:131" ht="17.25" customHeight="1">
      <c r="A50" s="205">
        <f t="shared" si="2"/>
        <v>0</v>
      </c>
      <c r="B50" s="205">
        <f>+C50*'EIA Emissions'!$C$3/1000</f>
        <v>0</v>
      </c>
      <c r="C50" s="208">
        <f t="shared" si="3"/>
        <v>0</v>
      </c>
      <c r="D50" s="207">
        <f t="shared" si="0"/>
        <v>0.32345013477088946</v>
      </c>
      <c r="E50" s="208">
        <f>'EIA Energy Use '!B99/1000</f>
        <v>0</v>
      </c>
      <c r="F50" s="208"/>
      <c r="G50" s="159">
        <f t="shared" si="1"/>
        <v>371</v>
      </c>
      <c r="H50" s="167">
        <v>1994</v>
      </c>
      <c r="I50" s="167">
        <v>87</v>
      </c>
      <c r="J50" s="167">
        <v>271</v>
      </c>
      <c r="K50" s="168">
        <v>37586</v>
      </c>
      <c r="L50" s="168">
        <v>2056</v>
      </c>
      <c r="M50" s="168">
        <v>7433</v>
      </c>
      <c r="N50" s="167"/>
      <c r="O50" s="168">
        <v>56871</v>
      </c>
      <c r="P50" s="168">
        <v>6007</v>
      </c>
      <c r="Q50" s="168">
        <v>2802</v>
      </c>
      <c r="R50" s="167"/>
      <c r="S50" s="168">
        <v>112754</v>
      </c>
      <c r="T50" s="167"/>
      <c r="U50" s="167">
        <v>7</v>
      </c>
      <c r="V50" s="167" t="s">
        <v>163</v>
      </c>
      <c r="W50" s="167" t="s">
        <v>163</v>
      </c>
      <c r="X50" s="167" t="s">
        <v>163</v>
      </c>
      <c r="Y50" s="167" t="s">
        <v>163</v>
      </c>
      <c r="Z50" s="167"/>
      <c r="AA50" s="168">
        <v>46091</v>
      </c>
      <c r="AB50" s="167" t="s">
        <v>163</v>
      </c>
      <c r="AC50" s="167"/>
      <c r="AD50" s="167" t="s">
        <v>163</v>
      </c>
      <c r="AE50" s="167"/>
      <c r="AF50" s="167" t="s">
        <v>163</v>
      </c>
      <c r="AG50" s="167"/>
      <c r="AH50" s="175">
        <v>1994</v>
      </c>
      <c r="AI50" s="175">
        <v>3</v>
      </c>
      <c r="AJ50" s="175">
        <v>120</v>
      </c>
      <c r="AK50" s="176">
        <v>21986</v>
      </c>
      <c r="AL50" s="176">
        <v>1167</v>
      </c>
      <c r="AM50" s="175">
        <v>218</v>
      </c>
      <c r="AN50" s="176">
        <v>23371</v>
      </c>
      <c r="AO50" s="175" t="s">
        <v>163</v>
      </c>
      <c r="AP50" s="175" t="s">
        <v>163</v>
      </c>
      <c r="AQ50" s="175" t="s">
        <v>163</v>
      </c>
      <c r="AR50" s="176">
        <v>16049</v>
      </c>
      <c r="AS50" s="175" t="s">
        <v>163</v>
      </c>
      <c r="AT50" s="175" t="s">
        <v>163</v>
      </c>
      <c r="AU50" s="175"/>
      <c r="AV50" s="175" t="s">
        <v>163</v>
      </c>
      <c r="AW50" s="175"/>
      <c r="AX50" s="175">
        <v>1994</v>
      </c>
      <c r="AY50" s="175">
        <v>19</v>
      </c>
      <c r="AZ50" s="175">
        <v>85</v>
      </c>
      <c r="BA50" s="176">
        <v>6172</v>
      </c>
      <c r="BB50" s="175">
        <v>467</v>
      </c>
      <c r="BC50" s="175">
        <v>100</v>
      </c>
      <c r="BD50" s="175">
        <v>57</v>
      </c>
      <c r="BE50" s="176">
        <v>2953</v>
      </c>
      <c r="BF50" s="176">
        <v>9749</v>
      </c>
      <c r="BG50" s="175">
        <v>0</v>
      </c>
      <c r="BH50" s="175" t="s">
        <v>163</v>
      </c>
      <c r="BI50" s="175" t="s">
        <v>163</v>
      </c>
      <c r="BJ50" s="175" t="s">
        <v>373</v>
      </c>
      <c r="BK50" s="175"/>
      <c r="BL50" s="176">
        <v>20105</v>
      </c>
      <c r="BM50" s="175" t="s">
        <v>163</v>
      </c>
      <c r="BN50" s="175"/>
      <c r="BO50" s="175" t="s">
        <v>163</v>
      </c>
      <c r="BP50" s="175"/>
      <c r="BQ50" s="175" t="s">
        <v>163</v>
      </c>
      <c r="BR50" s="175"/>
      <c r="BS50" s="185">
        <v>1994</v>
      </c>
      <c r="BT50" s="185">
        <v>0</v>
      </c>
      <c r="BU50" s="185">
        <v>2</v>
      </c>
      <c r="BV50" s="185">
        <v>73</v>
      </c>
      <c r="BW50" s="186">
        <v>8181</v>
      </c>
      <c r="BX50" s="185">
        <v>88</v>
      </c>
      <c r="BY50" s="185"/>
      <c r="BZ50" s="186">
        <v>7433</v>
      </c>
      <c r="CA50" s="185"/>
      <c r="CB50" s="185">
        <v>461</v>
      </c>
      <c r="CC50" s="186">
        <v>56466</v>
      </c>
      <c r="CD50" s="185">
        <v>364</v>
      </c>
      <c r="CE50" s="186">
        <v>73065</v>
      </c>
      <c r="CF50" s="185"/>
      <c r="CG50" s="185">
        <v>227</v>
      </c>
      <c r="CH50" s="185" t="s">
        <v>163</v>
      </c>
      <c r="CI50" s="185"/>
      <c r="CJ50" s="185" t="s">
        <v>163</v>
      </c>
      <c r="CK50" s="185" t="s">
        <v>163</v>
      </c>
      <c r="CL50" s="185"/>
      <c r="CM50" s="193">
        <v>1994</v>
      </c>
      <c r="CN50" s="193">
        <v>65</v>
      </c>
      <c r="CO50" s="193">
        <v>65</v>
      </c>
      <c r="CP50" s="194">
        <v>1247</v>
      </c>
      <c r="CQ50" s="193">
        <v>333</v>
      </c>
      <c r="CR50" s="193"/>
      <c r="CS50" s="193">
        <v>347</v>
      </c>
      <c r="CT50" s="194">
        <v>2690</v>
      </c>
      <c r="CU50" s="194">
        <v>1950</v>
      </c>
      <c r="CV50" s="193"/>
      <c r="CW50" s="194">
        <v>6568</v>
      </c>
      <c r="CX50" s="193"/>
      <c r="CY50" s="193">
        <v>7</v>
      </c>
      <c r="CZ50" s="193" t="s">
        <v>163</v>
      </c>
      <c r="DA50" s="193" t="s">
        <v>163</v>
      </c>
      <c r="DB50" s="193" t="s">
        <v>163</v>
      </c>
      <c r="DC50" s="193" t="s">
        <v>373</v>
      </c>
      <c r="DD50" s="193"/>
      <c r="DE50" s="194">
        <v>9710</v>
      </c>
      <c r="DF50" s="193" t="s">
        <v>163</v>
      </c>
      <c r="DG50" s="193"/>
      <c r="DH50" s="193" t="s">
        <v>163</v>
      </c>
      <c r="DI50" s="193"/>
      <c r="DJ50" s="193" t="s">
        <v>163</v>
      </c>
      <c r="DK50" s="193"/>
      <c r="DL50" s="202">
        <v>1994</v>
      </c>
      <c r="DM50" s="203">
        <v>3882</v>
      </c>
      <c r="DN50" s="202">
        <v>100</v>
      </c>
      <c r="DO50" s="202">
        <v>724</v>
      </c>
      <c r="DP50" s="202">
        <v>0</v>
      </c>
      <c r="DQ50" s="203">
        <v>14981</v>
      </c>
      <c r="DR50" s="203">
        <v>15705</v>
      </c>
      <c r="DS50" s="203">
        <v>3859</v>
      </c>
      <c r="DT50" s="202">
        <v>931</v>
      </c>
      <c r="DU50" s="202" t="s">
        <v>163</v>
      </c>
      <c r="DV50" s="202">
        <v>0</v>
      </c>
      <c r="DW50" s="202">
        <v>0</v>
      </c>
      <c r="DX50" s="202">
        <v>0</v>
      </c>
      <c r="DY50" s="203">
        <v>1533</v>
      </c>
      <c r="DZ50" s="202" t="s">
        <v>163</v>
      </c>
      <c r="EA50" s="138"/>
    </row>
    <row r="51" spans="1:131" ht="17.25" customHeight="1">
      <c r="D51" s="56">
        <f t="shared" si="0"/>
        <v>0.27748691099476441</v>
      </c>
      <c r="G51" s="159">
        <f t="shared" si="1"/>
        <v>382</v>
      </c>
      <c r="H51" s="167">
        <v>1995</v>
      </c>
      <c r="I51" s="167">
        <v>69</v>
      </c>
      <c r="J51" s="167">
        <v>254</v>
      </c>
      <c r="K51" s="168">
        <v>36600</v>
      </c>
      <c r="L51" s="168">
        <v>2143</v>
      </c>
      <c r="M51" s="168">
        <v>6636</v>
      </c>
      <c r="N51" s="167"/>
      <c r="O51" s="168">
        <v>58775</v>
      </c>
      <c r="P51" s="168">
        <v>4726</v>
      </c>
      <c r="Q51" s="168">
        <v>3042</v>
      </c>
      <c r="R51" s="167"/>
      <c r="S51" s="168">
        <v>111923</v>
      </c>
      <c r="T51" s="167"/>
      <c r="U51" s="167">
        <v>11</v>
      </c>
      <c r="V51" s="167" t="s">
        <v>163</v>
      </c>
      <c r="W51" s="167" t="s">
        <v>163</v>
      </c>
      <c r="X51" s="167" t="s">
        <v>163</v>
      </c>
      <c r="Y51" s="167" t="s">
        <v>163</v>
      </c>
      <c r="Z51" s="167"/>
      <c r="AA51" s="168">
        <v>46510</v>
      </c>
      <c r="AB51" s="167" t="s">
        <v>163</v>
      </c>
      <c r="AC51" s="167"/>
      <c r="AD51" s="167" t="s">
        <v>163</v>
      </c>
      <c r="AE51" s="167"/>
      <c r="AF51" s="167" t="s">
        <v>163</v>
      </c>
      <c r="AG51" s="167"/>
      <c r="AH51" s="175">
        <v>1995</v>
      </c>
      <c r="AI51" s="175">
        <v>4</v>
      </c>
      <c r="AJ51" s="175">
        <v>106</v>
      </c>
      <c r="AK51" s="176">
        <v>20064</v>
      </c>
      <c r="AL51" s="176">
        <v>1218</v>
      </c>
      <c r="AM51" s="175">
        <v>130</v>
      </c>
      <c r="AN51" s="176">
        <v>21412</v>
      </c>
      <c r="AO51" s="175" t="s">
        <v>163</v>
      </c>
      <c r="AP51" s="175" t="s">
        <v>163</v>
      </c>
      <c r="AQ51" s="175" t="s">
        <v>163</v>
      </c>
      <c r="AR51" s="176">
        <v>15993</v>
      </c>
      <c r="AS51" s="175" t="s">
        <v>163</v>
      </c>
      <c r="AT51" s="175" t="s">
        <v>163</v>
      </c>
      <c r="AU51" s="175"/>
      <c r="AV51" s="175" t="s">
        <v>163</v>
      </c>
      <c r="AW51" s="175"/>
      <c r="AX51" s="175">
        <v>1995</v>
      </c>
      <c r="AY51" s="175">
        <v>23</v>
      </c>
      <c r="AZ51" s="175">
        <v>82</v>
      </c>
      <c r="BA51" s="176">
        <v>6478</v>
      </c>
      <c r="BB51" s="175">
        <v>488</v>
      </c>
      <c r="BC51" s="175">
        <v>110</v>
      </c>
      <c r="BD51" s="175">
        <v>65</v>
      </c>
      <c r="BE51" s="176">
        <v>3069</v>
      </c>
      <c r="BF51" s="176">
        <v>10211</v>
      </c>
      <c r="BG51" s="175">
        <v>0</v>
      </c>
      <c r="BH51" s="175" t="s">
        <v>163</v>
      </c>
      <c r="BI51" s="175" t="s">
        <v>163</v>
      </c>
      <c r="BJ51" s="175" t="s">
        <v>373</v>
      </c>
      <c r="BK51" s="175"/>
      <c r="BL51" s="176">
        <v>20255</v>
      </c>
      <c r="BM51" s="175" t="s">
        <v>163</v>
      </c>
      <c r="BN51" s="175"/>
      <c r="BO51" s="175" t="s">
        <v>163</v>
      </c>
      <c r="BP51" s="175"/>
      <c r="BQ51" s="175" t="s">
        <v>163</v>
      </c>
      <c r="BR51" s="175"/>
      <c r="BS51" s="185">
        <v>1995</v>
      </c>
      <c r="BT51" s="185">
        <v>0</v>
      </c>
      <c r="BU51" s="185">
        <v>2</v>
      </c>
      <c r="BV51" s="185">
        <v>84</v>
      </c>
      <c r="BW51" s="186">
        <v>8780</v>
      </c>
      <c r="BX51" s="185">
        <v>50</v>
      </c>
      <c r="BY51" s="185"/>
      <c r="BZ51" s="186">
        <v>6636</v>
      </c>
      <c r="CA51" s="185"/>
      <c r="CB51" s="185">
        <v>453</v>
      </c>
      <c r="CC51" s="186">
        <v>58337</v>
      </c>
      <c r="CD51" s="185">
        <v>199</v>
      </c>
      <c r="CE51" s="186">
        <v>74540</v>
      </c>
      <c r="CF51" s="185"/>
      <c r="CG51" s="185">
        <v>236</v>
      </c>
      <c r="CH51" s="185" t="s">
        <v>163</v>
      </c>
      <c r="CI51" s="185"/>
      <c r="CJ51" s="185" t="s">
        <v>163</v>
      </c>
      <c r="CK51" s="185" t="s">
        <v>163</v>
      </c>
      <c r="CL51" s="185"/>
      <c r="CM51" s="193">
        <v>1995</v>
      </c>
      <c r="CN51" s="193">
        <v>42</v>
      </c>
      <c r="CO51" s="193">
        <v>64</v>
      </c>
      <c r="CP51" s="194">
        <v>1278</v>
      </c>
      <c r="CQ51" s="193">
        <v>387</v>
      </c>
      <c r="CR51" s="193"/>
      <c r="CS51" s="193">
        <v>373</v>
      </c>
      <c r="CT51" s="194">
        <v>1458</v>
      </c>
      <c r="CU51" s="194">
        <v>2265</v>
      </c>
      <c r="CV51" s="193"/>
      <c r="CW51" s="194">
        <v>5760</v>
      </c>
      <c r="CX51" s="193"/>
      <c r="CY51" s="193">
        <v>11</v>
      </c>
      <c r="CZ51" s="193" t="s">
        <v>163</v>
      </c>
      <c r="DA51" s="193" t="s">
        <v>163</v>
      </c>
      <c r="DB51" s="193" t="s">
        <v>163</v>
      </c>
      <c r="DC51" s="193" t="s">
        <v>373</v>
      </c>
      <c r="DD51" s="193"/>
      <c r="DE51" s="194">
        <v>10026</v>
      </c>
      <c r="DF51" s="193" t="s">
        <v>163</v>
      </c>
      <c r="DG51" s="193"/>
      <c r="DH51" s="193" t="s">
        <v>163</v>
      </c>
      <c r="DI51" s="193"/>
      <c r="DJ51" s="193" t="s">
        <v>163</v>
      </c>
      <c r="DK51" s="193"/>
      <c r="DL51" s="202">
        <v>1995</v>
      </c>
      <c r="DM51" s="203">
        <v>4080</v>
      </c>
      <c r="DN51" s="202">
        <v>128</v>
      </c>
      <c r="DO51" s="202">
        <v>678</v>
      </c>
      <c r="DP51" s="202">
        <v>0</v>
      </c>
      <c r="DQ51" s="203">
        <v>9143</v>
      </c>
      <c r="DR51" s="203">
        <v>9820</v>
      </c>
      <c r="DS51" s="203">
        <v>4486</v>
      </c>
      <c r="DT51" s="202">
        <v>858</v>
      </c>
      <c r="DU51" s="202" t="s">
        <v>163</v>
      </c>
      <c r="DV51" s="202">
        <v>0</v>
      </c>
      <c r="DW51" s="202">
        <v>0</v>
      </c>
      <c r="DX51" s="202">
        <v>0</v>
      </c>
      <c r="DY51" s="203">
        <v>1790</v>
      </c>
      <c r="DZ51" s="202" t="s">
        <v>163</v>
      </c>
      <c r="EA51" s="138"/>
    </row>
    <row r="52" spans="1:131" ht="17.25" customHeight="1">
      <c r="D52" s="56">
        <f t="shared" si="0"/>
        <v>0.30158730158730157</v>
      </c>
      <c r="G52" s="159">
        <f t="shared" si="1"/>
        <v>378</v>
      </c>
      <c r="H52" s="167">
        <v>1996</v>
      </c>
      <c r="I52" s="167">
        <v>71</v>
      </c>
      <c r="J52" s="167">
        <v>275</v>
      </c>
      <c r="K52" s="168">
        <v>33845</v>
      </c>
      <c r="L52" s="168">
        <v>2563</v>
      </c>
      <c r="M52" s="168">
        <v>6873</v>
      </c>
      <c r="N52" s="167"/>
      <c r="O52" s="168">
        <v>59794</v>
      </c>
      <c r="P52" s="168">
        <v>6123</v>
      </c>
      <c r="Q52" s="168">
        <v>3034</v>
      </c>
      <c r="R52" s="167"/>
      <c r="S52" s="168">
        <v>112232</v>
      </c>
      <c r="T52" s="167"/>
      <c r="U52" s="167">
        <v>20</v>
      </c>
      <c r="V52" s="167" t="s">
        <v>163</v>
      </c>
      <c r="W52" s="167" t="s">
        <v>163</v>
      </c>
      <c r="X52" s="167" t="s">
        <v>163</v>
      </c>
      <c r="Y52" s="167" t="s">
        <v>163</v>
      </c>
      <c r="Z52" s="167"/>
      <c r="AA52" s="168">
        <v>47294</v>
      </c>
      <c r="AB52" s="167" t="s">
        <v>163</v>
      </c>
      <c r="AC52" s="167"/>
      <c r="AD52" s="167" t="s">
        <v>163</v>
      </c>
      <c r="AE52" s="167"/>
      <c r="AF52" s="167" t="s">
        <v>163</v>
      </c>
      <c r="AG52" s="167"/>
      <c r="AH52" s="175">
        <v>1996</v>
      </c>
      <c r="AI52" s="175">
        <v>4</v>
      </c>
      <c r="AJ52" s="175">
        <v>114</v>
      </c>
      <c r="AK52" s="176">
        <v>18362</v>
      </c>
      <c r="AL52" s="176">
        <v>1445</v>
      </c>
      <c r="AM52" s="175">
        <v>148</v>
      </c>
      <c r="AN52" s="176">
        <v>19954</v>
      </c>
      <c r="AO52" s="175" t="s">
        <v>163</v>
      </c>
      <c r="AP52" s="175" t="s">
        <v>163</v>
      </c>
      <c r="AQ52" s="175" t="s">
        <v>163</v>
      </c>
      <c r="AR52" s="176">
        <v>16256</v>
      </c>
      <c r="AS52" s="175" t="s">
        <v>163</v>
      </c>
      <c r="AT52" s="175" t="s">
        <v>163</v>
      </c>
      <c r="AU52" s="175"/>
      <c r="AV52" s="175" t="s">
        <v>163</v>
      </c>
      <c r="AW52" s="175"/>
      <c r="AX52" s="175">
        <v>1996</v>
      </c>
      <c r="AY52" s="175">
        <v>29</v>
      </c>
      <c r="AZ52" s="175">
        <v>96</v>
      </c>
      <c r="BA52" s="176">
        <v>5637</v>
      </c>
      <c r="BB52" s="175">
        <v>579</v>
      </c>
      <c r="BC52" s="175">
        <v>47</v>
      </c>
      <c r="BD52" s="175">
        <v>65</v>
      </c>
      <c r="BE52" s="176">
        <v>2430</v>
      </c>
      <c r="BF52" s="176">
        <v>8758</v>
      </c>
      <c r="BG52" s="175">
        <v>0</v>
      </c>
      <c r="BH52" s="175" t="s">
        <v>163</v>
      </c>
      <c r="BI52" s="175" t="s">
        <v>163</v>
      </c>
      <c r="BJ52" s="175" t="s">
        <v>391</v>
      </c>
      <c r="BK52" s="175"/>
      <c r="BL52" s="176">
        <v>20711</v>
      </c>
      <c r="BM52" s="175" t="s">
        <v>163</v>
      </c>
      <c r="BN52" s="175"/>
      <c r="BO52" s="175" t="s">
        <v>163</v>
      </c>
      <c r="BP52" s="175"/>
      <c r="BQ52" s="175" t="s">
        <v>163</v>
      </c>
      <c r="BR52" s="175"/>
      <c r="BS52" s="185">
        <v>1996</v>
      </c>
      <c r="BT52" s="185">
        <v>0</v>
      </c>
      <c r="BU52" s="185">
        <v>2</v>
      </c>
      <c r="BV52" s="185">
        <v>90</v>
      </c>
      <c r="BW52" s="186">
        <v>8628</v>
      </c>
      <c r="BX52" s="185">
        <v>45</v>
      </c>
      <c r="BY52" s="185"/>
      <c r="BZ52" s="186">
        <v>6873</v>
      </c>
      <c r="CA52" s="185"/>
      <c r="CB52" s="185">
        <v>439</v>
      </c>
      <c r="CC52" s="186">
        <v>59356</v>
      </c>
      <c r="CD52" s="186">
        <v>2002</v>
      </c>
      <c r="CE52" s="186">
        <v>77434</v>
      </c>
      <c r="CF52" s="185"/>
      <c r="CG52" s="185">
        <v>241</v>
      </c>
      <c r="CH52" s="185" t="s">
        <v>163</v>
      </c>
      <c r="CI52" s="185"/>
      <c r="CJ52" s="185" t="s">
        <v>163</v>
      </c>
      <c r="CK52" s="185" t="s">
        <v>163</v>
      </c>
      <c r="CL52" s="185"/>
      <c r="CM52" s="193">
        <v>1996</v>
      </c>
      <c r="CN52" s="193">
        <v>38</v>
      </c>
      <c r="CO52" s="193">
        <v>62</v>
      </c>
      <c r="CP52" s="194">
        <v>1219</v>
      </c>
      <c r="CQ52" s="193">
        <v>495</v>
      </c>
      <c r="CR52" s="193"/>
      <c r="CS52" s="193">
        <v>372</v>
      </c>
      <c r="CT52" s="194">
        <v>1690</v>
      </c>
      <c r="CU52" s="194">
        <v>2310</v>
      </c>
      <c r="CV52" s="193"/>
      <c r="CW52" s="194">
        <v>6086</v>
      </c>
      <c r="CX52" s="193"/>
      <c r="CY52" s="193">
        <v>20</v>
      </c>
      <c r="CZ52" s="193" t="s">
        <v>163</v>
      </c>
      <c r="DA52" s="193" t="s">
        <v>163</v>
      </c>
      <c r="DB52" s="193" t="s">
        <v>163</v>
      </c>
      <c r="DC52" s="193" t="s">
        <v>373</v>
      </c>
      <c r="DD52" s="193"/>
      <c r="DE52" s="194">
        <v>10085</v>
      </c>
      <c r="DF52" s="193" t="s">
        <v>163</v>
      </c>
      <c r="DG52" s="193"/>
      <c r="DH52" s="193" t="s">
        <v>163</v>
      </c>
      <c r="DI52" s="193"/>
      <c r="DJ52" s="193" t="s">
        <v>163</v>
      </c>
      <c r="DK52" s="193"/>
      <c r="DL52" s="202">
        <v>1996</v>
      </c>
      <c r="DM52" s="203">
        <v>4427</v>
      </c>
      <c r="DN52" s="202">
        <v>103</v>
      </c>
      <c r="DO52" s="202">
        <v>603</v>
      </c>
      <c r="DP52" s="202">
        <v>0</v>
      </c>
      <c r="DQ52" s="203">
        <v>9273</v>
      </c>
      <c r="DR52" s="203">
        <v>9877</v>
      </c>
      <c r="DS52" s="203">
        <v>5324</v>
      </c>
      <c r="DT52" s="203">
        <v>1169</v>
      </c>
      <c r="DU52" s="202" t="s">
        <v>163</v>
      </c>
      <c r="DV52" s="202">
        <v>0</v>
      </c>
      <c r="DW52" s="202">
        <v>0</v>
      </c>
      <c r="DX52" s="202">
        <v>0</v>
      </c>
      <c r="DY52" s="203">
        <v>1591</v>
      </c>
      <c r="DZ52" s="202" t="s">
        <v>163</v>
      </c>
      <c r="EA52" s="138"/>
    </row>
    <row r="53" spans="1:131" ht="17.25" customHeight="1">
      <c r="D53" s="56">
        <f t="shared" si="0"/>
        <v>0.27860696517412936</v>
      </c>
      <c r="G53" s="159">
        <f t="shared" si="1"/>
        <v>402</v>
      </c>
      <c r="H53" s="167">
        <v>1997</v>
      </c>
      <c r="I53" s="167">
        <v>66</v>
      </c>
      <c r="J53" s="167">
        <v>285</v>
      </c>
      <c r="K53" s="168">
        <v>34084</v>
      </c>
      <c r="L53" s="168">
        <v>2109</v>
      </c>
      <c r="M53" s="168">
        <v>7301</v>
      </c>
      <c r="N53" s="167"/>
      <c r="O53" s="168">
        <v>60912</v>
      </c>
      <c r="P53" s="168">
        <v>5342</v>
      </c>
      <c r="Q53" s="168">
        <v>2764</v>
      </c>
      <c r="R53" s="167"/>
      <c r="S53" s="168">
        <v>112513</v>
      </c>
      <c r="T53" s="167"/>
      <c r="U53" s="167">
        <v>17</v>
      </c>
      <c r="V53" s="167" t="s">
        <v>163</v>
      </c>
      <c r="W53" s="167" t="s">
        <v>163</v>
      </c>
      <c r="X53" s="167" t="s">
        <v>163</v>
      </c>
      <c r="Y53" s="167" t="s">
        <v>163</v>
      </c>
      <c r="Z53" s="167"/>
      <c r="AA53" s="168">
        <v>47882</v>
      </c>
      <c r="AB53" s="167" t="s">
        <v>163</v>
      </c>
      <c r="AC53" s="167"/>
      <c r="AD53" s="167" t="s">
        <v>163</v>
      </c>
      <c r="AE53" s="167"/>
      <c r="AF53" s="167" t="s">
        <v>163</v>
      </c>
      <c r="AG53" s="167"/>
      <c r="AH53" s="175">
        <v>1997</v>
      </c>
      <c r="AI53" s="175">
        <v>3</v>
      </c>
      <c r="AJ53" s="175">
        <v>112</v>
      </c>
      <c r="AK53" s="176">
        <v>18332</v>
      </c>
      <c r="AL53" s="176">
        <v>1356</v>
      </c>
      <c r="AM53" s="175">
        <v>190</v>
      </c>
      <c r="AN53" s="176">
        <v>19878</v>
      </c>
      <c r="AO53" s="175" t="s">
        <v>163</v>
      </c>
      <c r="AP53" s="175" t="s">
        <v>163</v>
      </c>
      <c r="AQ53" s="175" t="s">
        <v>163</v>
      </c>
      <c r="AR53" s="176">
        <v>16278</v>
      </c>
      <c r="AS53" s="175" t="s">
        <v>163</v>
      </c>
      <c r="AT53" s="175" t="s">
        <v>163</v>
      </c>
      <c r="AU53" s="175"/>
      <c r="AV53" s="175" t="s">
        <v>163</v>
      </c>
      <c r="AW53" s="175"/>
      <c r="AX53" s="175">
        <v>1997</v>
      </c>
      <c r="AY53" s="175">
        <v>26</v>
      </c>
      <c r="AZ53" s="175">
        <v>106</v>
      </c>
      <c r="BA53" s="176">
        <v>5678</v>
      </c>
      <c r="BB53" s="175">
        <v>543</v>
      </c>
      <c r="BC53" s="175">
        <v>47</v>
      </c>
      <c r="BD53" s="175">
        <v>48</v>
      </c>
      <c r="BE53" s="176">
        <v>2239</v>
      </c>
      <c r="BF53" s="176">
        <v>8555</v>
      </c>
      <c r="BG53" s="175">
        <v>0</v>
      </c>
      <c r="BH53" s="175" t="s">
        <v>163</v>
      </c>
      <c r="BI53" s="175" t="s">
        <v>163</v>
      </c>
      <c r="BJ53" s="175">
        <v>1</v>
      </c>
      <c r="BK53" s="175"/>
      <c r="BL53" s="176">
        <v>21203</v>
      </c>
      <c r="BM53" s="175" t="s">
        <v>163</v>
      </c>
      <c r="BN53" s="175"/>
      <c r="BO53" s="175" t="s">
        <v>163</v>
      </c>
      <c r="BP53" s="175"/>
      <c r="BQ53" s="175" t="s">
        <v>163</v>
      </c>
      <c r="BR53" s="175"/>
      <c r="BS53" s="185">
        <v>1997</v>
      </c>
      <c r="BT53" s="185">
        <v>0</v>
      </c>
      <c r="BU53" s="185">
        <v>2</v>
      </c>
      <c r="BV53" s="185">
        <v>87</v>
      </c>
      <c r="BW53" s="186">
        <v>8945</v>
      </c>
      <c r="BX53" s="185">
        <v>47</v>
      </c>
      <c r="BY53" s="185"/>
      <c r="BZ53" s="186">
        <v>7301</v>
      </c>
      <c r="CA53" s="185"/>
      <c r="CB53" s="185">
        <v>464</v>
      </c>
      <c r="CC53" s="186">
        <v>60472</v>
      </c>
      <c r="CD53" s="186">
        <v>1380</v>
      </c>
      <c r="CE53" s="186">
        <v>78696</v>
      </c>
      <c r="CF53" s="185"/>
      <c r="CG53" s="185">
        <v>252</v>
      </c>
      <c r="CH53" s="185" t="s">
        <v>163</v>
      </c>
      <c r="CI53" s="185"/>
      <c r="CJ53" s="185" t="s">
        <v>163</v>
      </c>
      <c r="CK53" s="185" t="s">
        <v>163</v>
      </c>
      <c r="CL53" s="185"/>
      <c r="CM53" s="193">
        <v>1997</v>
      </c>
      <c r="CN53" s="193">
        <v>37</v>
      </c>
      <c r="CO53" s="193">
        <v>65</v>
      </c>
      <c r="CP53" s="194">
        <v>1130</v>
      </c>
      <c r="CQ53" s="193">
        <v>163</v>
      </c>
      <c r="CR53" s="193"/>
      <c r="CS53" s="193">
        <v>392</v>
      </c>
      <c r="CT53" s="194">
        <v>1723</v>
      </c>
      <c r="CU53" s="194">
        <v>1977</v>
      </c>
      <c r="CV53" s="193"/>
      <c r="CW53" s="194">
        <v>5384</v>
      </c>
      <c r="CX53" s="193"/>
      <c r="CY53" s="193">
        <v>17</v>
      </c>
      <c r="CZ53" s="193" t="s">
        <v>163</v>
      </c>
      <c r="DA53" s="193" t="s">
        <v>163</v>
      </c>
      <c r="DB53" s="193" t="s">
        <v>163</v>
      </c>
      <c r="DC53" s="193" t="s">
        <v>373</v>
      </c>
      <c r="DD53" s="193"/>
      <c r="DE53" s="194">
        <v>10148</v>
      </c>
      <c r="DF53" s="193" t="s">
        <v>163</v>
      </c>
      <c r="DG53" s="193"/>
      <c r="DH53" s="193" t="s">
        <v>163</v>
      </c>
      <c r="DI53" s="193"/>
      <c r="DJ53" s="193" t="s">
        <v>163</v>
      </c>
      <c r="DK53" s="193"/>
      <c r="DL53" s="202">
        <v>1997</v>
      </c>
      <c r="DM53" s="203">
        <v>4826</v>
      </c>
      <c r="DN53" s="202">
        <v>117</v>
      </c>
      <c r="DO53" s="202">
        <v>461</v>
      </c>
      <c r="DP53" s="202">
        <v>0</v>
      </c>
      <c r="DQ53" s="203">
        <v>17043</v>
      </c>
      <c r="DR53" s="203">
        <v>17504</v>
      </c>
      <c r="DS53" s="203">
        <v>4310</v>
      </c>
      <c r="DT53" s="203">
        <v>1014</v>
      </c>
      <c r="DU53" s="202" t="s">
        <v>163</v>
      </c>
      <c r="DV53" s="202">
        <v>0</v>
      </c>
      <c r="DW53" s="202">
        <v>0</v>
      </c>
      <c r="DX53" s="202">
        <v>0</v>
      </c>
      <c r="DY53" s="203">
        <v>1863</v>
      </c>
      <c r="DZ53" s="202" t="s">
        <v>163</v>
      </c>
      <c r="EA53" s="138"/>
    </row>
    <row r="54" spans="1:131" ht="17.25" customHeight="1">
      <c r="D54" s="56">
        <f t="shared" si="0"/>
        <v>0.28412256267409469</v>
      </c>
      <c r="G54" s="159">
        <f t="shared" si="1"/>
        <v>359</v>
      </c>
      <c r="H54" s="167">
        <v>1998</v>
      </c>
      <c r="I54" s="167">
        <v>61</v>
      </c>
      <c r="J54" s="167">
        <v>257</v>
      </c>
      <c r="K54" s="168">
        <v>32278</v>
      </c>
      <c r="L54" s="168">
        <v>1969</v>
      </c>
      <c r="M54" s="168">
        <v>7736</v>
      </c>
      <c r="N54" s="167"/>
      <c r="O54" s="168">
        <v>62284</v>
      </c>
      <c r="P54" s="168">
        <v>3226</v>
      </c>
      <c r="Q54" s="168">
        <v>2922</v>
      </c>
      <c r="R54" s="167"/>
      <c r="S54" s="168">
        <v>110414</v>
      </c>
      <c r="T54" s="167"/>
      <c r="U54" s="167">
        <v>11</v>
      </c>
      <c r="V54" s="167" t="s">
        <v>163</v>
      </c>
      <c r="W54" s="167" t="s">
        <v>163</v>
      </c>
      <c r="X54" s="167" t="s">
        <v>163</v>
      </c>
      <c r="Y54" s="167" t="s">
        <v>163</v>
      </c>
      <c r="Z54" s="167"/>
      <c r="AA54" s="168">
        <v>48607</v>
      </c>
      <c r="AB54" s="167" t="s">
        <v>163</v>
      </c>
      <c r="AC54" s="167"/>
      <c r="AD54" s="167" t="s">
        <v>163</v>
      </c>
      <c r="AE54" s="167"/>
      <c r="AF54" s="167" t="s">
        <v>163</v>
      </c>
      <c r="AG54" s="167"/>
      <c r="AH54" s="175">
        <v>1998</v>
      </c>
      <c r="AI54" s="175">
        <v>3</v>
      </c>
      <c r="AJ54" s="175">
        <v>102</v>
      </c>
      <c r="AK54" s="176">
        <v>16979</v>
      </c>
      <c r="AL54" s="176">
        <v>1242</v>
      </c>
      <c r="AM54" s="175">
        <v>197</v>
      </c>
      <c r="AN54" s="176">
        <v>18417</v>
      </c>
      <c r="AO54" s="175" t="s">
        <v>163</v>
      </c>
      <c r="AP54" s="175" t="s">
        <v>163</v>
      </c>
      <c r="AQ54" s="175" t="s">
        <v>163</v>
      </c>
      <c r="AR54" s="176">
        <v>16388</v>
      </c>
      <c r="AS54" s="175" t="s">
        <v>163</v>
      </c>
      <c r="AT54" s="175" t="s">
        <v>163</v>
      </c>
      <c r="AU54" s="175"/>
      <c r="AV54" s="175" t="s">
        <v>163</v>
      </c>
      <c r="AW54" s="175"/>
      <c r="AX54" s="175">
        <v>1998</v>
      </c>
      <c r="AY54" s="175">
        <v>23</v>
      </c>
      <c r="AZ54" s="175">
        <v>90</v>
      </c>
      <c r="BA54" s="176">
        <v>5404</v>
      </c>
      <c r="BB54" s="175">
        <v>497</v>
      </c>
      <c r="BC54" s="175">
        <v>70</v>
      </c>
      <c r="BD54" s="175">
        <v>66</v>
      </c>
      <c r="BE54" s="176">
        <v>1417</v>
      </c>
      <c r="BF54" s="176">
        <v>7454</v>
      </c>
      <c r="BG54" s="175">
        <v>0</v>
      </c>
      <c r="BH54" s="175" t="s">
        <v>163</v>
      </c>
      <c r="BI54" s="175" t="s">
        <v>163</v>
      </c>
      <c r="BJ54" s="175">
        <v>1</v>
      </c>
      <c r="BK54" s="175"/>
      <c r="BL54" s="176">
        <v>21773</v>
      </c>
      <c r="BM54" s="175" t="s">
        <v>163</v>
      </c>
      <c r="BN54" s="175"/>
      <c r="BO54" s="175" t="s">
        <v>163</v>
      </c>
      <c r="BP54" s="175"/>
      <c r="BQ54" s="175" t="s">
        <v>163</v>
      </c>
      <c r="BR54" s="175"/>
      <c r="BS54" s="185">
        <v>1998</v>
      </c>
      <c r="BT54" s="185">
        <v>0</v>
      </c>
      <c r="BU54" s="185">
        <v>2</v>
      </c>
      <c r="BV54" s="185">
        <v>87</v>
      </c>
      <c r="BW54" s="186">
        <v>8884</v>
      </c>
      <c r="BX54" s="185">
        <v>45</v>
      </c>
      <c r="BY54" s="185"/>
      <c r="BZ54" s="186">
        <v>7736</v>
      </c>
      <c r="CA54" s="185"/>
      <c r="CB54" s="185">
        <v>486</v>
      </c>
      <c r="CC54" s="186">
        <v>61902</v>
      </c>
      <c r="CD54" s="185">
        <v>30</v>
      </c>
      <c r="CE54" s="186">
        <v>79169</v>
      </c>
      <c r="CF54" s="185"/>
      <c r="CG54" s="185">
        <v>234</v>
      </c>
      <c r="CH54" s="185" t="s">
        <v>163</v>
      </c>
      <c r="CI54" s="185"/>
      <c r="CJ54" s="185" t="s">
        <v>163</v>
      </c>
      <c r="CK54" s="185" t="s">
        <v>163</v>
      </c>
      <c r="CL54" s="185"/>
      <c r="CM54" s="193">
        <v>1998</v>
      </c>
      <c r="CN54" s="193">
        <v>35</v>
      </c>
      <c r="CO54" s="193">
        <v>63</v>
      </c>
      <c r="CP54" s="194">
        <v>1011</v>
      </c>
      <c r="CQ54" s="193">
        <v>185</v>
      </c>
      <c r="CR54" s="193"/>
      <c r="CS54" s="193">
        <v>316</v>
      </c>
      <c r="CT54" s="194">
        <v>1780</v>
      </c>
      <c r="CU54" s="194">
        <v>2082</v>
      </c>
      <c r="CV54" s="193"/>
      <c r="CW54" s="194">
        <v>5374</v>
      </c>
      <c r="CX54" s="193"/>
      <c r="CY54" s="193">
        <v>11</v>
      </c>
      <c r="CZ54" s="193" t="s">
        <v>163</v>
      </c>
      <c r="DA54" s="193" t="s">
        <v>163</v>
      </c>
      <c r="DB54" s="193" t="s">
        <v>163</v>
      </c>
      <c r="DC54" s="193" t="s">
        <v>373</v>
      </c>
      <c r="DD54" s="193"/>
      <c r="DE54" s="194">
        <v>10212</v>
      </c>
      <c r="DF54" s="193" t="s">
        <v>163</v>
      </c>
      <c r="DG54" s="193"/>
      <c r="DH54" s="193" t="s">
        <v>163</v>
      </c>
      <c r="DI54" s="193"/>
      <c r="DJ54" s="193" t="s">
        <v>163</v>
      </c>
      <c r="DK54" s="193"/>
      <c r="DL54" s="202">
        <v>1998</v>
      </c>
      <c r="DM54" s="203">
        <v>4312</v>
      </c>
      <c r="DN54" s="202">
        <v>102</v>
      </c>
      <c r="DO54" s="202">
        <v>559</v>
      </c>
      <c r="DP54" s="202">
        <v>0</v>
      </c>
      <c r="DQ54" s="203">
        <v>22432</v>
      </c>
      <c r="DR54" s="203">
        <v>22991</v>
      </c>
      <c r="DS54" s="203">
        <v>5698</v>
      </c>
      <c r="DT54" s="203">
        <v>1018</v>
      </c>
      <c r="DU54" s="202" t="s">
        <v>163</v>
      </c>
      <c r="DV54" s="202">
        <v>0</v>
      </c>
      <c r="DW54" s="202">
        <v>0</v>
      </c>
      <c r="DX54" s="202">
        <v>0</v>
      </c>
      <c r="DY54" s="203">
        <v>1759</v>
      </c>
      <c r="DZ54" s="202" t="s">
        <v>163</v>
      </c>
      <c r="EA54" s="138"/>
    </row>
    <row r="55" spans="1:131" ht="17.25" customHeight="1">
      <c r="D55" s="56">
        <f t="shared" si="0"/>
        <v>0.30724637681159422</v>
      </c>
      <c r="G55" s="159">
        <f t="shared" si="1"/>
        <v>345</v>
      </c>
      <c r="H55" s="167">
        <v>1999</v>
      </c>
      <c r="I55" s="167">
        <v>70</v>
      </c>
      <c r="J55" s="167">
        <v>252</v>
      </c>
      <c r="K55" s="168">
        <v>32173</v>
      </c>
      <c r="L55" s="168">
        <v>2295</v>
      </c>
      <c r="M55" s="168">
        <v>8081</v>
      </c>
      <c r="N55" s="167"/>
      <c r="O55" s="168">
        <v>63433</v>
      </c>
      <c r="P55" s="168">
        <v>2106</v>
      </c>
      <c r="Q55" s="168">
        <v>3294</v>
      </c>
      <c r="R55" s="167"/>
      <c r="S55" s="168">
        <v>111383</v>
      </c>
      <c r="T55" s="167"/>
      <c r="U55" s="167">
        <v>12</v>
      </c>
      <c r="V55" s="167" t="s">
        <v>163</v>
      </c>
      <c r="W55" s="167" t="s">
        <v>163</v>
      </c>
      <c r="X55" s="167" t="s">
        <v>163</v>
      </c>
      <c r="Y55" s="167" t="s">
        <v>163</v>
      </c>
      <c r="Z55" s="167"/>
      <c r="AA55" s="168">
        <v>49407</v>
      </c>
      <c r="AB55" s="167" t="s">
        <v>163</v>
      </c>
      <c r="AC55" s="167"/>
      <c r="AD55" s="167" t="s">
        <v>163</v>
      </c>
      <c r="AE55" s="167"/>
      <c r="AF55" s="167" t="s">
        <v>163</v>
      </c>
      <c r="AG55" s="167"/>
      <c r="AH55" s="175">
        <v>1999</v>
      </c>
      <c r="AI55" s="175">
        <v>4</v>
      </c>
      <c r="AJ55" s="175">
        <v>106</v>
      </c>
      <c r="AK55" s="176">
        <v>17825</v>
      </c>
      <c r="AL55" s="176">
        <v>1279</v>
      </c>
      <c r="AM55" s="175">
        <v>179</v>
      </c>
      <c r="AN55" s="176">
        <v>19282</v>
      </c>
      <c r="AO55" s="175" t="s">
        <v>163</v>
      </c>
      <c r="AP55" s="175" t="s">
        <v>163</v>
      </c>
      <c r="AQ55" s="175" t="s">
        <v>163</v>
      </c>
      <c r="AR55" s="176">
        <v>17392</v>
      </c>
      <c r="AS55" s="175" t="s">
        <v>163</v>
      </c>
      <c r="AT55" s="175" t="s">
        <v>163</v>
      </c>
      <c r="AU55" s="175"/>
      <c r="AV55" s="175" t="s">
        <v>163</v>
      </c>
      <c r="AW55" s="175"/>
      <c r="AX55" s="175">
        <v>1999</v>
      </c>
      <c r="AY55" s="175">
        <v>33</v>
      </c>
      <c r="AZ55" s="175">
        <v>65</v>
      </c>
      <c r="BA55" s="176">
        <v>3830</v>
      </c>
      <c r="BB55" s="175">
        <v>512</v>
      </c>
      <c r="BC55" s="175">
        <v>225</v>
      </c>
      <c r="BD55" s="175">
        <v>63</v>
      </c>
      <c r="BE55" s="176">
        <v>1184</v>
      </c>
      <c r="BF55" s="176">
        <v>5815</v>
      </c>
      <c r="BG55" s="175">
        <v>0</v>
      </c>
      <c r="BH55" s="175" t="s">
        <v>163</v>
      </c>
      <c r="BI55" s="175" t="s">
        <v>163</v>
      </c>
      <c r="BJ55" s="175">
        <v>1</v>
      </c>
      <c r="BK55" s="175"/>
      <c r="BL55" s="176">
        <v>21815</v>
      </c>
      <c r="BM55" s="175" t="s">
        <v>163</v>
      </c>
      <c r="BN55" s="175"/>
      <c r="BO55" s="175" t="s">
        <v>163</v>
      </c>
      <c r="BP55" s="175"/>
      <c r="BQ55" s="175" t="s">
        <v>163</v>
      </c>
      <c r="BR55" s="175"/>
      <c r="BS55" s="185">
        <v>1999</v>
      </c>
      <c r="BT55" s="185">
        <v>0</v>
      </c>
      <c r="BU55" s="185">
        <v>3</v>
      </c>
      <c r="BV55" s="185">
        <v>96</v>
      </c>
      <c r="BW55" s="186">
        <v>9301</v>
      </c>
      <c r="BX55" s="185">
        <v>156</v>
      </c>
      <c r="BY55" s="185"/>
      <c r="BZ55" s="186">
        <v>8081</v>
      </c>
      <c r="CA55" s="185"/>
      <c r="CB55" s="185">
        <v>491</v>
      </c>
      <c r="CC55" s="186">
        <v>63073</v>
      </c>
      <c r="CD55" s="185">
        <v>21</v>
      </c>
      <c r="CE55" s="186">
        <v>81220</v>
      </c>
      <c r="CF55" s="185"/>
      <c r="CG55" s="185">
        <v>234</v>
      </c>
      <c r="CH55" s="185" t="s">
        <v>163</v>
      </c>
      <c r="CI55" s="185"/>
      <c r="CJ55" s="185" t="s">
        <v>163</v>
      </c>
      <c r="CK55" s="185" t="s">
        <v>163</v>
      </c>
      <c r="CL55" s="185"/>
      <c r="CM55" s="193">
        <v>1999</v>
      </c>
      <c r="CN55" s="193">
        <v>33</v>
      </c>
      <c r="CO55" s="193">
        <v>78</v>
      </c>
      <c r="CP55" s="194">
        <v>1217</v>
      </c>
      <c r="CQ55" s="193">
        <v>348</v>
      </c>
      <c r="CR55" s="193"/>
      <c r="CS55" s="193">
        <v>297</v>
      </c>
      <c r="CT55" s="193">
        <v>900</v>
      </c>
      <c r="CU55" s="194">
        <v>2303</v>
      </c>
      <c r="CV55" s="193"/>
      <c r="CW55" s="194">
        <v>5066</v>
      </c>
      <c r="CX55" s="193"/>
      <c r="CY55" s="193">
        <v>12</v>
      </c>
      <c r="CZ55" s="193" t="s">
        <v>163</v>
      </c>
      <c r="DA55" s="193" t="s">
        <v>163</v>
      </c>
      <c r="DB55" s="193" t="s">
        <v>163</v>
      </c>
      <c r="DC55" s="193" t="s">
        <v>373</v>
      </c>
      <c r="DD55" s="193"/>
      <c r="DE55" s="194">
        <v>9966</v>
      </c>
      <c r="DF55" s="193" t="s">
        <v>163</v>
      </c>
      <c r="DG55" s="193"/>
      <c r="DH55" s="193" t="s">
        <v>163</v>
      </c>
      <c r="DI55" s="193"/>
      <c r="DJ55" s="193" t="s">
        <v>163</v>
      </c>
      <c r="DK55" s="193"/>
      <c r="DL55" s="202">
        <v>1999</v>
      </c>
      <c r="DM55" s="203">
        <v>4439</v>
      </c>
      <c r="DN55" s="202">
        <v>93</v>
      </c>
      <c r="DO55" s="202">
        <v>593</v>
      </c>
      <c r="DP55" s="202">
        <v>0</v>
      </c>
      <c r="DQ55" s="203">
        <v>17142</v>
      </c>
      <c r="DR55" s="203">
        <v>17735</v>
      </c>
      <c r="DS55" s="203">
        <v>4518</v>
      </c>
      <c r="DT55" s="202">
        <v>963</v>
      </c>
      <c r="DU55" s="202" t="s">
        <v>163</v>
      </c>
      <c r="DV55" s="202">
        <v>0</v>
      </c>
      <c r="DW55" s="202">
        <v>0</v>
      </c>
      <c r="DX55" s="202">
        <v>0</v>
      </c>
      <c r="DY55" s="203">
        <v>1934</v>
      </c>
      <c r="DZ55" s="202" t="s">
        <v>163</v>
      </c>
      <c r="EA55" s="138"/>
    </row>
    <row r="56" spans="1:131" ht="17.25" customHeight="1">
      <c r="D56" s="56">
        <f t="shared" si="0"/>
        <v>0.33236151603498543</v>
      </c>
      <c r="G56" s="159">
        <f t="shared" si="1"/>
        <v>343</v>
      </c>
      <c r="H56" s="167">
        <v>2000</v>
      </c>
      <c r="I56" s="167">
        <v>71</v>
      </c>
      <c r="J56" s="167">
        <v>255</v>
      </c>
      <c r="K56" s="168">
        <v>36643</v>
      </c>
      <c r="L56" s="168">
        <v>2923</v>
      </c>
      <c r="M56" s="168">
        <v>8204</v>
      </c>
      <c r="N56" s="167"/>
      <c r="O56" s="168">
        <v>65029</v>
      </c>
      <c r="P56" s="168">
        <v>3025</v>
      </c>
      <c r="Q56" s="168">
        <v>3850</v>
      </c>
      <c r="R56" s="167"/>
      <c r="S56" s="168">
        <v>119675</v>
      </c>
      <c r="T56" s="167"/>
      <c r="U56" s="167">
        <v>12</v>
      </c>
      <c r="V56" s="167" t="s">
        <v>163</v>
      </c>
      <c r="W56" s="167" t="s">
        <v>163</v>
      </c>
      <c r="X56" s="167" t="s">
        <v>163</v>
      </c>
      <c r="Y56" s="167" t="s">
        <v>163</v>
      </c>
      <c r="Z56" s="167"/>
      <c r="AA56" s="168">
        <v>51773</v>
      </c>
      <c r="AB56" s="167" t="s">
        <v>163</v>
      </c>
      <c r="AC56" s="167"/>
      <c r="AD56" s="167" t="s">
        <v>163</v>
      </c>
      <c r="AE56" s="167"/>
      <c r="AF56" s="167" t="s">
        <v>163</v>
      </c>
      <c r="AG56" s="167"/>
      <c r="AH56" s="175">
        <v>2000</v>
      </c>
      <c r="AI56" s="175">
        <v>2</v>
      </c>
      <c r="AJ56" s="175">
        <v>114</v>
      </c>
      <c r="AK56" s="176">
        <v>20445</v>
      </c>
      <c r="AL56" s="176">
        <v>1582</v>
      </c>
      <c r="AM56" s="175">
        <v>191</v>
      </c>
      <c r="AN56" s="176">
        <v>22217</v>
      </c>
      <c r="AO56" s="175" t="s">
        <v>163</v>
      </c>
      <c r="AP56" s="175" t="s">
        <v>163</v>
      </c>
      <c r="AQ56" s="175" t="s">
        <v>163</v>
      </c>
      <c r="AR56" s="176">
        <v>17562</v>
      </c>
      <c r="AS56" s="175" t="s">
        <v>163</v>
      </c>
      <c r="AT56" s="175" t="s">
        <v>163</v>
      </c>
      <c r="AU56" s="175"/>
      <c r="AV56" s="175" t="s">
        <v>163</v>
      </c>
      <c r="AW56" s="175"/>
      <c r="AX56" s="175">
        <v>2000</v>
      </c>
      <c r="AY56" s="175">
        <v>14</v>
      </c>
      <c r="AZ56" s="175">
        <v>64</v>
      </c>
      <c r="BA56" s="176">
        <v>5205</v>
      </c>
      <c r="BB56" s="175">
        <v>634</v>
      </c>
      <c r="BC56" s="175">
        <v>107</v>
      </c>
      <c r="BD56" s="175">
        <v>279</v>
      </c>
      <c r="BE56" s="176">
        <v>1388</v>
      </c>
      <c r="BF56" s="176">
        <v>7613</v>
      </c>
      <c r="BG56" s="175">
        <v>0</v>
      </c>
      <c r="BH56" s="175" t="s">
        <v>163</v>
      </c>
      <c r="BI56" s="175" t="s">
        <v>163</v>
      </c>
      <c r="BJ56" s="175">
        <v>1</v>
      </c>
      <c r="BK56" s="175"/>
      <c r="BL56" s="176">
        <v>23439</v>
      </c>
      <c r="BM56" s="175" t="s">
        <v>163</v>
      </c>
      <c r="BN56" s="175"/>
      <c r="BO56" s="175" t="s">
        <v>163</v>
      </c>
      <c r="BP56" s="175"/>
      <c r="BQ56" s="175" t="s">
        <v>163</v>
      </c>
      <c r="BR56" s="175"/>
      <c r="BS56" s="185">
        <v>2000</v>
      </c>
      <c r="BT56" s="185">
        <v>0</v>
      </c>
      <c r="BU56" s="185">
        <v>3</v>
      </c>
      <c r="BV56" s="185">
        <v>116</v>
      </c>
      <c r="BW56" s="186">
        <v>10050</v>
      </c>
      <c r="BX56" s="185">
        <v>56</v>
      </c>
      <c r="BY56" s="185"/>
      <c r="BZ56" s="186">
        <v>8204</v>
      </c>
      <c r="CA56" s="185"/>
      <c r="CB56" s="185">
        <v>484</v>
      </c>
      <c r="CC56" s="186">
        <v>64443</v>
      </c>
      <c r="CD56" s="185">
        <v>539</v>
      </c>
      <c r="CE56" s="186">
        <v>83891</v>
      </c>
      <c r="CF56" s="185"/>
      <c r="CG56" s="185">
        <v>239</v>
      </c>
      <c r="CH56" s="185" t="s">
        <v>163</v>
      </c>
      <c r="CI56" s="185"/>
      <c r="CJ56" s="185" t="s">
        <v>163</v>
      </c>
      <c r="CK56" s="185" t="s">
        <v>163</v>
      </c>
      <c r="CL56" s="185"/>
      <c r="CM56" s="193">
        <v>2000</v>
      </c>
      <c r="CN56" s="193">
        <v>55</v>
      </c>
      <c r="CO56" s="193">
        <v>75</v>
      </c>
      <c r="CP56" s="193">
        <v>944</v>
      </c>
      <c r="CQ56" s="193">
        <v>651</v>
      </c>
      <c r="CR56" s="193"/>
      <c r="CS56" s="193">
        <v>306</v>
      </c>
      <c r="CT56" s="194">
        <v>1099</v>
      </c>
      <c r="CU56" s="194">
        <v>2953</v>
      </c>
      <c r="CV56" s="193"/>
      <c r="CW56" s="194">
        <v>5954</v>
      </c>
      <c r="CX56" s="193"/>
      <c r="CY56" s="193">
        <v>12</v>
      </c>
      <c r="CZ56" s="193" t="s">
        <v>163</v>
      </c>
      <c r="DA56" s="193" t="s">
        <v>163</v>
      </c>
      <c r="DB56" s="193" t="s">
        <v>163</v>
      </c>
      <c r="DC56" s="193" t="s">
        <v>373</v>
      </c>
      <c r="DD56" s="193"/>
      <c r="DE56" s="194">
        <v>10533</v>
      </c>
      <c r="DF56" s="193" t="s">
        <v>163</v>
      </c>
      <c r="DG56" s="193"/>
      <c r="DH56" s="193" t="s">
        <v>163</v>
      </c>
      <c r="DI56" s="193"/>
      <c r="DJ56" s="193" t="s">
        <v>163</v>
      </c>
      <c r="DK56" s="193"/>
      <c r="DL56" s="202">
        <v>2000</v>
      </c>
      <c r="DM56" s="203">
        <v>4485</v>
      </c>
      <c r="DN56" s="202">
        <v>88</v>
      </c>
      <c r="DO56" s="202">
        <v>376</v>
      </c>
      <c r="DP56" s="202">
        <v>0</v>
      </c>
      <c r="DQ56" s="203">
        <v>13627</v>
      </c>
      <c r="DR56" s="203">
        <v>14003</v>
      </c>
      <c r="DS56" s="203">
        <v>5512</v>
      </c>
      <c r="DT56" s="203">
        <v>1053</v>
      </c>
      <c r="DU56" s="202" t="s">
        <v>163</v>
      </c>
      <c r="DV56" s="202">
        <v>0</v>
      </c>
      <c r="DW56" s="202">
        <v>0</v>
      </c>
      <c r="DX56" s="202">
        <v>0</v>
      </c>
      <c r="DY56" s="203">
        <v>1779</v>
      </c>
      <c r="DZ56" s="202" t="s">
        <v>163</v>
      </c>
      <c r="EA56" s="138"/>
    </row>
    <row r="57" spans="1:131" ht="17.25" customHeight="1">
      <c r="D57" s="56">
        <f t="shared" si="0"/>
        <v>0.30659025787965616</v>
      </c>
      <c r="G57" s="159">
        <f t="shared" si="1"/>
        <v>349</v>
      </c>
      <c r="H57" s="167">
        <v>2001</v>
      </c>
      <c r="I57" s="167">
        <v>70</v>
      </c>
      <c r="J57" s="167">
        <v>253</v>
      </c>
      <c r="K57" s="168">
        <v>38274</v>
      </c>
      <c r="L57" s="168">
        <v>2910</v>
      </c>
      <c r="M57" s="168">
        <v>7003</v>
      </c>
      <c r="N57" s="167"/>
      <c r="O57" s="168">
        <v>65358</v>
      </c>
      <c r="P57" s="168">
        <v>2963</v>
      </c>
      <c r="Q57" s="168">
        <v>3558</v>
      </c>
      <c r="R57" s="167"/>
      <c r="S57" s="168">
        <v>120066</v>
      </c>
      <c r="T57" s="167"/>
      <c r="U57" s="167">
        <v>8</v>
      </c>
      <c r="V57" s="167" t="s">
        <v>163</v>
      </c>
      <c r="W57" s="167" t="s">
        <v>163</v>
      </c>
      <c r="X57" s="167" t="s">
        <v>163</v>
      </c>
      <c r="Y57" s="167" t="s">
        <v>163</v>
      </c>
      <c r="Z57" s="167"/>
      <c r="AA57" s="168">
        <v>52496</v>
      </c>
      <c r="AB57" s="167" t="s">
        <v>163</v>
      </c>
      <c r="AC57" s="167"/>
      <c r="AD57" s="167" t="s">
        <v>163</v>
      </c>
      <c r="AE57" s="167"/>
      <c r="AF57" s="167" t="s">
        <v>163</v>
      </c>
      <c r="AG57" s="167"/>
      <c r="AH57" s="175">
        <v>2001</v>
      </c>
      <c r="AI57" s="175">
        <v>2</v>
      </c>
      <c r="AJ57" s="175">
        <v>107</v>
      </c>
      <c r="AK57" s="176">
        <v>22293</v>
      </c>
      <c r="AL57" s="176">
        <v>1435</v>
      </c>
      <c r="AM57" s="175">
        <v>197</v>
      </c>
      <c r="AN57" s="176">
        <v>23925</v>
      </c>
      <c r="AO57" s="175" t="s">
        <v>163</v>
      </c>
      <c r="AP57" s="175" t="s">
        <v>163</v>
      </c>
      <c r="AQ57" s="175" t="s">
        <v>163</v>
      </c>
      <c r="AR57" s="176">
        <v>17984</v>
      </c>
      <c r="AS57" s="175" t="s">
        <v>163</v>
      </c>
      <c r="AT57" s="175" t="s">
        <v>163</v>
      </c>
      <c r="AU57" s="175"/>
      <c r="AV57" s="175" t="s">
        <v>163</v>
      </c>
      <c r="AW57" s="175"/>
      <c r="AX57" s="175">
        <v>2001</v>
      </c>
      <c r="AY57" s="175">
        <v>14</v>
      </c>
      <c r="AZ57" s="175">
        <v>62</v>
      </c>
      <c r="BA57" s="176">
        <v>4218</v>
      </c>
      <c r="BB57" s="175">
        <v>575</v>
      </c>
      <c r="BC57" s="175">
        <v>156</v>
      </c>
      <c r="BD57" s="175">
        <v>84</v>
      </c>
      <c r="BE57" s="175">
        <v>523</v>
      </c>
      <c r="BF57" s="176">
        <v>5555</v>
      </c>
      <c r="BG57" s="175">
        <v>0</v>
      </c>
      <c r="BH57" s="175" t="s">
        <v>163</v>
      </c>
      <c r="BI57" s="175" t="s">
        <v>163</v>
      </c>
      <c r="BJ57" s="175">
        <v>1</v>
      </c>
      <c r="BK57" s="175"/>
      <c r="BL57" s="176">
        <v>24510</v>
      </c>
      <c r="BM57" s="175" t="s">
        <v>163</v>
      </c>
      <c r="BN57" s="175"/>
      <c r="BO57" s="175" t="s">
        <v>163</v>
      </c>
      <c r="BP57" s="175"/>
      <c r="BQ57" s="175" t="s">
        <v>163</v>
      </c>
      <c r="BR57" s="175"/>
      <c r="BS57" s="185">
        <v>2001</v>
      </c>
      <c r="BT57" s="185">
        <v>0</v>
      </c>
      <c r="BU57" s="185">
        <v>3</v>
      </c>
      <c r="BV57" s="185">
        <v>80</v>
      </c>
      <c r="BW57" s="186">
        <v>10480</v>
      </c>
      <c r="BX57" s="185">
        <v>41</v>
      </c>
      <c r="BY57" s="185"/>
      <c r="BZ57" s="186">
        <v>7003</v>
      </c>
      <c r="CA57" s="185"/>
      <c r="CB57" s="185">
        <v>443</v>
      </c>
      <c r="CC57" s="186">
        <v>64362</v>
      </c>
      <c r="CD57" s="185">
        <v>287</v>
      </c>
      <c r="CE57" s="186">
        <v>82697</v>
      </c>
      <c r="CF57" s="185"/>
      <c r="CG57" s="185">
        <v>246</v>
      </c>
      <c r="CH57" s="185" t="s">
        <v>163</v>
      </c>
      <c r="CI57" s="185"/>
      <c r="CJ57" s="185" t="s">
        <v>163</v>
      </c>
      <c r="CK57" s="185" t="s">
        <v>163</v>
      </c>
      <c r="CL57" s="185"/>
      <c r="CM57" s="193">
        <v>2001</v>
      </c>
      <c r="CN57" s="193">
        <v>54</v>
      </c>
      <c r="CO57" s="193">
        <v>81</v>
      </c>
      <c r="CP57" s="194">
        <v>1283</v>
      </c>
      <c r="CQ57" s="193">
        <v>859</v>
      </c>
      <c r="CR57" s="193"/>
      <c r="CS57" s="193">
        <v>913</v>
      </c>
      <c r="CT57" s="194">
        <v>2153</v>
      </c>
      <c r="CU57" s="194">
        <v>2681</v>
      </c>
      <c r="CV57" s="193"/>
      <c r="CW57" s="194">
        <v>7888</v>
      </c>
      <c r="CX57" s="193"/>
      <c r="CY57" s="193">
        <v>8</v>
      </c>
      <c r="CZ57" s="193" t="s">
        <v>163</v>
      </c>
      <c r="DA57" s="193" t="s">
        <v>163</v>
      </c>
      <c r="DB57" s="193" t="s">
        <v>163</v>
      </c>
      <c r="DC57" s="193" t="s">
        <v>373</v>
      </c>
      <c r="DD57" s="193"/>
      <c r="DE57" s="194">
        <v>9757</v>
      </c>
      <c r="DF57" s="193" t="s">
        <v>163</v>
      </c>
      <c r="DG57" s="193"/>
      <c r="DH57" s="193" t="s">
        <v>163</v>
      </c>
      <c r="DI57" s="193"/>
      <c r="DJ57" s="193" t="s">
        <v>163</v>
      </c>
      <c r="DK57" s="193"/>
      <c r="DL57" s="202">
        <v>2001</v>
      </c>
      <c r="DM57" s="203">
        <v>4359</v>
      </c>
      <c r="DN57" s="202">
        <v>96</v>
      </c>
      <c r="DO57" s="202">
        <v>325</v>
      </c>
      <c r="DP57" s="202">
        <v>0</v>
      </c>
      <c r="DQ57" s="203">
        <v>13384</v>
      </c>
      <c r="DR57" s="203">
        <v>13709</v>
      </c>
      <c r="DS57" s="203">
        <v>5144</v>
      </c>
      <c r="DT57" s="202">
        <v>694</v>
      </c>
      <c r="DU57" s="202" t="s">
        <v>163</v>
      </c>
      <c r="DV57" s="202">
        <v>0</v>
      </c>
      <c r="DW57" s="202">
        <v>0</v>
      </c>
      <c r="DX57" s="202">
        <v>0</v>
      </c>
      <c r="DY57" s="203">
        <v>1137</v>
      </c>
      <c r="DZ57" s="202" t="s">
        <v>163</v>
      </c>
      <c r="EA57" s="138"/>
    </row>
    <row r="58" spans="1:131" ht="17.25" customHeight="1">
      <c r="D58" s="56">
        <f t="shared" si="0"/>
        <v>0.27735368956743001</v>
      </c>
      <c r="G58" s="159">
        <f t="shared" si="1"/>
        <v>393</v>
      </c>
      <c r="H58" s="167">
        <v>2002</v>
      </c>
      <c r="I58" s="167">
        <v>132</v>
      </c>
      <c r="J58" s="167">
        <v>264</v>
      </c>
      <c r="K58" s="168">
        <v>37309</v>
      </c>
      <c r="L58" s="168">
        <v>2315</v>
      </c>
      <c r="M58" s="168">
        <v>5609</v>
      </c>
      <c r="N58" s="167"/>
      <c r="O58" s="168">
        <v>67106</v>
      </c>
      <c r="P58" s="168">
        <v>2689</v>
      </c>
      <c r="Q58" s="168">
        <v>3486</v>
      </c>
      <c r="R58" s="167"/>
      <c r="S58" s="168">
        <v>118514</v>
      </c>
      <c r="T58" s="167"/>
      <c r="U58" s="167">
        <v>10</v>
      </c>
      <c r="V58" s="167" t="s">
        <v>163</v>
      </c>
      <c r="W58" s="167" t="s">
        <v>163</v>
      </c>
      <c r="X58" s="167" t="s">
        <v>163</v>
      </c>
      <c r="Y58" s="167" t="s">
        <v>163</v>
      </c>
      <c r="Z58" s="167"/>
      <c r="AA58" s="168">
        <v>53708</v>
      </c>
      <c r="AB58" s="167" t="s">
        <v>163</v>
      </c>
      <c r="AC58" s="167"/>
      <c r="AD58" s="167" t="s">
        <v>163</v>
      </c>
      <c r="AE58" s="167"/>
      <c r="AF58" s="167" t="s">
        <v>163</v>
      </c>
      <c r="AG58" s="167"/>
      <c r="AH58" s="175">
        <v>2002</v>
      </c>
      <c r="AI58" s="175">
        <v>11</v>
      </c>
      <c r="AJ58" s="175">
        <v>109</v>
      </c>
      <c r="AK58" s="176">
        <v>22066</v>
      </c>
      <c r="AL58" s="176">
        <v>1162</v>
      </c>
      <c r="AM58" s="175">
        <v>127</v>
      </c>
      <c r="AN58" s="176">
        <v>23355</v>
      </c>
      <c r="AO58" s="175" t="s">
        <v>163</v>
      </c>
      <c r="AP58" s="175" t="s">
        <v>163</v>
      </c>
      <c r="AQ58" s="175" t="s">
        <v>163</v>
      </c>
      <c r="AR58" s="176">
        <v>18695</v>
      </c>
      <c r="AS58" s="175" t="s">
        <v>163</v>
      </c>
      <c r="AT58" s="175" t="s">
        <v>163</v>
      </c>
      <c r="AU58" s="175"/>
      <c r="AV58" s="175" t="s">
        <v>163</v>
      </c>
      <c r="AW58" s="175"/>
      <c r="AX58" s="175">
        <v>2002</v>
      </c>
      <c r="AY58" s="175">
        <v>77</v>
      </c>
      <c r="AZ58" s="175">
        <v>65</v>
      </c>
      <c r="BA58" s="176">
        <v>3835</v>
      </c>
      <c r="BB58" s="175">
        <v>465</v>
      </c>
      <c r="BC58" s="175">
        <v>59</v>
      </c>
      <c r="BD58" s="175">
        <v>117</v>
      </c>
      <c r="BE58" s="175">
        <v>642</v>
      </c>
      <c r="BF58" s="176">
        <v>5117</v>
      </c>
      <c r="BG58" s="175">
        <v>4</v>
      </c>
      <c r="BH58" s="175" t="s">
        <v>163</v>
      </c>
      <c r="BI58" s="175" t="s">
        <v>163</v>
      </c>
      <c r="BJ58" s="175">
        <v>1</v>
      </c>
      <c r="BK58" s="175"/>
      <c r="BL58" s="176">
        <v>24685</v>
      </c>
      <c r="BM58" s="175" t="s">
        <v>163</v>
      </c>
      <c r="BN58" s="175"/>
      <c r="BO58" s="175" t="s">
        <v>163</v>
      </c>
      <c r="BP58" s="175"/>
      <c r="BQ58" s="175" t="s">
        <v>163</v>
      </c>
      <c r="BR58" s="175"/>
      <c r="BS58" s="185">
        <v>2002</v>
      </c>
      <c r="BT58" s="185">
        <v>0</v>
      </c>
      <c r="BU58" s="185">
        <v>4</v>
      </c>
      <c r="BV58" s="185">
        <v>77</v>
      </c>
      <c r="BW58" s="186">
        <v>10431</v>
      </c>
      <c r="BX58" s="185">
        <v>39</v>
      </c>
      <c r="BY58" s="185"/>
      <c r="BZ58" s="186">
        <v>5609</v>
      </c>
      <c r="CA58" s="185"/>
      <c r="CB58" s="185">
        <v>438</v>
      </c>
      <c r="CC58" s="186">
        <v>66073</v>
      </c>
      <c r="CD58" s="185">
        <v>314</v>
      </c>
      <c r="CE58" s="186">
        <v>82981</v>
      </c>
      <c r="CF58" s="185"/>
      <c r="CG58" s="185">
        <v>241</v>
      </c>
      <c r="CH58" s="185" t="s">
        <v>163</v>
      </c>
      <c r="CI58" s="185"/>
      <c r="CJ58" s="185" t="s">
        <v>163</v>
      </c>
      <c r="CK58" s="185" t="s">
        <v>163</v>
      </c>
      <c r="CL58" s="185"/>
      <c r="CM58" s="193">
        <v>2002</v>
      </c>
      <c r="CN58" s="193">
        <v>44</v>
      </c>
      <c r="CO58" s="193">
        <v>86</v>
      </c>
      <c r="CP58" s="193">
        <v>978</v>
      </c>
      <c r="CQ58" s="193">
        <v>649</v>
      </c>
      <c r="CR58" s="193"/>
      <c r="CS58" s="193">
        <v>916</v>
      </c>
      <c r="CT58" s="194">
        <v>1732</v>
      </c>
      <c r="CU58" s="194">
        <v>2786</v>
      </c>
      <c r="CV58" s="193"/>
      <c r="CW58" s="194">
        <v>7061</v>
      </c>
      <c r="CX58" s="193"/>
      <c r="CY58" s="193">
        <v>6</v>
      </c>
      <c r="CZ58" s="193" t="s">
        <v>163</v>
      </c>
      <c r="DA58" s="193" t="s">
        <v>163</v>
      </c>
      <c r="DB58" s="193" t="s">
        <v>163</v>
      </c>
      <c r="DC58" s="193" t="s">
        <v>373</v>
      </c>
      <c r="DD58" s="193"/>
      <c r="DE58" s="194">
        <v>10087</v>
      </c>
      <c r="DF58" s="193" t="s">
        <v>163</v>
      </c>
      <c r="DG58" s="193"/>
      <c r="DH58" s="193" t="s">
        <v>163</v>
      </c>
      <c r="DI58" s="193"/>
      <c r="DJ58" s="193" t="s">
        <v>163</v>
      </c>
      <c r="DK58" s="193"/>
      <c r="DL58" s="202">
        <v>2002</v>
      </c>
      <c r="DM58" s="203">
        <v>4603</v>
      </c>
      <c r="DN58" s="202">
        <v>129</v>
      </c>
      <c r="DO58" s="202">
        <v>441</v>
      </c>
      <c r="DP58" s="202">
        <v>0</v>
      </c>
      <c r="DQ58" s="203">
        <v>10154</v>
      </c>
      <c r="DR58" s="203">
        <v>10595</v>
      </c>
      <c r="DS58" s="203">
        <v>5769</v>
      </c>
      <c r="DT58" s="202">
        <v>865</v>
      </c>
      <c r="DU58" s="202" t="s">
        <v>163</v>
      </c>
      <c r="DV58" s="202">
        <v>0</v>
      </c>
      <c r="DW58" s="202">
        <v>0</v>
      </c>
      <c r="DX58" s="202">
        <v>0</v>
      </c>
      <c r="DY58" s="202">
        <v>497</v>
      </c>
      <c r="DZ58" s="202" t="s">
        <v>163</v>
      </c>
      <c r="EA58" s="138"/>
    </row>
    <row r="59" spans="1:131" ht="17.25" customHeight="1">
      <c r="D59" s="56">
        <f t="shared" si="0"/>
        <v>0.31188118811881188</v>
      </c>
      <c r="G59" s="159">
        <f t="shared" si="1"/>
        <v>404</v>
      </c>
      <c r="H59" s="167">
        <v>2003</v>
      </c>
      <c r="I59" s="167">
        <v>108</v>
      </c>
      <c r="J59" s="167">
        <v>235</v>
      </c>
      <c r="K59" s="168">
        <v>38847</v>
      </c>
      <c r="L59" s="168">
        <v>2608</v>
      </c>
      <c r="M59" s="168">
        <v>6396</v>
      </c>
      <c r="N59" s="167"/>
      <c r="O59" s="168">
        <v>66973</v>
      </c>
      <c r="P59" s="168">
        <v>2787</v>
      </c>
      <c r="Q59" s="168">
        <v>3000</v>
      </c>
      <c r="R59" s="167"/>
      <c r="S59" s="168">
        <v>120611</v>
      </c>
      <c r="T59" s="167"/>
      <c r="U59" s="167">
        <v>11</v>
      </c>
      <c r="V59" s="167" t="s">
        <v>163</v>
      </c>
      <c r="W59" s="167" t="s">
        <v>163</v>
      </c>
      <c r="X59" s="167" t="s">
        <v>163</v>
      </c>
      <c r="Y59" s="167" t="s">
        <v>163</v>
      </c>
      <c r="Z59" s="167"/>
      <c r="AA59" s="168">
        <v>55514</v>
      </c>
      <c r="AB59" s="167" t="s">
        <v>163</v>
      </c>
      <c r="AC59" s="167"/>
      <c r="AD59" s="167" t="s">
        <v>163</v>
      </c>
      <c r="AE59" s="167"/>
      <c r="AF59" s="167" t="s">
        <v>163</v>
      </c>
      <c r="AG59" s="167"/>
      <c r="AH59" s="175">
        <v>2003</v>
      </c>
      <c r="AI59" s="175">
        <v>7</v>
      </c>
      <c r="AJ59" s="175">
        <v>126</v>
      </c>
      <c r="AK59" s="176">
        <v>20816</v>
      </c>
      <c r="AL59" s="176">
        <v>1644</v>
      </c>
      <c r="AM59" s="175">
        <v>244</v>
      </c>
      <c r="AN59" s="176">
        <v>22703</v>
      </c>
      <c r="AO59" s="175" t="s">
        <v>163</v>
      </c>
      <c r="AP59" s="175" t="s">
        <v>163</v>
      </c>
      <c r="AQ59" s="175" t="s">
        <v>163</v>
      </c>
      <c r="AR59" s="176">
        <v>19591</v>
      </c>
      <c r="AS59" s="175" t="s">
        <v>163</v>
      </c>
      <c r="AT59" s="175" t="s">
        <v>163</v>
      </c>
      <c r="AU59" s="175"/>
      <c r="AV59" s="175" t="s">
        <v>163</v>
      </c>
      <c r="AW59" s="175"/>
      <c r="AX59" s="175">
        <v>2003</v>
      </c>
      <c r="AY59" s="175">
        <v>44</v>
      </c>
      <c r="AZ59" s="175">
        <v>63</v>
      </c>
      <c r="BA59" s="176">
        <v>5738</v>
      </c>
      <c r="BB59" s="175">
        <v>735</v>
      </c>
      <c r="BC59" s="175">
        <v>72</v>
      </c>
      <c r="BD59" s="175">
        <v>104</v>
      </c>
      <c r="BE59" s="176">
        <v>1811</v>
      </c>
      <c r="BF59" s="176">
        <v>8460</v>
      </c>
      <c r="BG59" s="175">
        <v>6</v>
      </c>
      <c r="BH59" s="175" t="s">
        <v>163</v>
      </c>
      <c r="BI59" s="175" t="s">
        <v>163</v>
      </c>
      <c r="BJ59" s="175">
        <v>1</v>
      </c>
      <c r="BK59" s="177" t="s">
        <v>374</v>
      </c>
      <c r="BL59" s="176">
        <v>25648</v>
      </c>
      <c r="BM59" s="175" t="s">
        <v>163</v>
      </c>
      <c r="BN59" s="175"/>
      <c r="BO59" s="175" t="s">
        <v>163</v>
      </c>
      <c r="BP59" s="175"/>
      <c r="BQ59" s="175" t="s">
        <v>163</v>
      </c>
      <c r="BR59" s="175"/>
      <c r="BS59" s="185">
        <v>2003</v>
      </c>
      <c r="BT59" s="185">
        <v>0</v>
      </c>
      <c r="BU59" s="185">
        <v>2</v>
      </c>
      <c r="BV59" s="185">
        <v>81</v>
      </c>
      <c r="BW59" s="186">
        <v>10333</v>
      </c>
      <c r="BX59" s="185">
        <v>39</v>
      </c>
      <c r="BY59" s="185"/>
      <c r="BZ59" s="186">
        <v>6396</v>
      </c>
      <c r="CA59" s="185"/>
      <c r="CB59" s="185">
        <v>405</v>
      </c>
      <c r="CC59" s="186">
        <v>65931</v>
      </c>
      <c r="CD59" s="185">
        <v>7</v>
      </c>
      <c r="CE59" s="186">
        <v>83192</v>
      </c>
      <c r="CF59" s="185"/>
      <c r="CG59" s="185">
        <v>292</v>
      </c>
      <c r="CH59" s="185" t="s">
        <v>163</v>
      </c>
      <c r="CI59" s="185"/>
      <c r="CJ59" s="185" t="s">
        <v>163</v>
      </c>
      <c r="CK59" s="185" t="s">
        <v>163</v>
      </c>
      <c r="CL59" s="185"/>
      <c r="CM59" s="193">
        <v>2003</v>
      </c>
      <c r="CN59" s="193">
        <v>57</v>
      </c>
      <c r="CO59" s="193">
        <v>44</v>
      </c>
      <c r="CP59" s="194">
        <v>1961</v>
      </c>
      <c r="CQ59" s="193">
        <v>191</v>
      </c>
      <c r="CR59" s="193"/>
      <c r="CS59" s="193">
        <v>937</v>
      </c>
      <c r="CT59" s="193">
        <v>969</v>
      </c>
      <c r="CU59" s="194">
        <v>2200</v>
      </c>
      <c r="CV59" s="193"/>
      <c r="CW59" s="194">
        <v>6257</v>
      </c>
      <c r="CX59" s="193"/>
      <c r="CY59" s="193">
        <v>5</v>
      </c>
      <c r="CZ59" s="193" t="s">
        <v>163</v>
      </c>
      <c r="DA59" s="193" t="s">
        <v>163</v>
      </c>
      <c r="DB59" s="193" t="s">
        <v>163</v>
      </c>
      <c r="DC59" s="193" t="s">
        <v>373</v>
      </c>
      <c r="DD59" s="193"/>
      <c r="DE59" s="194">
        <v>9984</v>
      </c>
      <c r="DF59" s="193" t="s">
        <v>163</v>
      </c>
      <c r="DG59" s="193"/>
      <c r="DH59" s="193" t="s">
        <v>163</v>
      </c>
      <c r="DI59" s="193"/>
      <c r="DJ59" s="193" t="s">
        <v>163</v>
      </c>
      <c r="DK59" s="193"/>
      <c r="DL59" s="202">
        <v>2003</v>
      </c>
      <c r="DM59" s="203">
        <v>4390</v>
      </c>
      <c r="DN59" s="202">
        <v>169</v>
      </c>
      <c r="DO59" s="202">
        <v>952</v>
      </c>
      <c r="DP59" s="202">
        <v>0</v>
      </c>
      <c r="DQ59" s="203">
        <v>10975</v>
      </c>
      <c r="DR59" s="203">
        <v>11927</v>
      </c>
      <c r="DS59" s="203">
        <v>4978</v>
      </c>
      <c r="DT59" s="203">
        <v>1064</v>
      </c>
      <c r="DU59" s="202" t="s">
        <v>163</v>
      </c>
      <c r="DV59" s="202">
        <v>0</v>
      </c>
      <c r="DW59" s="202">
        <v>0</v>
      </c>
      <c r="DX59" s="202">
        <v>0</v>
      </c>
      <c r="DY59" s="202">
        <v>213</v>
      </c>
      <c r="DZ59" s="202" t="s">
        <v>163</v>
      </c>
      <c r="EA59" s="138"/>
    </row>
    <row r="60" spans="1:131" ht="17.25" customHeight="1">
      <c r="D60" s="56">
        <f t="shared" si="0"/>
        <v>0.30376344086021506</v>
      </c>
      <c r="G60" s="159">
        <f t="shared" si="1"/>
        <v>372</v>
      </c>
      <c r="H60" s="167">
        <v>2004</v>
      </c>
      <c r="I60" s="167">
        <v>89</v>
      </c>
      <c r="J60" s="167">
        <v>215</v>
      </c>
      <c r="K60" s="168">
        <v>37316</v>
      </c>
      <c r="L60" s="168">
        <v>1962</v>
      </c>
      <c r="M60" s="168">
        <v>8235</v>
      </c>
      <c r="N60" s="167"/>
      <c r="O60" s="168">
        <v>68242</v>
      </c>
      <c r="P60" s="168">
        <v>3494</v>
      </c>
      <c r="Q60" s="168">
        <v>3023</v>
      </c>
      <c r="R60" s="167"/>
      <c r="S60" s="168">
        <v>122271</v>
      </c>
      <c r="T60" s="167"/>
      <c r="U60" s="167">
        <v>5</v>
      </c>
      <c r="V60" s="167" t="s">
        <v>163</v>
      </c>
      <c r="W60" s="167" t="s">
        <v>163</v>
      </c>
      <c r="X60" s="167" t="s">
        <v>163</v>
      </c>
      <c r="Y60" s="167" t="s">
        <v>163</v>
      </c>
      <c r="Z60" s="167"/>
      <c r="AA60" s="168">
        <v>56142</v>
      </c>
      <c r="AB60" s="167" t="s">
        <v>163</v>
      </c>
      <c r="AC60" s="167"/>
      <c r="AD60" s="167" t="s">
        <v>163</v>
      </c>
      <c r="AE60" s="167"/>
      <c r="AF60" s="167" t="s">
        <v>163</v>
      </c>
      <c r="AG60" s="167"/>
      <c r="AH60" s="175">
        <v>2004</v>
      </c>
      <c r="AI60" s="175">
        <v>4</v>
      </c>
      <c r="AJ60" s="175">
        <v>113</v>
      </c>
      <c r="AK60" s="176">
        <v>19337</v>
      </c>
      <c r="AL60" s="176">
        <v>1391</v>
      </c>
      <c r="AM60" s="175">
        <v>279</v>
      </c>
      <c r="AN60" s="176">
        <v>21007</v>
      </c>
      <c r="AO60" s="175" t="s">
        <v>163</v>
      </c>
      <c r="AP60" s="175" t="s">
        <v>163</v>
      </c>
      <c r="AQ60" s="175" t="s">
        <v>163</v>
      </c>
      <c r="AR60" s="176">
        <v>19769</v>
      </c>
      <c r="AS60" s="175" t="s">
        <v>163</v>
      </c>
      <c r="AT60" s="175" t="s">
        <v>163</v>
      </c>
      <c r="AU60" s="175"/>
      <c r="AV60" s="175" t="s">
        <v>163</v>
      </c>
      <c r="AW60" s="175"/>
      <c r="AX60" s="175">
        <v>2004</v>
      </c>
      <c r="AY60" s="175">
        <v>32</v>
      </c>
      <c r="AZ60" s="175">
        <v>57</v>
      </c>
      <c r="BA60" s="176">
        <v>4312</v>
      </c>
      <c r="BB60" s="175">
        <v>471</v>
      </c>
      <c r="BC60" s="175">
        <v>91</v>
      </c>
      <c r="BD60" s="175">
        <v>70</v>
      </c>
      <c r="BE60" s="176">
        <v>2771</v>
      </c>
      <c r="BF60" s="176">
        <v>7714</v>
      </c>
      <c r="BG60" s="175">
        <v>3</v>
      </c>
      <c r="BH60" s="175" t="s">
        <v>163</v>
      </c>
      <c r="BI60" s="175" t="s">
        <v>163</v>
      </c>
      <c r="BJ60" s="175">
        <v>2</v>
      </c>
      <c r="BK60" s="175"/>
      <c r="BL60" s="176">
        <v>26020</v>
      </c>
      <c r="BM60" s="175" t="s">
        <v>163</v>
      </c>
      <c r="BN60" s="175"/>
      <c r="BO60" s="175" t="s">
        <v>163</v>
      </c>
      <c r="BP60" s="175"/>
      <c r="BQ60" s="175" t="s">
        <v>163</v>
      </c>
      <c r="BR60" s="175"/>
      <c r="BS60" s="185">
        <v>2004</v>
      </c>
      <c r="BT60" s="185">
        <v>0</v>
      </c>
      <c r="BU60" s="185">
        <v>2</v>
      </c>
      <c r="BV60" s="185">
        <v>95</v>
      </c>
      <c r="BW60" s="186">
        <v>11721</v>
      </c>
      <c r="BX60" s="185">
        <v>32</v>
      </c>
      <c r="BY60" s="185"/>
      <c r="BZ60" s="186">
        <v>8235</v>
      </c>
      <c r="CA60" s="185"/>
      <c r="CB60" s="185">
        <v>410</v>
      </c>
      <c r="CC60" s="186">
        <v>67203</v>
      </c>
      <c r="CD60" s="185">
        <v>2</v>
      </c>
      <c r="CE60" s="186">
        <v>87699</v>
      </c>
      <c r="CF60" s="185"/>
      <c r="CG60" s="185">
        <v>406</v>
      </c>
      <c r="CH60" s="185" t="s">
        <v>163</v>
      </c>
      <c r="CI60" s="185"/>
      <c r="CJ60" s="185" t="s">
        <v>163</v>
      </c>
      <c r="CK60" s="185" t="s">
        <v>163</v>
      </c>
      <c r="CL60" s="185"/>
      <c r="CM60" s="193">
        <v>2004</v>
      </c>
      <c r="CN60" s="193">
        <v>54</v>
      </c>
      <c r="CO60" s="193">
        <v>44</v>
      </c>
      <c r="CP60" s="194">
        <v>1947</v>
      </c>
      <c r="CQ60" s="193">
        <v>67</v>
      </c>
      <c r="CR60" s="193"/>
      <c r="CS60" s="193">
        <v>969</v>
      </c>
      <c r="CT60" s="193">
        <v>720</v>
      </c>
      <c r="CU60" s="194">
        <v>2148</v>
      </c>
      <c r="CV60" s="193"/>
      <c r="CW60" s="194">
        <v>5851</v>
      </c>
      <c r="CX60" s="193"/>
      <c r="CY60" s="193">
        <v>2</v>
      </c>
      <c r="CZ60" s="193" t="s">
        <v>163</v>
      </c>
      <c r="DA60" s="193" t="s">
        <v>163</v>
      </c>
      <c r="DB60" s="193" t="s">
        <v>163</v>
      </c>
      <c r="DC60" s="193" t="s">
        <v>373</v>
      </c>
      <c r="DD60" s="193"/>
      <c r="DE60" s="194">
        <v>9947</v>
      </c>
      <c r="DF60" s="193" t="s">
        <v>163</v>
      </c>
      <c r="DG60" s="193"/>
      <c r="DH60" s="193" t="s">
        <v>163</v>
      </c>
      <c r="DI60" s="193"/>
      <c r="DJ60" s="193" t="s">
        <v>163</v>
      </c>
      <c r="DK60" s="193"/>
      <c r="DL60" s="202">
        <v>2004</v>
      </c>
      <c r="DM60" s="203">
        <v>4357</v>
      </c>
      <c r="DN60" s="202">
        <v>157</v>
      </c>
      <c r="DO60" s="202">
        <v>607</v>
      </c>
      <c r="DP60" s="202">
        <v>0</v>
      </c>
      <c r="DQ60" s="203">
        <v>10658</v>
      </c>
      <c r="DR60" s="203">
        <v>11265</v>
      </c>
      <c r="DS60" s="203">
        <v>5939</v>
      </c>
      <c r="DT60" s="202">
        <v>993</v>
      </c>
      <c r="DU60" s="202" t="s">
        <v>163</v>
      </c>
      <c r="DV60" s="202">
        <v>0</v>
      </c>
      <c r="DW60" s="202">
        <v>0</v>
      </c>
      <c r="DX60" s="202">
        <v>0</v>
      </c>
      <c r="DY60" s="202">
        <v>480</v>
      </c>
      <c r="DZ60" s="202" t="s">
        <v>163</v>
      </c>
      <c r="EA60" s="138"/>
    </row>
    <row r="61" spans="1:131" ht="17.25" customHeight="1">
      <c r="D61" s="56">
        <f t="shared" si="0"/>
        <v>0.31481481481481483</v>
      </c>
      <c r="G61" s="159">
        <f t="shared" si="1"/>
        <v>378</v>
      </c>
      <c r="H61" s="167">
        <v>2005</v>
      </c>
      <c r="I61" s="167">
        <v>111</v>
      </c>
      <c r="J61" s="167">
        <v>226</v>
      </c>
      <c r="K61" s="168">
        <v>37287</v>
      </c>
      <c r="L61" s="168">
        <v>2875</v>
      </c>
      <c r="M61" s="168">
        <v>9025</v>
      </c>
      <c r="N61" s="167"/>
      <c r="O61" s="168">
        <v>68048</v>
      </c>
      <c r="P61" s="168">
        <v>4075</v>
      </c>
      <c r="Q61" s="168">
        <v>3018</v>
      </c>
      <c r="R61" s="167"/>
      <c r="S61" s="168">
        <v>124329</v>
      </c>
      <c r="T61" s="167"/>
      <c r="U61" s="167" t="s">
        <v>373</v>
      </c>
      <c r="V61" s="167" t="s">
        <v>163</v>
      </c>
      <c r="W61" s="167" t="s">
        <v>163</v>
      </c>
      <c r="X61" s="167" t="s">
        <v>163</v>
      </c>
      <c r="Y61" s="167" t="s">
        <v>163</v>
      </c>
      <c r="Z61" s="167"/>
      <c r="AA61" s="168">
        <v>57228</v>
      </c>
      <c r="AB61" s="167" t="s">
        <v>163</v>
      </c>
      <c r="AC61" s="167"/>
      <c r="AD61" s="167" t="s">
        <v>163</v>
      </c>
      <c r="AE61" s="167"/>
      <c r="AF61" s="167" t="s">
        <v>163</v>
      </c>
      <c r="AG61" s="167"/>
      <c r="AH61" s="175">
        <v>2005</v>
      </c>
      <c r="AI61" s="175">
        <v>3</v>
      </c>
      <c r="AJ61" s="175">
        <v>119</v>
      </c>
      <c r="AK61" s="176">
        <v>18425</v>
      </c>
      <c r="AL61" s="176">
        <v>1698</v>
      </c>
      <c r="AM61" s="175">
        <v>299</v>
      </c>
      <c r="AN61" s="176">
        <v>20422</v>
      </c>
      <c r="AO61" s="175" t="s">
        <v>163</v>
      </c>
      <c r="AP61" s="175" t="s">
        <v>163</v>
      </c>
      <c r="AQ61" s="175" t="s">
        <v>163</v>
      </c>
      <c r="AR61" s="176">
        <v>20539</v>
      </c>
      <c r="AS61" s="175" t="s">
        <v>163</v>
      </c>
      <c r="AT61" s="175" t="s">
        <v>163</v>
      </c>
      <c r="AU61" s="175"/>
      <c r="AV61" s="175" t="s">
        <v>163</v>
      </c>
      <c r="AW61" s="175"/>
      <c r="AX61" s="175">
        <v>2005</v>
      </c>
      <c r="AY61" s="175">
        <v>40</v>
      </c>
      <c r="AZ61" s="175">
        <v>57</v>
      </c>
      <c r="BA61" s="176">
        <v>4712</v>
      </c>
      <c r="BB61" s="175">
        <v>766</v>
      </c>
      <c r="BC61" s="175">
        <v>78</v>
      </c>
      <c r="BD61" s="175">
        <v>58</v>
      </c>
      <c r="BE61" s="176">
        <v>2663</v>
      </c>
      <c r="BF61" s="176">
        <v>8277</v>
      </c>
      <c r="BG61" s="175" t="s">
        <v>373</v>
      </c>
      <c r="BH61" s="175" t="s">
        <v>163</v>
      </c>
      <c r="BI61" s="175" t="s">
        <v>163</v>
      </c>
      <c r="BJ61" s="175">
        <v>2</v>
      </c>
      <c r="BK61" s="177" t="s">
        <v>374</v>
      </c>
      <c r="BL61" s="176">
        <v>26415</v>
      </c>
      <c r="BM61" s="175" t="s">
        <v>163</v>
      </c>
      <c r="BN61" s="175"/>
      <c r="BO61" s="175" t="s">
        <v>163</v>
      </c>
      <c r="BP61" s="175"/>
      <c r="BQ61" s="175" t="s">
        <v>163</v>
      </c>
      <c r="BR61" s="175"/>
      <c r="BS61" s="185">
        <v>2005</v>
      </c>
      <c r="BT61" s="185">
        <v>0</v>
      </c>
      <c r="BU61" s="185">
        <v>3</v>
      </c>
      <c r="BV61" s="185">
        <v>117</v>
      </c>
      <c r="BW61" s="186">
        <v>12255</v>
      </c>
      <c r="BX61" s="185">
        <v>40</v>
      </c>
      <c r="BY61" s="185"/>
      <c r="BZ61" s="186">
        <v>9025</v>
      </c>
      <c r="CA61" s="185"/>
      <c r="CB61" s="185">
        <v>408</v>
      </c>
      <c r="CC61" s="186">
        <v>67081</v>
      </c>
      <c r="CD61" s="185">
        <v>646</v>
      </c>
      <c r="CE61" s="186">
        <v>89572</v>
      </c>
      <c r="CF61" s="185"/>
      <c r="CG61" s="185">
        <v>402</v>
      </c>
      <c r="CH61" s="185" t="s">
        <v>163</v>
      </c>
      <c r="CI61" s="185"/>
      <c r="CJ61" s="185" t="s">
        <v>163</v>
      </c>
      <c r="CK61" s="185" t="s">
        <v>163</v>
      </c>
      <c r="CL61" s="185"/>
      <c r="CM61" s="193">
        <v>2005</v>
      </c>
      <c r="CN61" s="193">
        <v>68</v>
      </c>
      <c r="CO61" s="193">
        <v>48</v>
      </c>
      <c r="CP61" s="194">
        <v>1895</v>
      </c>
      <c r="CQ61" s="193">
        <v>371</v>
      </c>
      <c r="CR61" s="193"/>
      <c r="CS61" s="193">
        <v>909</v>
      </c>
      <c r="CT61" s="193">
        <v>767</v>
      </c>
      <c r="CU61" s="194">
        <v>2116</v>
      </c>
      <c r="CV61" s="193"/>
      <c r="CW61" s="194">
        <v>6058</v>
      </c>
      <c r="CX61" s="193"/>
      <c r="CY61" s="193" t="s">
        <v>373</v>
      </c>
      <c r="CZ61" s="193" t="s">
        <v>163</v>
      </c>
      <c r="DA61" s="193" t="s">
        <v>163</v>
      </c>
      <c r="DB61" s="193" t="s">
        <v>163</v>
      </c>
      <c r="DC61" s="193">
        <v>1</v>
      </c>
      <c r="DD61" s="193"/>
      <c r="DE61" s="194">
        <v>9871</v>
      </c>
      <c r="DF61" s="193" t="s">
        <v>163</v>
      </c>
      <c r="DG61" s="193"/>
      <c r="DH61" s="193" t="s">
        <v>163</v>
      </c>
      <c r="DI61" s="193"/>
      <c r="DJ61" s="193" t="s">
        <v>163</v>
      </c>
      <c r="DK61" s="193"/>
      <c r="DL61" s="202">
        <v>2005</v>
      </c>
      <c r="DM61" s="203">
        <v>5025</v>
      </c>
      <c r="DN61" s="202">
        <v>152</v>
      </c>
      <c r="DO61" s="202">
        <v>381</v>
      </c>
      <c r="DP61" s="202">
        <v>0</v>
      </c>
      <c r="DQ61" s="203">
        <v>10304</v>
      </c>
      <c r="DR61" s="203">
        <v>10685</v>
      </c>
      <c r="DS61" s="203">
        <v>5475</v>
      </c>
      <c r="DT61" s="203">
        <v>1041</v>
      </c>
      <c r="DU61" s="202" t="s">
        <v>163</v>
      </c>
      <c r="DV61" s="202">
        <v>0</v>
      </c>
      <c r="DW61" s="202">
        <v>0</v>
      </c>
      <c r="DX61" s="202">
        <v>0</v>
      </c>
      <c r="DY61" s="203">
        <v>2244</v>
      </c>
      <c r="DZ61" s="202" t="s">
        <v>163</v>
      </c>
      <c r="EA61" s="138"/>
    </row>
    <row r="62" spans="1:131" ht="17.25" customHeight="1">
      <c r="D62" s="56">
        <f t="shared" si="0"/>
        <v>0.28032345013477089</v>
      </c>
      <c r="G62" s="159">
        <f t="shared" si="1"/>
        <v>371</v>
      </c>
      <c r="H62" s="167">
        <v>2006</v>
      </c>
      <c r="I62" s="167">
        <v>93</v>
      </c>
      <c r="J62" s="167">
        <v>202</v>
      </c>
      <c r="K62" s="168">
        <v>32487</v>
      </c>
      <c r="L62" s="168">
        <v>3681</v>
      </c>
      <c r="M62" s="168">
        <v>8387</v>
      </c>
      <c r="N62" s="167"/>
      <c r="O62" s="168">
        <v>68400</v>
      </c>
      <c r="P62" s="168">
        <v>2660</v>
      </c>
      <c r="Q62" s="168">
        <v>3012</v>
      </c>
      <c r="R62" s="167"/>
      <c r="S62" s="168">
        <v>118626</v>
      </c>
      <c r="T62" s="167"/>
      <c r="U62" s="167">
        <v>9</v>
      </c>
      <c r="V62" s="167" t="s">
        <v>163</v>
      </c>
      <c r="W62" s="167" t="s">
        <v>163</v>
      </c>
      <c r="X62" s="167" t="s">
        <v>163</v>
      </c>
      <c r="Y62" s="167" t="s">
        <v>163</v>
      </c>
      <c r="Z62" s="167"/>
      <c r="AA62" s="168">
        <v>55850</v>
      </c>
      <c r="AB62" s="167" t="s">
        <v>163</v>
      </c>
      <c r="AC62" s="167"/>
      <c r="AD62" s="167" t="s">
        <v>163</v>
      </c>
      <c r="AE62" s="167"/>
      <c r="AF62" s="167" t="s">
        <v>163</v>
      </c>
      <c r="AG62" s="167"/>
      <c r="AH62" s="175">
        <v>2006</v>
      </c>
      <c r="AI62" s="175">
        <v>1</v>
      </c>
      <c r="AJ62" s="175">
        <v>104</v>
      </c>
      <c r="AK62" s="176">
        <v>15645</v>
      </c>
      <c r="AL62" s="176">
        <v>1735</v>
      </c>
      <c r="AM62" s="175">
        <v>238</v>
      </c>
      <c r="AN62" s="176">
        <v>17619</v>
      </c>
      <c r="AO62" s="175" t="s">
        <v>163</v>
      </c>
      <c r="AP62" s="175" t="s">
        <v>163</v>
      </c>
      <c r="AQ62" s="175" t="s">
        <v>163</v>
      </c>
      <c r="AR62" s="176">
        <v>19624</v>
      </c>
      <c r="AS62" s="175" t="s">
        <v>163</v>
      </c>
      <c r="AT62" s="175" t="s">
        <v>163</v>
      </c>
      <c r="AU62" s="175"/>
      <c r="AV62" s="175" t="s">
        <v>163</v>
      </c>
      <c r="AW62" s="175"/>
      <c r="AX62" s="175">
        <v>2006</v>
      </c>
      <c r="AY62" s="175">
        <v>15</v>
      </c>
      <c r="AZ62" s="175">
        <v>52</v>
      </c>
      <c r="BA62" s="176">
        <v>3265</v>
      </c>
      <c r="BB62" s="175">
        <v>726</v>
      </c>
      <c r="BC62" s="175">
        <v>39</v>
      </c>
      <c r="BD62" s="175">
        <v>73</v>
      </c>
      <c r="BE62" s="176">
        <v>1170</v>
      </c>
      <c r="BF62" s="176">
        <v>5272</v>
      </c>
      <c r="BG62" s="175">
        <v>5</v>
      </c>
      <c r="BH62" s="175" t="s">
        <v>163</v>
      </c>
      <c r="BI62" s="175" t="s">
        <v>163</v>
      </c>
      <c r="BJ62" s="175">
        <v>3</v>
      </c>
      <c r="BK62" s="177" t="s">
        <v>374</v>
      </c>
      <c r="BL62" s="176">
        <v>26237</v>
      </c>
      <c r="BM62" s="175" t="s">
        <v>163</v>
      </c>
      <c r="BN62" s="175"/>
      <c r="BO62" s="175" t="s">
        <v>163</v>
      </c>
      <c r="BP62" s="175"/>
      <c r="BQ62" s="175" t="s">
        <v>163</v>
      </c>
      <c r="BR62" s="175"/>
      <c r="BS62" s="185">
        <v>2006</v>
      </c>
      <c r="BT62" s="185">
        <v>0</v>
      </c>
      <c r="BU62" s="185">
        <v>2</v>
      </c>
      <c r="BV62" s="185">
        <v>49</v>
      </c>
      <c r="BW62" s="186">
        <v>11986</v>
      </c>
      <c r="BX62" s="185">
        <v>34</v>
      </c>
      <c r="BY62" s="185"/>
      <c r="BZ62" s="186">
        <v>8387</v>
      </c>
      <c r="CA62" s="185"/>
      <c r="CB62" s="185">
        <v>397</v>
      </c>
      <c r="CC62" s="186">
        <v>67399</v>
      </c>
      <c r="CD62" s="185">
        <v>374</v>
      </c>
      <c r="CE62" s="186">
        <v>88626</v>
      </c>
      <c r="CF62" s="185"/>
      <c r="CG62" s="185">
        <v>386</v>
      </c>
      <c r="CH62" s="185" t="s">
        <v>163</v>
      </c>
      <c r="CI62" s="185"/>
      <c r="CJ62" s="185" t="s">
        <v>163</v>
      </c>
      <c r="CK62" s="185" t="s">
        <v>163</v>
      </c>
      <c r="CL62" s="185"/>
      <c r="CM62" s="193">
        <v>2006</v>
      </c>
      <c r="CN62" s="193">
        <v>77</v>
      </c>
      <c r="CO62" s="193">
        <v>43</v>
      </c>
      <c r="CP62" s="194">
        <v>1591</v>
      </c>
      <c r="CQ62" s="194">
        <v>1186</v>
      </c>
      <c r="CR62" s="193"/>
      <c r="CS62" s="193">
        <v>929</v>
      </c>
      <c r="CT62" s="194">
        <v>1115</v>
      </c>
      <c r="CU62" s="194">
        <v>2288</v>
      </c>
      <c r="CV62" s="193"/>
      <c r="CW62" s="194">
        <v>7109</v>
      </c>
      <c r="CX62" s="193"/>
      <c r="CY62" s="193">
        <v>3</v>
      </c>
      <c r="CZ62" s="193" t="s">
        <v>163</v>
      </c>
      <c r="DA62" s="193" t="s">
        <v>163</v>
      </c>
      <c r="DB62" s="193" t="s">
        <v>163</v>
      </c>
      <c r="DC62" s="193" t="s">
        <v>373</v>
      </c>
      <c r="DD62" s="193"/>
      <c r="DE62" s="194">
        <v>9602</v>
      </c>
      <c r="DF62" s="193" t="s">
        <v>163</v>
      </c>
      <c r="DG62" s="193"/>
      <c r="DH62" s="193" t="s">
        <v>163</v>
      </c>
      <c r="DI62" s="193"/>
      <c r="DJ62" s="193" t="s">
        <v>163</v>
      </c>
      <c r="DK62" s="193"/>
      <c r="DL62" s="202">
        <v>2006</v>
      </c>
      <c r="DM62" s="203">
        <v>4750</v>
      </c>
      <c r="DN62" s="202">
        <v>169</v>
      </c>
      <c r="DO62" s="202">
        <v>155</v>
      </c>
      <c r="DP62" s="202">
        <v>0</v>
      </c>
      <c r="DQ62" s="203">
        <v>3844</v>
      </c>
      <c r="DR62" s="203">
        <v>3999</v>
      </c>
      <c r="DS62" s="203">
        <v>5830</v>
      </c>
      <c r="DT62" s="203">
        <v>1504</v>
      </c>
      <c r="DU62" s="202" t="s">
        <v>163</v>
      </c>
      <c r="DV62" s="202">
        <v>0</v>
      </c>
      <c r="DW62" s="202">
        <v>0</v>
      </c>
      <c r="DX62" s="202">
        <v>0</v>
      </c>
      <c r="DY62" s="202">
        <v>580</v>
      </c>
      <c r="DZ62" s="202" t="s">
        <v>163</v>
      </c>
      <c r="EA62" s="138"/>
    </row>
    <row r="63" spans="1:131" ht="17.25" customHeight="1">
      <c r="D63" s="56">
        <f t="shared" si="0"/>
        <v>0.28186274509803921</v>
      </c>
      <c r="G63" s="159">
        <f t="shared" si="1"/>
        <v>408</v>
      </c>
      <c r="H63" s="167">
        <v>2007</v>
      </c>
      <c r="I63" s="167">
        <v>109</v>
      </c>
      <c r="J63" s="167">
        <v>225</v>
      </c>
      <c r="K63" s="168">
        <v>32380</v>
      </c>
      <c r="L63" s="168">
        <v>3362</v>
      </c>
      <c r="M63" s="168">
        <v>8235</v>
      </c>
      <c r="N63" s="167"/>
      <c r="O63" s="168">
        <v>70647</v>
      </c>
      <c r="P63" s="168">
        <v>2084</v>
      </c>
      <c r="Q63" s="168">
        <v>2345</v>
      </c>
      <c r="R63" s="167"/>
      <c r="S63" s="168">
        <v>119053</v>
      </c>
      <c r="T63" s="167"/>
      <c r="U63" s="167">
        <v>19</v>
      </c>
      <c r="V63" s="167" t="s">
        <v>163</v>
      </c>
      <c r="W63" s="167" t="s">
        <v>163</v>
      </c>
      <c r="X63" s="167" t="s">
        <v>163</v>
      </c>
      <c r="Y63" s="167" t="s">
        <v>163</v>
      </c>
      <c r="Z63" s="167"/>
      <c r="AA63" s="168">
        <v>57139</v>
      </c>
      <c r="AB63" s="167" t="s">
        <v>163</v>
      </c>
      <c r="AC63" s="167"/>
      <c r="AD63" s="167" t="s">
        <v>163</v>
      </c>
      <c r="AE63" s="167"/>
      <c r="AF63" s="167" t="s">
        <v>163</v>
      </c>
      <c r="AG63" s="167"/>
      <c r="AH63" s="175">
        <v>2007</v>
      </c>
      <c r="AI63" s="175">
        <v>2</v>
      </c>
      <c r="AJ63" s="175">
        <v>115</v>
      </c>
      <c r="AK63" s="176">
        <v>15882</v>
      </c>
      <c r="AL63" s="176">
        <v>1794</v>
      </c>
      <c r="AM63" s="175">
        <v>161</v>
      </c>
      <c r="AN63" s="176">
        <v>17837</v>
      </c>
      <c r="AO63" s="175" t="s">
        <v>163</v>
      </c>
      <c r="AP63" s="175" t="s">
        <v>163</v>
      </c>
      <c r="AQ63" s="175" t="s">
        <v>163</v>
      </c>
      <c r="AR63" s="176">
        <v>20138</v>
      </c>
      <c r="AS63" s="175" t="s">
        <v>163</v>
      </c>
      <c r="AT63" s="175" t="s">
        <v>163</v>
      </c>
      <c r="AU63" s="175"/>
      <c r="AV63" s="175" t="s">
        <v>163</v>
      </c>
      <c r="AW63" s="175"/>
      <c r="AX63" s="175">
        <v>2007</v>
      </c>
      <c r="AY63" s="175">
        <v>21</v>
      </c>
      <c r="AZ63" s="175">
        <v>62</v>
      </c>
      <c r="BA63" s="176">
        <v>3253</v>
      </c>
      <c r="BB63" s="175">
        <v>647</v>
      </c>
      <c r="BC63" s="175">
        <v>25</v>
      </c>
      <c r="BD63" s="175">
        <v>80</v>
      </c>
      <c r="BE63" s="175">
        <v>835</v>
      </c>
      <c r="BF63" s="176">
        <v>4840</v>
      </c>
      <c r="BG63" s="175">
        <v>6</v>
      </c>
      <c r="BH63" s="175" t="s">
        <v>163</v>
      </c>
      <c r="BI63" s="175" t="s">
        <v>163</v>
      </c>
      <c r="BJ63" s="175">
        <v>4</v>
      </c>
      <c r="BK63" s="177" t="s">
        <v>374</v>
      </c>
      <c r="BL63" s="176">
        <v>27148</v>
      </c>
      <c r="BM63" s="175" t="s">
        <v>163</v>
      </c>
      <c r="BN63" s="175"/>
      <c r="BO63" s="175" t="s">
        <v>163</v>
      </c>
      <c r="BP63" s="175"/>
      <c r="BQ63" s="175" t="s">
        <v>163</v>
      </c>
      <c r="BR63" s="175"/>
      <c r="BS63" s="185">
        <v>2007</v>
      </c>
      <c r="BT63" s="185">
        <v>0</v>
      </c>
      <c r="BU63" s="185">
        <v>2</v>
      </c>
      <c r="BV63" s="185">
        <v>87</v>
      </c>
      <c r="BW63" s="186">
        <v>11885</v>
      </c>
      <c r="BX63" s="185">
        <v>29</v>
      </c>
      <c r="BY63" s="185"/>
      <c r="BZ63" s="186">
        <v>8235</v>
      </c>
      <c r="CA63" s="185"/>
      <c r="CB63" s="185">
        <v>410</v>
      </c>
      <c r="CC63" s="186">
        <v>69776</v>
      </c>
      <c r="CD63" s="185">
        <v>281</v>
      </c>
      <c r="CE63" s="186">
        <v>90704</v>
      </c>
      <c r="CF63" s="185"/>
      <c r="CG63" s="185">
        <v>403</v>
      </c>
      <c r="CH63" s="185" t="s">
        <v>163</v>
      </c>
      <c r="CI63" s="185"/>
      <c r="CJ63" s="185" t="s">
        <v>163</v>
      </c>
      <c r="CK63" s="185" t="s">
        <v>163</v>
      </c>
      <c r="CL63" s="185"/>
      <c r="CM63" s="193">
        <v>2007</v>
      </c>
      <c r="CN63" s="193">
        <v>85</v>
      </c>
      <c r="CO63" s="193">
        <v>46</v>
      </c>
      <c r="CP63" s="194">
        <v>1360</v>
      </c>
      <c r="CQ63" s="193">
        <v>892</v>
      </c>
      <c r="CR63" s="193"/>
      <c r="CS63" s="193">
        <v>791</v>
      </c>
      <c r="CT63" s="193">
        <v>968</v>
      </c>
      <c r="CU63" s="194">
        <v>1661</v>
      </c>
      <c r="CV63" s="193"/>
      <c r="CW63" s="194">
        <v>5672</v>
      </c>
      <c r="CX63" s="193"/>
      <c r="CY63" s="193">
        <v>14</v>
      </c>
      <c r="CZ63" s="193" t="s">
        <v>163</v>
      </c>
      <c r="DA63" s="193" t="s">
        <v>163</v>
      </c>
      <c r="DB63" s="193" t="s">
        <v>163</v>
      </c>
      <c r="DC63" s="193" t="s">
        <v>373</v>
      </c>
      <c r="DD63" s="193"/>
      <c r="DE63" s="194">
        <v>9450</v>
      </c>
      <c r="DF63" s="193" t="s">
        <v>163</v>
      </c>
      <c r="DG63" s="193"/>
      <c r="DH63" s="193" t="s">
        <v>163</v>
      </c>
      <c r="DI63" s="193"/>
      <c r="DJ63" s="193" t="s">
        <v>163</v>
      </c>
      <c r="DK63" s="193"/>
      <c r="DL63" s="202">
        <v>2007</v>
      </c>
      <c r="DM63" s="203">
        <v>5120</v>
      </c>
      <c r="DN63" s="202">
        <v>183</v>
      </c>
      <c r="DO63" s="202">
        <v>144</v>
      </c>
      <c r="DP63" s="202">
        <v>0</v>
      </c>
      <c r="DQ63" s="203">
        <v>4928</v>
      </c>
      <c r="DR63" s="203">
        <v>5072</v>
      </c>
      <c r="DS63" s="203">
        <v>5120</v>
      </c>
      <c r="DT63" s="202">
        <v>778</v>
      </c>
      <c r="DU63" s="202" t="s">
        <v>163</v>
      </c>
      <c r="DV63" s="202">
        <v>0</v>
      </c>
      <c r="DW63" s="202">
        <v>0</v>
      </c>
      <c r="DX63" s="202">
        <v>0</v>
      </c>
      <c r="DY63" s="202">
        <v>734</v>
      </c>
      <c r="DZ63" s="202" t="s">
        <v>163</v>
      </c>
      <c r="EA63" s="138"/>
    </row>
    <row r="64" spans="1:131" ht="17.25" customHeight="1">
      <c r="D64" s="56">
        <f t="shared" si="0"/>
        <v>0.32678132678132676</v>
      </c>
      <c r="G64" s="159">
        <f t="shared" si="1"/>
        <v>407</v>
      </c>
      <c r="H64" s="167">
        <v>2008</v>
      </c>
      <c r="I64" s="167">
        <v>84</v>
      </c>
      <c r="J64" s="167">
        <v>252</v>
      </c>
      <c r="K64" s="168">
        <v>30681</v>
      </c>
      <c r="L64" s="168">
        <v>2878</v>
      </c>
      <c r="M64" s="168">
        <v>11060</v>
      </c>
      <c r="N64" s="167"/>
      <c r="O64" s="168">
        <v>68020</v>
      </c>
      <c r="P64" s="168">
        <v>1643</v>
      </c>
      <c r="Q64" s="168">
        <v>1457</v>
      </c>
      <c r="R64" s="167"/>
      <c r="S64" s="168">
        <v>115739</v>
      </c>
      <c r="T64" s="167"/>
      <c r="U64" s="167">
        <v>14</v>
      </c>
      <c r="V64" s="167" t="s">
        <v>163</v>
      </c>
      <c r="W64" s="167" t="s">
        <v>163</v>
      </c>
      <c r="X64" s="167" t="s">
        <v>163</v>
      </c>
      <c r="Y64" s="167" t="s">
        <v>163</v>
      </c>
      <c r="Z64" s="167"/>
      <c r="AA64" s="168">
        <v>55884</v>
      </c>
      <c r="AB64" s="167" t="s">
        <v>163</v>
      </c>
      <c r="AC64" s="167"/>
      <c r="AD64" s="167" t="s">
        <v>163</v>
      </c>
      <c r="AE64" s="167"/>
      <c r="AF64" s="167" t="s">
        <v>163</v>
      </c>
      <c r="AG64" s="167"/>
      <c r="AH64" s="175">
        <v>2008</v>
      </c>
      <c r="AI64" s="175">
        <v>0</v>
      </c>
      <c r="AJ64" s="175">
        <v>133</v>
      </c>
      <c r="AK64" s="176">
        <v>15793</v>
      </c>
      <c r="AL64" s="176">
        <v>1920</v>
      </c>
      <c r="AM64" s="175">
        <v>63</v>
      </c>
      <c r="AN64" s="176">
        <v>17775</v>
      </c>
      <c r="AO64" s="175" t="s">
        <v>163</v>
      </c>
      <c r="AP64" s="175" t="s">
        <v>163</v>
      </c>
      <c r="AQ64" s="175" t="s">
        <v>163</v>
      </c>
      <c r="AR64" s="176">
        <v>19638</v>
      </c>
      <c r="AS64" s="175" t="s">
        <v>163</v>
      </c>
      <c r="AT64" s="175" t="s">
        <v>163</v>
      </c>
      <c r="AU64" s="175"/>
      <c r="AV64" s="175" t="s">
        <v>163</v>
      </c>
      <c r="AW64" s="175"/>
      <c r="AX64" s="175">
        <v>2008</v>
      </c>
      <c r="AY64" s="175">
        <v>0</v>
      </c>
      <c r="AZ64" s="175">
        <v>72</v>
      </c>
      <c r="BA64" s="176">
        <v>2434</v>
      </c>
      <c r="BB64" s="175">
        <v>750</v>
      </c>
      <c r="BC64" s="175">
        <v>20</v>
      </c>
      <c r="BD64" s="175">
        <v>79</v>
      </c>
      <c r="BE64" s="175">
        <v>953</v>
      </c>
      <c r="BF64" s="176">
        <v>4236</v>
      </c>
      <c r="BG64" s="175">
        <v>6</v>
      </c>
      <c r="BH64" s="175" t="s">
        <v>163</v>
      </c>
      <c r="BI64" s="175" t="s">
        <v>163</v>
      </c>
      <c r="BJ64" s="175">
        <v>6</v>
      </c>
      <c r="BK64" s="177" t="s">
        <v>374</v>
      </c>
      <c r="BL64" s="176">
        <v>26582</v>
      </c>
      <c r="BM64" s="175" t="s">
        <v>163</v>
      </c>
      <c r="BN64" s="175"/>
      <c r="BO64" s="175" t="s">
        <v>163</v>
      </c>
      <c r="BP64" s="175"/>
      <c r="BQ64" s="175" t="s">
        <v>163</v>
      </c>
      <c r="BR64" s="175"/>
      <c r="BS64" s="185">
        <v>2008</v>
      </c>
      <c r="BT64" s="185">
        <v>0</v>
      </c>
      <c r="BU64" s="185">
        <v>2</v>
      </c>
      <c r="BV64" s="185">
        <v>50</v>
      </c>
      <c r="BW64" s="186">
        <v>10882</v>
      </c>
      <c r="BX64" s="185">
        <v>55</v>
      </c>
      <c r="BY64" s="185"/>
      <c r="BZ64" s="186">
        <v>11060</v>
      </c>
      <c r="CA64" s="185"/>
      <c r="CB64" s="185">
        <v>381</v>
      </c>
      <c r="CC64" s="186">
        <v>67214</v>
      </c>
      <c r="CD64" s="185">
        <v>303</v>
      </c>
      <c r="CE64" s="186">
        <v>89944</v>
      </c>
      <c r="CF64" s="185"/>
      <c r="CG64" s="185">
        <v>332</v>
      </c>
      <c r="CH64" s="185" t="s">
        <v>163</v>
      </c>
      <c r="CI64" s="185"/>
      <c r="CJ64" s="185" t="s">
        <v>163</v>
      </c>
      <c r="CK64" s="185" t="s">
        <v>163</v>
      </c>
      <c r="CL64" s="185"/>
      <c r="CM64" s="193">
        <v>2008</v>
      </c>
      <c r="CN64" s="193">
        <v>84</v>
      </c>
      <c r="CO64" s="193">
        <v>45</v>
      </c>
      <c r="CP64" s="194">
        <v>1573</v>
      </c>
      <c r="CQ64" s="193">
        <v>153</v>
      </c>
      <c r="CR64" s="193"/>
      <c r="CS64" s="193">
        <v>727</v>
      </c>
      <c r="CT64" s="193">
        <v>387</v>
      </c>
      <c r="CU64" s="193">
        <v>943</v>
      </c>
      <c r="CV64" s="193"/>
      <c r="CW64" s="194">
        <v>3784</v>
      </c>
      <c r="CX64" s="193"/>
      <c r="CY64" s="193">
        <v>8</v>
      </c>
      <c r="CZ64" s="193" t="s">
        <v>163</v>
      </c>
      <c r="DA64" s="193" t="s">
        <v>163</v>
      </c>
      <c r="DB64" s="193" t="s">
        <v>163</v>
      </c>
      <c r="DC64" s="193" t="s">
        <v>373</v>
      </c>
      <c r="DD64" s="193"/>
      <c r="DE64" s="194">
        <v>9332</v>
      </c>
      <c r="DF64" s="193" t="s">
        <v>163</v>
      </c>
      <c r="DG64" s="193"/>
      <c r="DH64" s="193" t="s">
        <v>163</v>
      </c>
      <c r="DI64" s="193"/>
      <c r="DJ64" s="193" t="s">
        <v>163</v>
      </c>
      <c r="DK64" s="193"/>
      <c r="DL64" s="202">
        <v>2008</v>
      </c>
      <c r="DM64" s="203">
        <v>4581</v>
      </c>
      <c r="DN64" s="202">
        <v>155</v>
      </c>
      <c r="DO64" s="202">
        <v>192</v>
      </c>
      <c r="DP64" s="202">
        <v>0</v>
      </c>
      <c r="DQ64" s="203">
        <v>3372</v>
      </c>
      <c r="DR64" s="203">
        <v>3563</v>
      </c>
      <c r="DS64" s="203">
        <v>5869</v>
      </c>
      <c r="DT64" s="203">
        <v>1142</v>
      </c>
      <c r="DU64" s="202" t="s">
        <v>163</v>
      </c>
      <c r="DV64" s="202">
        <v>0</v>
      </c>
      <c r="DW64" s="202">
        <v>0</v>
      </c>
      <c r="DX64" s="202">
        <v>4</v>
      </c>
      <c r="DY64" s="203">
        <v>3849</v>
      </c>
      <c r="DZ64" s="202" t="s">
        <v>163</v>
      </c>
      <c r="EA64" s="138"/>
    </row>
    <row r="65" spans="4:131" ht="17.25" customHeight="1">
      <c r="D65" s="56">
        <f t="shared" si="0"/>
        <v>0.33585858585858586</v>
      </c>
      <c r="G65" s="159">
        <f t="shared" si="1"/>
        <v>396</v>
      </c>
      <c r="H65" s="167">
        <v>2009</v>
      </c>
      <c r="I65" s="167">
        <v>50</v>
      </c>
      <c r="J65" s="167">
        <v>246</v>
      </c>
      <c r="K65" s="168">
        <v>29219</v>
      </c>
      <c r="L65" s="168">
        <v>2574</v>
      </c>
      <c r="M65" s="168">
        <v>6205</v>
      </c>
      <c r="N65" s="167"/>
      <c r="O65" s="168">
        <v>66453</v>
      </c>
      <c r="P65" s="168">
        <v>1397</v>
      </c>
      <c r="Q65" s="168">
        <v>3372</v>
      </c>
      <c r="R65" s="167"/>
      <c r="S65" s="168">
        <v>109220</v>
      </c>
      <c r="T65" s="167"/>
      <c r="U65" s="167">
        <v>15</v>
      </c>
      <c r="V65" s="167" t="s">
        <v>163</v>
      </c>
      <c r="W65" s="167" t="s">
        <v>163</v>
      </c>
      <c r="X65" s="167" t="s">
        <v>163</v>
      </c>
      <c r="Y65" s="167" t="s">
        <v>163</v>
      </c>
      <c r="Z65" s="167"/>
      <c r="AA65" s="168">
        <v>54359</v>
      </c>
      <c r="AB65" s="167" t="s">
        <v>163</v>
      </c>
      <c r="AC65" s="167"/>
      <c r="AD65" s="167" t="s">
        <v>163</v>
      </c>
      <c r="AE65" s="167"/>
      <c r="AF65" s="167" t="s">
        <v>163</v>
      </c>
      <c r="AG65" s="167"/>
      <c r="AH65" s="175">
        <v>2009</v>
      </c>
      <c r="AI65" s="175">
        <v>0</v>
      </c>
      <c r="AJ65" s="175">
        <v>133</v>
      </c>
      <c r="AK65" s="176">
        <v>14276</v>
      </c>
      <c r="AL65" s="176">
        <v>1795</v>
      </c>
      <c r="AM65" s="175">
        <v>99</v>
      </c>
      <c r="AN65" s="176">
        <v>16170</v>
      </c>
      <c r="AO65" s="175" t="s">
        <v>163</v>
      </c>
      <c r="AP65" s="175" t="s">
        <v>163</v>
      </c>
      <c r="AQ65" s="175" t="s">
        <v>163</v>
      </c>
      <c r="AR65" s="176">
        <v>19475</v>
      </c>
      <c r="AS65" s="175" t="s">
        <v>163</v>
      </c>
      <c r="AT65" s="175" t="s">
        <v>163</v>
      </c>
      <c r="AU65" s="175"/>
      <c r="AV65" s="175" t="s">
        <v>163</v>
      </c>
      <c r="AW65" s="175"/>
      <c r="AX65" s="175">
        <v>2009</v>
      </c>
      <c r="AY65" s="175">
        <v>0</v>
      </c>
      <c r="AZ65" s="175">
        <v>72</v>
      </c>
      <c r="BA65" s="176">
        <v>3167</v>
      </c>
      <c r="BB65" s="175">
        <v>647</v>
      </c>
      <c r="BC65" s="175">
        <v>17</v>
      </c>
      <c r="BD65" s="175">
        <v>81</v>
      </c>
      <c r="BE65" s="175">
        <v>704</v>
      </c>
      <c r="BF65" s="176">
        <v>4616</v>
      </c>
      <c r="BG65" s="175">
        <v>6</v>
      </c>
      <c r="BH65" s="175" t="s">
        <v>163</v>
      </c>
      <c r="BI65" s="175" t="s">
        <v>163</v>
      </c>
      <c r="BJ65" s="175">
        <v>12</v>
      </c>
      <c r="BK65" s="177" t="s">
        <v>374</v>
      </c>
      <c r="BL65" s="176">
        <v>17775</v>
      </c>
      <c r="BM65" s="175" t="s">
        <v>163</v>
      </c>
      <c r="BN65" s="175"/>
      <c r="BO65" s="175" t="s">
        <v>163</v>
      </c>
      <c r="BP65" s="175"/>
      <c r="BQ65" s="175" t="s">
        <v>163</v>
      </c>
      <c r="BR65" s="175"/>
      <c r="BS65" s="185">
        <v>2009</v>
      </c>
      <c r="BT65" s="185">
        <v>0</v>
      </c>
      <c r="BU65" s="185">
        <v>2</v>
      </c>
      <c r="BV65" s="185">
        <v>97</v>
      </c>
      <c r="BW65" s="186">
        <v>10898</v>
      </c>
      <c r="BX65" s="185">
        <v>25</v>
      </c>
      <c r="BY65" s="185"/>
      <c r="BZ65" s="186">
        <v>6205</v>
      </c>
      <c r="CA65" s="185"/>
      <c r="CB65" s="185">
        <v>343</v>
      </c>
      <c r="CC65" s="186">
        <v>65680</v>
      </c>
      <c r="CD65" s="185">
        <v>398</v>
      </c>
      <c r="CE65" s="186">
        <v>83646</v>
      </c>
      <c r="CF65" s="185"/>
      <c r="CG65" s="185">
        <v>356</v>
      </c>
      <c r="CH65" s="185" t="s">
        <v>163</v>
      </c>
      <c r="CI65" s="185"/>
      <c r="CJ65" s="185" t="s">
        <v>163</v>
      </c>
      <c r="CK65" s="185" t="s">
        <v>163</v>
      </c>
      <c r="CL65" s="185"/>
      <c r="CM65" s="193">
        <v>2009</v>
      </c>
      <c r="CN65" s="193">
        <v>50</v>
      </c>
      <c r="CO65" s="193">
        <v>39</v>
      </c>
      <c r="CP65" s="193">
        <v>877</v>
      </c>
      <c r="CQ65" s="193">
        <v>107</v>
      </c>
      <c r="CR65" s="193"/>
      <c r="CS65" s="193">
        <v>692</v>
      </c>
      <c r="CT65" s="193">
        <v>295</v>
      </c>
      <c r="CU65" s="194">
        <v>2816</v>
      </c>
      <c r="CV65" s="193"/>
      <c r="CW65" s="194">
        <v>4788</v>
      </c>
      <c r="CX65" s="193"/>
      <c r="CY65" s="193">
        <v>9</v>
      </c>
      <c r="CZ65" s="193" t="s">
        <v>163</v>
      </c>
      <c r="DA65" s="193" t="s">
        <v>163</v>
      </c>
      <c r="DB65" s="193" t="s">
        <v>163</v>
      </c>
      <c r="DC65" s="195" t="s">
        <v>411</v>
      </c>
      <c r="DD65" s="193"/>
      <c r="DE65" s="194">
        <v>16754</v>
      </c>
      <c r="DF65" s="193" t="s">
        <v>163</v>
      </c>
      <c r="DG65" s="193"/>
      <c r="DH65" s="193" t="s">
        <v>163</v>
      </c>
      <c r="DI65" s="193"/>
      <c r="DJ65" s="193" t="s">
        <v>163</v>
      </c>
      <c r="DK65" s="193"/>
      <c r="DL65" s="202">
        <v>2009</v>
      </c>
      <c r="DM65" s="203">
        <v>3892</v>
      </c>
      <c r="DN65" s="202">
        <v>150</v>
      </c>
      <c r="DO65" s="202">
        <v>254</v>
      </c>
      <c r="DP65" s="202">
        <v>0</v>
      </c>
      <c r="DQ65" s="203">
        <v>1208</v>
      </c>
      <c r="DR65" s="203">
        <v>1462</v>
      </c>
      <c r="DS65" s="203">
        <v>5396</v>
      </c>
      <c r="DT65" s="203">
        <v>1186</v>
      </c>
      <c r="DU65" s="202" t="s">
        <v>163</v>
      </c>
      <c r="DV65" s="202">
        <v>0</v>
      </c>
      <c r="DW65" s="202">
        <v>0</v>
      </c>
      <c r="DX65" s="202">
        <v>6</v>
      </c>
      <c r="DY65" s="203">
        <v>4573</v>
      </c>
      <c r="DZ65" s="202" t="s">
        <v>163</v>
      </c>
      <c r="EA65" s="138"/>
    </row>
    <row r="66" spans="4:131" ht="17.25" customHeight="1">
      <c r="D66" s="56">
        <f t="shared" si="0"/>
        <v>0.29166666666666669</v>
      </c>
      <c r="G66" s="159">
        <f t="shared" si="1"/>
        <v>432</v>
      </c>
      <c r="H66" s="167">
        <v>2010</v>
      </c>
      <c r="I66" s="167">
        <v>66</v>
      </c>
      <c r="J66" s="167">
        <v>246</v>
      </c>
      <c r="K66" s="168">
        <v>32298</v>
      </c>
      <c r="L66" s="168">
        <v>2387</v>
      </c>
      <c r="M66" s="168">
        <v>8553</v>
      </c>
      <c r="N66" s="167"/>
      <c r="O66" s="168">
        <v>66604</v>
      </c>
      <c r="P66" s="167">
        <v>955</v>
      </c>
      <c r="Q66" s="168">
        <v>3464</v>
      </c>
      <c r="R66" s="167"/>
      <c r="S66" s="168">
        <v>114262</v>
      </c>
      <c r="T66" s="167"/>
      <c r="U66" s="167">
        <v>10</v>
      </c>
      <c r="V66" s="167" t="s">
        <v>163</v>
      </c>
      <c r="W66" s="167" t="s">
        <v>163</v>
      </c>
      <c r="X66" s="167" t="s">
        <v>163</v>
      </c>
      <c r="Y66" s="167" t="s">
        <v>163</v>
      </c>
      <c r="Z66" s="167"/>
      <c r="AA66" s="168">
        <v>57123</v>
      </c>
      <c r="AB66" s="167" t="s">
        <v>163</v>
      </c>
      <c r="AC66" s="167"/>
      <c r="AD66" s="167" t="s">
        <v>163</v>
      </c>
      <c r="AE66" s="167"/>
      <c r="AF66" s="167" t="s">
        <v>163</v>
      </c>
      <c r="AG66" s="167"/>
      <c r="AH66" s="175">
        <v>2010</v>
      </c>
      <c r="AI66" s="175">
        <v>0</v>
      </c>
      <c r="AJ66" s="175">
        <v>126</v>
      </c>
      <c r="AK66" s="176">
        <v>14593</v>
      </c>
      <c r="AL66" s="176">
        <v>1685</v>
      </c>
      <c r="AM66" s="175">
        <v>100</v>
      </c>
      <c r="AN66" s="176">
        <v>16378</v>
      </c>
      <c r="AO66" s="175" t="s">
        <v>163</v>
      </c>
      <c r="AP66" s="175" t="s">
        <v>163</v>
      </c>
      <c r="AQ66" s="175" t="s">
        <v>163</v>
      </c>
      <c r="AR66" s="176">
        <v>21409</v>
      </c>
      <c r="AS66" s="175" t="s">
        <v>163</v>
      </c>
      <c r="AT66" s="175" t="s">
        <v>163</v>
      </c>
      <c r="AU66" s="175"/>
      <c r="AV66" s="175" t="s">
        <v>163</v>
      </c>
      <c r="AW66" s="175"/>
      <c r="AX66" s="175">
        <v>2010</v>
      </c>
      <c r="AY66" s="175">
        <v>0</v>
      </c>
      <c r="AZ66" s="175">
        <v>72</v>
      </c>
      <c r="BA66" s="176">
        <v>5438</v>
      </c>
      <c r="BB66" s="175">
        <v>582</v>
      </c>
      <c r="BC66" s="175">
        <v>47</v>
      </c>
      <c r="BD66" s="175">
        <v>48</v>
      </c>
      <c r="BE66" s="175">
        <v>552</v>
      </c>
      <c r="BF66" s="176">
        <v>6666</v>
      </c>
      <c r="BG66" s="175">
        <v>5</v>
      </c>
      <c r="BH66" s="175" t="s">
        <v>163</v>
      </c>
      <c r="BI66" s="175" t="s">
        <v>163</v>
      </c>
      <c r="BJ66" s="175">
        <v>30</v>
      </c>
      <c r="BK66" s="177" t="s">
        <v>374</v>
      </c>
      <c r="BL66" s="176">
        <v>18243</v>
      </c>
      <c r="BM66" s="175" t="s">
        <v>163</v>
      </c>
      <c r="BN66" s="175"/>
      <c r="BO66" s="175" t="s">
        <v>163</v>
      </c>
      <c r="BP66" s="175"/>
      <c r="BQ66" s="175" t="s">
        <v>163</v>
      </c>
      <c r="BR66" s="175"/>
      <c r="BS66" s="185">
        <v>2010</v>
      </c>
      <c r="BT66" s="185">
        <v>0</v>
      </c>
      <c r="BU66" s="185">
        <v>5</v>
      </c>
      <c r="BV66" s="185">
        <v>56</v>
      </c>
      <c r="BW66" s="186">
        <v>11026</v>
      </c>
      <c r="BX66" s="185">
        <v>10</v>
      </c>
      <c r="BY66" s="185"/>
      <c r="BZ66" s="186">
        <v>8553</v>
      </c>
      <c r="CA66" s="185"/>
      <c r="CB66" s="185">
        <v>392</v>
      </c>
      <c r="CC66" s="186">
        <v>65653</v>
      </c>
      <c r="CD66" s="185">
        <v>284</v>
      </c>
      <c r="CE66" s="186">
        <v>85975</v>
      </c>
      <c r="CF66" s="185"/>
      <c r="CG66" s="185">
        <v>355</v>
      </c>
      <c r="CH66" s="185" t="s">
        <v>163</v>
      </c>
      <c r="CI66" s="185"/>
      <c r="CJ66" s="185" t="s">
        <v>163</v>
      </c>
      <c r="CK66" s="185" t="s">
        <v>163</v>
      </c>
      <c r="CL66" s="185"/>
      <c r="CM66" s="193">
        <v>2010</v>
      </c>
      <c r="CN66" s="193">
        <v>66</v>
      </c>
      <c r="CO66" s="193">
        <v>44</v>
      </c>
      <c r="CP66" s="194">
        <v>1241</v>
      </c>
      <c r="CQ66" s="193">
        <v>111</v>
      </c>
      <c r="CR66" s="193"/>
      <c r="CS66" s="193">
        <v>904</v>
      </c>
      <c r="CT66" s="193">
        <v>119</v>
      </c>
      <c r="CU66" s="194">
        <v>2869</v>
      </c>
      <c r="CV66" s="193"/>
      <c r="CW66" s="194">
        <v>5243</v>
      </c>
      <c r="CX66" s="193"/>
      <c r="CY66" s="193">
        <v>5</v>
      </c>
      <c r="CZ66" s="193" t="s">
        <v>163</v>
      </c>
      <c r="DA66" s="193" t="s">
        <v>163</v>
      </c>
      <c r="DB66" s="193" t="s">
        <v>163</v>
      </c>
      <c r="DC66" s="193">
        <v>1</v>
      </c>
      <c r="DD66" s="196" t="s">
        <v>374</v>
      </c>
      <c r="DE66" s="194">
        <v>17116</v>
      </c>
      <c r="DF66" s="193" t="s">
        <v>163</v>
      </c>
      <c r="DG66" s="193"/>
      <c r="DH66" s="193" t="s">
        <v>163</v>
      </c>
      <c r="DI66" s="193"/>
      <c r="DJ66" s="193" t="s">
        <v>163</v>
      </c>
      <c r="DK66" s="193"/>
      <c r="DL66" s="202">
        <v>2010</v>
      </c>
      <c r="DM66" s="203">
        <v>3497</v>
      </c>
      <c r="DN66" s="202">
        <v>186</v>
      </c>
      <c r="DO66" s="202">
        <v>138</v>
      </c>
      <c r="DP66" s="202">
        <v>0</v>
      </c>
      <c r="DQ66" s="202">
        <v>329</v>
      </c>
      <c r="DR66" s="202">
        <v>468</v>
      </c>
      <c r="DS66" s="203">
        <v>5918</v>
      </c>
      <c r="DT66" s="202">
        <v>986</v>
      </c>
      <c r="DU66" s="202" t="s">
        <v>163</v>
      </c>
      <c r="DV66" s="202">
        <v>0</v>
      </c>
      <c r="DW66" s="202">
        <v>1</v>
      </c>
      <c r="DX66" s="202">
        <v>20</v>
      </c>
      <c r="DY66" s="203">
        <v>3388</v>
      </c>
      <c r="DZ66" s="202" t="s">
        <v>163</v>
      </c>
      <c r="EA66" s="138"/>
    </row>
    <row r="67" spans="4:131" ht="17.25" customHeight="1">
      <c r="D67" s="56">
        <f t="shared" si="0"/>
        <v>0.28730512249443207</v>
      </c>
      <c r="G67" s="159">
        <f t="shared" si="1"/>
        <v>449</v>
      </c>
      <c r="H67" s="167">
        <v>2011</v>
      </c>
      <c r="I67" s="167">
        <v>62</v>
      </c>
      <c r="J67" s="167">
        <v>263</v>
      </c>
      <c r="K67" s="168">
        <v>30630</v>
      </c>
      <c r="L67" s="168">
        <v>2835</v>
      </c>
      <c r="M67" s="168">
        <v>8617</v>
      </c>
      <c r="N67" s="167"/>
      <c r="O67" s="168">
        <v>66015</v>
      </c>
      <c r="P67" s="167">
        <v>779</v>
      </c>
      <c r="Q67" s="168">
        <v>3336</v>
      </c>
      <c r="R67" s="167"/>
      <c r="S67" s="168">
        <v>112211</v>
      </c>
      <c r="T67" s="167"/>
      <c r="U67" s="167">
        <v>12</v>
      </c>
      <c r="V67" s="167" t="s">
        <v>163</v>
      </c>
      <c r="W67" s="167" t="s">
        <v>163</v>
      </c>
      <c r="X67" s="167" t="s">
        <v>163</v>
      </c>
      <c r="Y67" s="167" t="s">
        <v>163</v>
      </c>
      <c r="Z67" s="167"/>
      <c r="AA67" s="168">
        <v>55570</v>
      </c>
      <c r="AB67" s="167" t="s">
        <v>163</v>
      </c>
      <c r="AC67" s="167"/>
      <c r="AD67" s="167" t="s">
        <v>163</v>
      </c>
      <c r="AE67" s="167"/>
      <c r="AF67" s="167" t="s">
        <v>163</v>
      </c>
      <c r="AG67" s="167"/>
      <c r="AH67" s="175">
        <v>2011</v>
      </c>
      <c r="AI67" s="175">
        <v>0</v>
      </c>
      <c r="AJ67" s="175">
        <v>129</v>
      </c>
      <c r="AK67" s="176">
        <v>14210</v>
      </c>
      <c r="AL67" s="176">
        <v>1989</v>
      </c>
      <c r="AM67" s="175">
        <v>62</v>
      </c>
      <c r="AN67" s="176">
        <v>16261</v>
      </c>
      <c r="AO67" s="175" t="s">
        <v>163</v>
      </c>
      <c r="AP67" s="175" t="s">
        <v>163</v>
      </c>
      <c r="AQ67" s="175" t="s">
        <v>163</v>
      </c>
      <c r="AR67" s="176">
        <v>20473</v>
      </c>
      <c r="AS67" s="175" t="s">
        <v>163</v>
      </c>
      <c r="AT67" s="175" t="s">
        <v>163</v>
      </c>
      <c r="AU67" s="175"/>
      <c r="AV67" s="175" t="s">
        <v>163</v>
      </c>
      <c r="AW67" s="175"/>
      <c r="AX67" s="175">
        <v>2011</v>
      </c>
      <c r="AY67" s="175">
        <v>0</v>
      </c>
      <c r="AZ67" s="175">
        <v>81</v>
      </c>
      <c r="BA67" s="176">
        <v>3593</v>
      </c>
      <c r="BB67" s="175">
        <v>645</v>
      </c>
      <c r="BC67" s="175">
        <v>6</v>
      </c>
      <c r="BD67" s="175">
        <v>146</v>
      </c>
      <c r="BE67" s="175">
        <v>340</v>
      </c>
      <c r="BF67" s="176">
        <v>4730</v>
      </c>
      <c r="BG67" s="175">
        <v>6</v>
      </c>
      <c r="BH67" s="175" t="s">
        <v>163</v>
      </c>
      <c r="BI67" s="175" t="s">
        <v>163</v>
      </c>
      <c r="BJ67" s="175">
        <v>55</v>
      </c>
      <c r="BK67" s="177" t="s">
        <v>374</v>
      </c>
      <c r="BL67" s="176">
        <v>17767</v>
      </c>
      <c r="BM67" s="175" t="s">
        <v>163</v>
      </c>
      <c r="BN67" s="175"/>
      <c r="BO67" s="175" t="s">
        <v>163</v>
      </c>
      <c r="BP67" s="175"/>
      <c r="BQ67" s="175" t="s">
        <v>163</v>
      </c>
      <c r="BR67" s="175"/>
      <c r="BS67" s="185">
        <v>2011</v>
      </c>
      <c r="BT67" s="185">
        <v>0</v>
      </c>
      <c r="BU67" s="185">
        <v>5</v>
      </c>
      <c r="BV67" s="185">
        <v>53</v>
      </c>
      <c r="BW67" s="186">
        <v>11562</v>
      </c>
      <c r="BX67" s="185">
        <v>11</v>
      </c>
      <c r="BY67" s="187" t="s">
        <v>374</v>
      </c>
      <c r="BZ67" s="186">
        <v>8617</v>
      </c>
      <c r="CA67" s="185"/>
      <c r="CB67" s="185">
        <v>381</v>
      </c>
      <c r="CC67" s="186">
        <v>64919</v>
      </c>
      <c r="CD67" s="185">
        <v>210</v>
      </c>
      <c r="CE67" s="186">
        <v>85753</v>
      </c>
      <c r="CF67" s="185"/>
      <c r="CG67" s="185">
        <v>357</v>
      </c>
      <c r="CH67" s="185" t="s">
        <v>163</v>
      </c>
      <c r="CI67" s="185"/>
      <c r="CJ67" s="185" t="s">
        <v>163</v>
      </c>
      <c r="CK67" s="185" t="s">
        <v>163</v>
      </c>
      <c r="CL67" s="185"/>
      <c r="CM67" s="193">
        <v>2011</v>
      </c>
      <c r="CN67" s="193">
        <v>62</v>
      </c>
      <c r="CO67" s="193">
        <v>48</v>
      </c>
      <c r="CP67" s="194">
        <v>1265</v>
      </c>
      <c r="CQ67" s="193">
        <v>190</v>
      </c>
      <c r="CR67" s="193"/>
      <c r="CS67" s="193">
        <v>950</v>
      </c>
      <c r="CT67" s="193">
        <v>229</v>
      </c>
      <c r="CU67" s="194">
        <v>2835</v>
      </c>
      <c r="CV67" s="193"/>
      <c r="CW67" s="194">
        <v>5468</v>
      </c>
      <c r="CX67" s="193"/>
      <c r="CY67" s="193">
        <v>6</v>
      </c>
      <c r="CZ67" s="193" t="s">
        <v>163</v>
      </c>
      <c r="DA67" s="193" t="s">
        <v>163</v>
      </c>
      <c r="DB67" s="193" t="s">
        <v>163</v>
      </c>
      <c r="DC67" s="193">
        <v>3</v>
      </c>
      <c r="DD67" s="196" t="s">
        <v>374</v>
      </c>
      <c r="DE67" s="194">
        <v>16974</v>
      </c>
      <c r="DF67" s="193" t="s">
        <v>163</v>
      </c>
      <c r="DG67" s="193"/>
      <c r="DH67" s="193" t="s">
        <v>163</v>
      </c>
      <c r="DI67" s="193"/>
      <c r="DJ67" s="193" t="s">
        <v>163</v>
      </c>
      <c r="DK67" s="193"/>
      <c r="DL67" s="202">
        <v>2011</v>
      </c>
      <c r="DM67" s="203">
        <v>1763</v>
      </c>
      <c r="DN67" s="202">
        <v>186</v>
      </c>
      <c r="DO67" s="202">
        <v>143</v>
      </c>
      <c r="DP67" s="202">
        <v>0</v>
      </c>
      <c r="DQ67" s="202">
        <v>191</v>
      </c>
      <c r="DR67" s="202">
        <v>333</v>
      </c>
      <c r="DS67" s="203">
        <v>5085</v>
      </c>
      <c r="DT67" s="203">
        <v>1137</v>
      </c>
      <c r="DU67" s="202" t="s">
        <v>163</v>
      </c>
      <c r="DV67" s="202">
        <v>0</v>
      </c>
      <c r="DW67" s="202">
        <v>4</v>
      </c>
      <c r="DX67" s="202">
        <v>52</v>
      </c>
      <c r="DY67" s="203">
        <v>4426</v>
      </c>
      <c r="DZ67" s="202" t="s">
        <v>163</v>
      </c>
      <c r="EA67" s="138"/>
    </row>
    <row r="68" spans="4:131" ht="17.25" customHeight="1">
      <c r="D68" s="56">
        <f t="shared" si="0"/>
        <v>0.27577937649880097</v>
      </c>
      <c r="G68" s="159">
        <f t="shared" si="1"/>
        <v>417</v>
      </c>
      <c r="H68" s="167">
        <v>2012</v>
      </c>
      <c r="I68" s="167">
        <v>61</v>
      </c>
      <c r="J68" s="167">
        <v>237</v>
      </c>
      <c r="K68" s="168">
        <v>25564</v>
      </c>
      <c r="L68" s="168">
        <v>2388</v>
      </c>
      <c r="M68" s="168">
        <v>8567</v>
      </c>
      <c r="N68" s="167"/>
      <c r="O68" s="168">
        <v>65485</v>
      </c>
      <c r="P68" s="167">
        <v>499</v>
      </c>
      <c r="Q68" s="168">
        <v>3054</v>
      </c>
      <c r="R68" s="167"/>
      <c r="S68" s="168">
        <v>105557</v>
      </c>
      <c r="T68" s="167"/>
      <c r="U68" s="167">
        <v>9</v>
      </c>
      <c r="V68" s="167" t="s">
        <v>163</v>
      </c>
      <c r="W68" s="167" t="s">
        <v>163</v>
      </c>
      <c r="X68" s="167" t="s">
        <v>163</v>
      </c>
      <c r="Y68" s="167" t="s">
        <v>163</v>
      </c>
      <c r="Z68" s="167"/>
      <c r="AA68" s="168">
        <v>55313</v>
      </c>
      <c r="AB68" s="167" t="s">
        <v>163</v>
      </c>
      <c r="AC68" s="167"/>
      <c r="AD68" s="167" t="s">
        <v>163</v>
      </c>
      <c r="AE68" s="167"/>
      <c r="AF68" s="167" t="s">
        <v>163</v>
      </c>
      <c r="AG68" s="167"/>
      <c r="AH68" s="175">
        <v>2012</v>
      </c>
      <c r="AI68" s="175">
        <v>0</v>
      </c>
      <c r="AJ68" s="175">
        <v>115</v>
      </c>
      <c r="AK68" s="176">
        <v>11922</v>
      </c>
      <c r="AL68" s="176">
        <v>1556</v>
      </c>
      <c r="AM68" s="175">
        <v>29</v>
      </c>
      <c r="AN68" s="176">
        <v>13507</v>
      </c>
      <c r="AO68" s="175" t="s">
        <v>163</v>
      </c>
      <c r="AP68" s="175" t="s">
        <v>163</v>
      </c>
      <c r="AQ68" s="175" t="s">
        <v>163</v>
      </c>
      <c r="AR68" s="176">
        <v>20313</v>
      </c>
      <c r="AS68" s="175" t="s">
        <v>163</v>
      </c>
      <c r="AT68" s="175" t="s">
        <v>163</v>
      </c>
      <c r="AU68" s="175"/>
      <c r="AV68" s="175" t="s">
        <v>163</v>
      </c>
      <c r="AW68" s="175"/>
      <c r="AX68" s="175">
        <v>2012</v>
      </c>
      <c r="AY68" s="175">
        <v>0</v>
      </c>
      <c r="AZ68" s="175">
        <v>73</v>
      </c>
      <c r="BA68" s="176">
        <v>2266</v>
      </c>
      <c r="BB68" s="175">
        <v>590</v>
      </c>
      <c r="BC68" s="175">
        <v>1</v>
      </c>
      <c r="BD68" s="175">
        <v>43</v>
      </c>
      <c r="BE68" s="175">
        <v>220</v>
      </c>
      <c r="BF68" s="176">
        <v>3120</v>
      </c>
      <c r="BG68" s="175">
        <v>5</v>
      </c>
      <c r="BH68" s="175" t="s">
        <v>163</v>
      </c>
      <c r="BI68" s="175" t="s">
        <v>163</v>
      </c>
      <c r="BJ68" s="175">
        <v>153</v>
      </c>
      <c r="BK68" s="177" t="s">
        <v>374</v>
      </c>
      <c r="BL68" s="176">
        <v>17723</v>
      </c>
      <c r="BM68" s="175" t="s">
        <v>163</v>
      </c>
      <c r="BN68" s="175"/>
      <c r="BO68" s="175" t="s">
        <v>163</v>
      </c>
      <c r="BP68" s="175"/>
      <c r="BQ68" s="175" t="s">
        <v>163</v>
      </c>
      <c r="BR68" s="175"/>
      <c r="BS68" s="185">
        <v>2012</v>
      </c>
      <c r="BT68" s="185">
        <v>0</v>
      </c>
      <c r="BU68" s="185">
        <v>4</v>
      </c>
      <c r="BV68" s="185">
        <v>50</v>
      </c>
      <c r="BW68" s="186">
        <v>10702</v>
      </c>
      <c r="BX68" s="185">
        <v>11</v>
      </c>
      <c r="BY68" s="187" t="s">
        <v>374</v>
      </c>
      <c r="BZ68" s="186">
        <v>8567</v>
      </c>
      <c r="CA68" s="185"/>
      <c r="CB68" s="185">
        <v>346</v>
      </c>
      <c r="CC68" s="186">
        <v>64521</v>
      </c>
      <c r="CD68" s="185">
        <v>164</v>
      </c>
      <c r="CE68" s="186">
        <v>84362</v>
      </c>
      <c r="CF68" s="185"/>
      <c r="CG68" s="185">
        <v>350</v>
      </c>
      <c r="CH68" s="185" t="s">
        <v>163</v>
      </c>
      <c r="CI68" s="185"/>
      <c r="CJ68" s="185" t="s">
        <v>163</v>
      </c>
      <c r="CK68" s="185" t="s">
        <v>163</v>
      </c>
      <c r="CL68" s="185"/>
      <c r="CM68" s="193">
        <v>2012</v>
      </c>
      <c r="CN68" s="193">
        <v>61</v>
      </c>
      <c r="CO68" s="193">
        <v>44</v>
      </c>
      <c r="CP68" s="193">
        <v>674</v>
      </c>
      <c r="CQ68" s="193">
        <v>231</v>
      </c>
      <c r="CR68" s="193"/>
      <c r="CS68" s="193">
        <v>921</v>
      </c>
      <c r="CT68" s="193">
        <v>114</v>
      </c>
      <c r="CU68" s="194">
        <v>2627</v>
      </c>
      <c r="CV68" s="193"/>
      <c r="CW68" s="194">
        <v>4568</v>
      </c>
      <c r="CX68" s="193"/>
      <c r="CY68" s="193">
        <v>4</v>
      </c>
      <c r="CZ68" s="193" t="s">
        <v>163</v>
      </c>
      <c r="DA68" s="193" t="s">
        <v>163</v>
      </c>
      <c r="DB68" s="193" t="s">
        <v>163</v>
      </c>
      <c r="DC68" s="193">
        <v>10</v>
      </c>
      <c r="DD68" s="196" t="s">
        <v>374</v>
      </c>
      <c r="DE68" s="194">
        <v>16927</v>
      </c>
      <c r="DF68" s="193" t="s">
        <v>163</v>
      </c>
      <c r="DG68" s="193"/>
      <c r="DH68" s="193" t="s">
        <v>163</v>
      </c>
      <c r="DI68" s="193"/>
      <c r="DJ68" s="193" t="s">
        <v>163</v>
      </c>
      <c r="DK68" s="193"/>
      <c r="DL68" s="202">
        <v>2012</v>
      </c>
      <c r="DM68" s="202">
        <v>954</v>
      </c>
      <c r="DN68" s="202">
        <v>180</v>
      </c>
      <c r="DO68" s="202">
        <v>107</v>
      </c>
      <c r="DP68" s="202">
        <v>0</v>
      </c>
      <c r="DQ68" s="202">
        <v>145</v>
      </c>
      <c r="DR68" s="202">
        <v>253</v>
      </c>
      <c r="DS68" s="203">
        <v>5860</v>
      </c>
      <c r="DT68" s="202">
        <v>903</v>
      </c>
      <c r="DU68" s="202" t="s">
        <v>163</v>
      </c>
      <c r="DV68" s="202">
        <v>0</v>
      </c>
      <c r="DW68" s="202">
        <v>29</v>
      </c>
      <c r="DX68" s="202">
        <v>80</v>
      </c>
      <c r="DY68" s="202">
        <v>993</v>
      </c>
      <c r="DZ68" s="202" t="s">
        <v>163</v>
      </c>
      <c r="EA68" s="138"/>
    </row>
    <row r="69" spans="4:131" ht="17.25" customHeight="1">
      <c r="D69" s="56">
        <f t="shared" si="0"/>
        <v>0.27790973871733965</v>
      </c>
      <c r="G69" s="159">
        <f t="shared" si="1"/>
        <v>421</v>
      </c>
      <c r="H69" s="167">
        <v>2013</v>
      </c>
      <c r="I69" s="167">
        <v>59</v>
      </c>
      <c r="J69" s="167">
        <v>267</v>
      </c>
      <c r="K69" s="168">
        <v>29748</v>
      </c>
      <c r="L69" s="168">
        <v>2858</v>
      </c>
      <c r="M69" s="168">
        <v>8794</v>
      </c>
      <c r="N69" s="167"/>
      <c r="O69" s="168">
        <v>65312</v>
      </c>
      <c r="P69" s="167">
        <v>445</v>
      </c>
      <c r="Q69" s="168">
        <v>3352</v>
      </c>
      <c r="R69" s="167"/>
      <c r="S69" s="168">
        <v>110509</v>
      </c>
      <c r="T69" s="167"/>
      <c r="U69" s="167">
        <v>9</v>
      </c>
      <c r="V69" s="167" t="s">
        <v>163</v>
      </c>
      <c r="W69" s="167" t="s">
        <v>163</v>
      </c>
      <c r="X69" s="167" t="s">
        <v>163</v>
      </c>
      <c r="Y69" s="167" t="s">
        <v>163</v>
      </c>
      <c r="Z69" s="167"/>
      <c r="AA69" s="168">
        <v>55265</v>
      </c>
      <c r="AB69" s="167" t="s">
        <v>163</v>
      </c>
      <c r="AC69" s="167"/>
      <c r="AD69" s="167" t="s">
        <v>163</v>
      </c>
      <c r="AE69" s="167"/>
      <c r="AF69" s="167" t="s">
        <v>163</v>
      </c>
      <c r="AG69" s="167"/>
      <c r="AH69" s="175">
        <v>2013</v>
      </c>
      <c r="AI69" s="175">
        <v>0</v>
      </c>
      <c r="AJ69" s="175">
        <v>117</v>
      </c>
      <c r="AK69" s="176">
        <v>12856</v>
      </c>
      <c r="AL69" s="176">
        <v>1864</v>
      </c>
      <c r="AM69" s="175">
        <v>30</v>
      </c>
      <c r="AN69" s="176">
        <v>14750</v>
      </c>
      <c r="AO69" s="175" t="s">
        <v>163</v>
      </c>
      <c r="AP69" s="175" t="s">
        <v>163</v>
      </c>
      <c r="AQ69" s="175" t="s">
        <v>163</v>
      </c>
      <c r="AR69" s="176">
        <v>20728</v>
      </c>
      <c r="AS69" s="175" t="s">
        <v>163</v>
      </c>
      <c r="AT69" s="175" t="s">
        <v>163</v>
      </c>
      <c r="AU69" s="175"/>
      <c r="AV69" s="175" t="s">
        <v>163</v>
      </c>
      <c r="AW69" s="175"/>
      <c r="AX69" s="175">
        <v>2013</v>
      </c>
      <c r="AY69" s="175">
        <v>0</v>
      </c>
      <c r="AZ69" s="175">
        <v>100</v>
      </c>
      <c r="BA69" s="176">
        <v>2336</v>
      </c>
      <c r="BB69" s="175">
        <v>729</v>
      </c>
      <c r="BC69" s="175">
        <v>2</v>
      </c>
      <c r="BD69" s="175">
        <v>47</v>
      </c>
      <c r="BE69" s="175">
        <v>222</v>
      </c>
      <c r="BF69" s="176">
        <v>3337</v>
      </c>
      <c r="BG69" s="175">
        <v>6</v>
      </c>
      <c r="BH69" s="175" t="s">
        <v>163</v>
      </c>
      <c r="BI69" s="175" t="s">
        <v>163</v>
      </c>
      <c r="BJ69" s="175">
        <v>284</v>
      </c>
      <c r="BK69" s="177" t="s">
        <v>374</v>
      </c>
      <c r="BL69" s="176">
        <v>17713</v>
      </c>
      <c r="BM69" s="175" t="s">
        <v>163</v>
      </c>
      <c r="BN69" s="175"/>
      <c r="BO69" s="175" t="s">
        <v>163</v>
      </c>
      <c r="BP69" s="175"/>
      <c r="BQ69" s="175" t="s">
        <v>163</v>
      </c>
      <c r="BR69" s="175"/>
      <c r="BS69" s="185">
        <v>2013</v>
      </c>
      <c r="BT69" s="185">
        <v>0</v>
      </c>
      <c r="BU69" s="185">
        <v>3</v>
      </c>
      <c r="BV69" s="185">
        <v>43</v>
      </c>
      <c r="BW69" s="186">
        <v>13934</v>
      </c>
      <c r="BX69" s="185">
        <v>12</v>
      </c>
      <c r="BY69" s="187" t="s">
        <v>374</v>
      </c>
      <c r="BZ69" s="186">
        <v>8794</v>
      </c>
      <c r="CA69" s="185"/>
      <c r="CB69" s="185">
        <v>394</v>
      </c>
      <c r="CC69" s="186">
        <v>64309</v>
      </c>
      <c r="CD69" s="185">
        <v>197</v>
      </c>
      <c r="CE69" s="186">
        <v>87685</v>
      </c>
      <c r="CF69" s="187" t="s">
        <v>374</v>
      </c>
      <c r="CG69" s="185">
        <v>361</v>
      </c>
      <c r="CH69" s="185" t="s">
        <v>163</v>
      </c>
      <c r="CI69" s="185"/>
      <c r="CJ69" s="185" t="s">
        <v>163</v>
      </c>
      <c r="CK69" s="185" t="s">
        <v>163</v>
      </c>
      <c r="CL69" s="185"/>
      <c r="CM69" s="193">
        <v>2013</v>
      </c>
      <c r="CN69" s="193">
        <v>59</v>
      </c>
      <c r="CO69" s="193">
        <v>47</v>
      </c>
      <c r="CP69" s="193">
        <v>622</v>
      </c>
      <c r="CQ69" s="193">
        <v>253</v>
      </c>
      <c r="CR69" s="196" t="s">
        <v>374</v>
      </c>
      <c r="CS69" s="193">
        <v>956</v>
      </c>
      <c r="CT69" s="193">
        <v>26</v>
      </c>
      <c r="CU69" s="194">
        <v>2882</v>
      </c>
      <c r="CV69" s="193"/>
      <c r="CW69" s="194">
        <v>4739</v>
      </c>
      <c r="CX69" s="196" t="s">
        <v>374</v>
      </c>
      <c r="CY69" s="193">
        <v>4</v>
      </c>
      <c r="CZ69" s="193" t="s">
        <v>163</v>
      </c>
      <c r="DA69" s="193" t="s">
        <v>163</v>
      </c>
      <c r="DB69" s="193" t="s">
        <v>163</v>
      </c>
      <c r="DC69" s="193">
        <v>20</v>
      </c>
      <c r="DD69" s="196" t="s">
        <v>374</v>
      </c>
      <c r="DE69" s="194">
        <v>16463</v>
      </c>
      <c r="DF69" s="193" t="s">
        <v>163</v>
      </c>
      <c r="DG69" s="193"/>
      <c r="DH69" s="193" t="s">
        <v>163</v>
      </c>
      <c r="DI69" s="193"/>
      <c r="DJ69" s="193" t="s">
        <v>163</v>
      </c>
      <c r="DK69" s="193"/>
      <c r="DL69" s="202">
        <v>2013</v>
      </c>
      <c r="DM69" s="203">
        <v>1718</v>
      </c>
      <c r="DN69" s="202">
        <v>154</v>
      </c>
      <c r="DO69" s="202">
        <v>257</v>
      </c>
      <c r="DP69" s="202">
        <v>0</v>
      </c>
      <c r="DQ69" s="202">
        <v>416</v>
      </c>
      <c r="DR69" s="202">
        <v>672</v>
      </c>
      <c r="DS69" s="203">
        <v>4331</v>
      </c>
      <c r="DT69" s="202">
        <v>982</v>
      </c>
      <c r="DU69" s="202" t="s">
        <v>163</v>
      </c>
      <c r="DV69" s="202">
        <v>0</v>
      </c>
      <c r="DW69" s="202">
        <v>106</v>
      </c>
      <c r="DX69" s="202">
        <v>190</v>
      </c>
      <c r="DY69" s="203">
        <v>1245</v>
      </c>
      <c r="DZ69" s="202" t="s">
        <v>163</v>
      </c>
      <c r="EA69" s="138"/>
    </row>
    <row r="70" spans="4:131" ht="17.25" customHeight="1">
      <c r="D70" s="56">
        <f t="shared" si="0"/>
        <v>0.3009478672985782</v>
      </c>
      <c r="G70" s="159">
        <f t="shared" si="1"/>
        <v>422</v>
      </c>
      <c r="H70" s="167">
        <v>2014</v>
      </c>
      <c r="I70" s="167">
        <v>57</v>
      </c>
      <c r="J70" s="167">
        <v>287</v>
      </c>
      <c r="K70" s="168">
        <v>28678</v>
      </c>
      <c r="L70" s="168">
        <v>3195</v>
      </c>
      <c r="M70" s="168">
        <v>9270</v>
      </c>
      <c r="N70" s="167"/>
      <c r="O70" s="168">
        <v>64226</v>
      </c>
      <c r="P70" s="167">
        <v>246</v>
      </c>
      <c r="Q70" s="168">
        <v>3637</v>
      </c>
      <c r="R70" s="167"/>
      <c r="S70" s="168">
        <v>109253</v>
      </c>
      <c r="T70" s="167"/>
      <c r="U70" s="167">
        <v>11</v>
      </c>
      <c r="V70" s="167" t="s">
        <v>163</v>
      </c>
      <c r="W70" s="167" t="s">
        <v>163</v>
      </c>
      <c r="X70" s="167" t="s">
        <v>163</v>
      </c>
      <c r="Y70" s="167" t="s">
        <v>163</v>
      </c>
      <c r="Z70" s="167"/>
      <c r="AA70" s="168">
        <v>54469</v>
      </c>
      <c r="AB70" s="167" t="s">
        <v>163</v>
      </c>
      <c r="AC70" s="167"/>
      <c r="AD70" s="167" t="s">
        <v>163</v>
      </c>
      <c r="AE70" s="167"/>
      <c r="AF70" s="167" t="s">
        <v>163</v>
      </c>
      <c r="AG70" s="167"/>
      <c r="AH70" s="175">
        <v>2014</v>
      </c>
      <c r="AI70" s="175">
        <v>0</v>
      </c>
      <c r="AJ70" s="175">
        <v>127</v>
      </c>
      <c r="AK70" s="176">
        <v>14584</v>
      </c>
      <c r="AL70" s="176">
        <v>2117</v>
      </c>
      <c r="AM70" s="175">
        <v>52</v>
      </c>
      <c r="AN70" s="176">
        <v>16753</v>
      </c>
      <c r="AO70" s="175" t="s">
        <v>163</v>
      </c>
      <c r="AP70" s="175" t="s">
        <v>163</v>
      </c>
      <c r="AQ70" s="175" t="s">
        <v>163</v>
      </c>
      <c r="AR70" s="176">
        <v>20071</v>
      </c>
      <c r="AS70" s="175" t="s">
        <v>163</v>
      </c>
      <c r="AT70" s="175" t="s">
        <v>163</v>
      </c>
      <c r="AU70" s="175"/>
      <c r="AV70" s="175" t="s">
        <v>163</v>
      </c>
      <c r="AW70" s="175"/>
      <c r="AX70" s="175">
        <v>2014</v>
      </c>
      <c r="AY70" s="175">
        <v>0</v>
      </c>
      <c r="AZ70" s="175">
        <v>106</v>
      </c>
      <c r="BA70" s="176">
        <v>2639</v>
      </c>
      <c r="BB70" s="175">
        <v>802</v>
      </c>
      <c r="BC70" s="175">
        <v>13</v>
      </c>
      <c r="BD70" s="175">
        <v>46</v>
      </c>
      <c r="BE70" s="175">
        <v>134</v>
      </c>
      <c r="BF70" s="176">
        <v>3634</v>
      </c>
      <c r="BG70" s="175">
        <v>5</v>
      </c>
      <c r="BH70" s="175" t="s">
        <v>163</v>
      </c>
      <c r="BI70" s="175" t="s">
        <v>163</v>
      </c>
      <c r="BJ70" s="175">
        <v>469</v>
      </c>
      <c r="BK70" s="175"/>
      <c r="BL70" s="176">
        <v>26076</v>
      </c>
      <c r="BM70" s="175" t="s">
        <v>163</v>
      </c>
      <c r="BN70" s="175"/>
      <c r="BO70" s="175" t="s">
        <v>163</v>
      </c>
      <c r="BP70" s="175"/>
      <c r="BQ70" s="175" t="s">
        <v>163</v>
      </c>
      <c r="BR70" s="175"/>
      <c r="BS70" s="185">
        <v>2014</v>
      </c>
      <c r="BT70" s="185">
        <v>0</v>
      </c>
      <c r="BU70" s="185">
        <v>9</v>
      </c>
      <c r="BV70" s="185">
        <v>74</v>
      </c>
      <c r="BW70" s="186">
        <v>10713</v>
      </c>
      <c r="BX70" s="185">
        <v>16</v>
      </c>
      <c r="BY70" s="187" t="s">
        <v>374</v>
      </c>
      <c r="BZ70" s="186">
        <v>9270</v>
      </c>
      <c r="CA70" s="185"/>
      <c r="CB70" s="185">
        <v>362</v>
      </c>
      <c r="CC70" s="186">
        <v>63419</v>
      </c>
      <c r="CD70" s="185">
        <v>94</v>
      </c>
      <c r="CE70" s="186">
        <v>83948</v>
      </c>
      <c r="CF70" s="187" t="s">
        <v>374</v>
      </c>
      <c r="CG70" s="185">
        <v>361</v>
      </c>
      <c r="CH70" s="185" t="s">
        <v>163</v>
      </c>
      <c r="CI70" s="185"/>
      <c r="CJ70" s="185" t="s">
        <v>163</v>
      </c>
      <c r="CK70" s="185" t="s">
        <v>163</v>
      </c>
      <c r="CL70" s="185"/>
      <c r="CM70" s="193">
        <v>2014</v>
      </c>
      <c r="CN70" s="193">
        <v>57</v>
      </c>
      <c r="CO70" s="193">
        <v>46</v>
      </c>
      <c r="CP70" s="193">
        <v>742</v>
      </c>
      <c r="CQ70" s="193">
        <v>260</v>
      </c>
      <c r="CR70" s="196" t="s">
        <v>374</v>
      </c>
      <c r="CS70" s="193">
        <v>762</v>
      </c>
      <c r="CT70" s="193">
        <v>18</v>
      </c>
      <c r="CU70" s="194">
        <v>3135</v>
      </c>
      <c r="CV70" s="193"/>
      <c r="CW70" s="194">
        <v>4916</v>
      </c>
      <c r="CX70" s="196" t="s">
        <v>374</v>
      </c>
      <c r="CY70" s="193">
        <v>6</v>
      </c>
      <c r="CZ70" s="193" t="s">
        <v>163</v>
      </c>
      <c r="DA70" s="193" t="s">
        <v>163</v>
      </c>
      <c r="DB70" s="193" t="s">
        <v>163</v>
      </c>
      <c r="DC70" s="193">
        <v>33</v>
      </c>
      <c r="DD70" s="193"/>
      <c r="DE70" s="194">
        <v>7961</v>
      </c>
      <c r="DF70" s="193" t="s">
        <v>163</v>
      </c>
      <c r="DG70" s="193"/>
      <c r="DH70" s="193" t="s">
        <v>163</v>
      </c>
      <c r="DI70" s="193"/>
      <c r="DJ70" s="193" t="s">
        <v>163</v>
      </c>
      <c r="DK70" s="193"/>
      <c r="DL70" s="202">
        <v>2014</v>
      </c>
      <c r="DM70" s="203">
        <v>1244</v>
      </c>
      <c r="DN70" s="202">
        <v>135</v>
      </c>
      <c r="DO70" s="202">
        <v>454</v>
      </c>
      <c r="DP70" s="202">
        <v>0</v>
      </c>
      <c r="DQ70" s="203">
        <v>1105</v>
      </c>
      <c r="DR70" s="203">
        <v>1559</v>
      </c>
      <c r="DS70" s="203">
        <v>5769</v>
      </c>
      <c r="DT70" s="202">
        <v>891</v>
      </c>
      <c r="DU70" s="202" t="s">
        <v>163</v>
      </c>
      <c r="DV70" s="202">
        <v>0</v>
      </c>
      <c r="DW70" s="202">
        <v>301</v>
      </c>
      <c r="DX70" s="202">
        <v>197</v>
      </c>
      <c r="DY70" s="203">
        <v>1419</v>
      </c>
      <c r="DZ70" s="202" t="s">
        <v>163</v>
      </c>
      <c r="EA70" s="138"/>
    </row>
    <row r="71" spans="4:131" ht="17.25" customHeight="1">
      <c r="D71" s="56">
        <f t="shared" si="0"/>
        <v>0.28539325842696628</v>
      </c>
      <c r="G71" s="159">
        <f t="shared" si="1"/>
        <v>445</v>
      </c>
      <c r="H71" s="167">
        <v>2015</v>
      </c>
      <c r="I71" s="167">
        <v>45</v>
      </c>
      <c r="J71" s="167">
        <v>288</v>
      </c>
      <c r="K71" s="168">
        <v>29590</v>
      </c>
      <c r="L71" s="168">
        <v>2952</v>
      </c>
      <c r="M71" s="168">
        <v>9808</v>
      </c>
      <c r="N71" s="167"/>
      <c r="O71" s="168">
        <v>66309</v>
      </c>
      <c r="P71" s="167">
        <v>162</v>
      </c>
      <c r="Q71" s="168">
        <v>3558</v>
      </c>
      <c r="R71" s="167"/>
      <c r="S71" s="168">
        <v>112379</v>
      </c>
      <c r="T71" s="167"/>
      <c r="U71" s="167">
        <v>10</v>
      </c>
      <c r="V71" s="167" t="s">
        <v>163</v>
      </c>
      <c r="W71" s="167" t="s">
        <v>163</v>
      </c>
      <c r="X71" s="167" t="s">
        <v>163</v>
      </c>
      <c r="Y71" s="167" t="s">
        <v>163</v>
      </c>
      <c r="Z71" s="167"/>
      <c r="AA71" s="168">
        <v>54621</v>
      </c>
      <c r="AB71" s="167" t="s">
        <v>163</v>
      </c>
      <c r="AC71" s="167"/>
      <c r="AD71" s="167" t="s">
        <v>163</v>
      </c>
      <c r="AE71" s="167"/>
      <c r="AF71" s="167" t="s">
        <v>163</v>
      </c>
      <c r="AG71" s="167"/>
      <c r="AH71" s="175">
        <v>2015</v>
      </c>
      <c r="AI71" s="175">
        <v>0</v>
      </c>
      <c r="AJ71" s="175">
        <v>127</v>
      </c>
      <c r="AK71" s="176">
        <v>14465</v>
      </c>
      <c r="AL71" s="176">
        <v>1979</v>
      </c>
      <c r="AM71" s="175">
        <v>44</v>
      </c>
      <c r="AN71" s="176">
        <v>16488</v>
      </c>
      <c r="AO71" s="175" t="s">
        <v>163</v>
      </c>
      <c r="AP71" s="175" t="s">
        <v>163</v>
      </c>
      <c r="AQ71" s="175" t="s">
        <v>163</v>
      </c>
      <c r="AR71" s="176">
        <v>20175</v>
      </c>
      <c r="AS71" s="175" t="s">
        <v>163</v>
      </c>
      <c r="AT71" s="175" t="s">
        <v>163</v>
      </c>
      <c r="AU71" s="175"/>
      <c r="AV71" s="175" t="s">
        <v>163</v>
      </c>
      <c r="AW71" s="175"/>
      <c r="AX71" s="175">
        <v>2015</v>
      </c>
      <c r="AY71" s="175">
        <v>0</v>
      </c>
      <c r="AZ71" s="175">
        <v>105</v>
      </c>
      <c r="BA71" s="176">
        <v>2692</v>
      </c>
      <c r="BB71" s="175">
        <v>736</v>
      </c>
      <c r="BC71" s="175">
        <v>13</v>
      </c>
      <c r="BD71" s="176">
        <v>1388</v>
      </c>
      <c r="BE71" s="175">
        <v>51</v>
      </c>
      <c r="BF71" s="176">
        <v>4879</v>
      </c>
      <c r="BG71" s="175">
        <v>6</v>
      </c>
      <c r="BH71" s="175" t="s">
        <v>163</v>
      </c>
      <c r="BI71" s="175" t="s">
        <v>163</v>
      </c>
      <c r="BJ71" s="175">
        <v>613</v>
      </c>
      <c r="BK71" s="175"/>
      <c r="BL71" s="176">
        <v>26200</v>
      </c>
      <c r="BM71" s="175" t="s">
        <v>163</v>
      </c>
      <c r="BN71" s="175"/>
      <c r="BO71" s="175" t="s">
        <v>163</v>
      </c>
      <c r="BP71" s="175"/>
      <c r="BQ71" s="175" t="s">
        <v>163</v>
      </c>
      <c r="BR71" s="175"/>
      <c r="BS71" s="185">
        <v>2015</v>
      </c>
      <c r="BT71" s="185">
        <v>0</v>
      </c>
      <c r="BU71" s="185">
        <v>11</v>
      </c>
      <c r="BV71" s="185">
        <v>71</v>
      </c>
      <c r="BW71" s="186">
        <v>11472</v>
      </c>
      <c r="BX71" s="185">
        <v>25</v>
      </c>
      <c r="BY71" s="187" t="s">
        <v>374</v>
      </c>
      <c r="BZ71" s="186">
        <v>9808</v>
      </c>
      <c r="CA71" s="185"/>
      <c r="CB71" s="185">
        <v>404</v>
      </c>
      <c r="CC71" s="186">
        <v>64168</v>
      </c>
      <c r="CD71" s="185">
        <v>86</v>
      </c>
      <c r="CE71" s="186">
        <v>86034</v>
      </c>
      <c r="CF71" s="187" t="s">
        <v>374</v>
      </c>
      <c r="CG71" s="185">
        <v>353</v>
      </c>
      <c r="CH71" s="185" t="s">
        <v>163</v>
      </c>
      <c r="CI71" s="185"/>
      <c r="CJ71" s="185" t="s">
        <v>163</v>
      </c>
      <c r="CK71" s="185" t="s">
        <v>163</v>
      </c>
      <c r="CL71" s="185"/>
      <c r="CM71" s="193">
        <v>2015</v>
      </c>
      <c r="CN71" s="193">
        <v>45</v>
      </c>
      <c r="CO71" s="193">
        <v>45</v>
      </c>
      <c r="CP71" s="193">
        <v>961</v>
      </c>
      <c r="CQ71" s="193">
        <v>212</v>
      </c>
      <c r="CR71" s="196" t="s">
        <v>374</v>
      </c>
      <c r="CS71" s="193">
        <v>752</v>
      </c>
      <c r="CT71" s="193">
        <v>26</v>
      </c>
      <c r="CU71" s="194">
        <v>3026</v>
      </c>
      <c r="CV71" s="193"/>
      <c r="CW71" s="194">
        <v>4977</v>
      </c>
      <c r="CX71" s="196" t="s">
        <v>374</v>
      </c>
      <c r="CY71" s="193">
        <v>5</v>
      </c>
      <c r="CZ71" s="193" t="s">
        <v>163</v>
      </c>
      <c r="DA71" s="193" t="s">
        <v>163</v>
      </c>
      <c r="DB71" s="193" t="s">
        <v>163</v>
      </c>
      <c r="DC71" s="193">
        <v>41</v>
      </c>
      <c r="DD71" s="193"/>
      <c r="DE71" s="194">
        <v>7892</v>
      </c>
      <c r="DF71" s="193" t="s">
        <v>163</v>
      </c>
      <c r="DG71" s="193"/>
      <c r="DH71" s="193" t="s">
        <v>163</v>
      </c>
      <c r="DI71" s="193"/>
      <c r="DJ71" s="193" t="s">
        <v>163</v>
      </c>
      <c r="DK71" s="193"/>
      <c r="DL71" s="202">
        <v>2015</v>
      </c>
      <c r="DM71" s="203">
        <v>1005</v>
      </c>
      <c r="DN71" s="202">
        <v>157</v>
      </c>
      <c r="DO71" s="202">
        <v>346</v>
      </c>
      <c r="DP71" s="202">
        <v>0</v>
      </c>
      <c r="DQ71" s="202">
        <v>923</v>
      </c>
      <c r="DR71" s="203">
        <v>1269</v>
      </c>
      <c r="DS71" s="203">
        <v>4995</v>
      </c>
      <c r="DT71" s="202">
        <v>817</v>
      </c>
      <c r="DU71" s="202" t="s">
        <v>163</v>
      </c>
      <c r="DV71" s="202">
        <v>0</v>
      </c>
      <c r="DW71" s="202">
        <v>448</v>
      </c>
      <c r="DX71" s="202">
        <v>186</v>
      </c>
      <c r="DY71" s="203">
        <v>1330</v>
      </c>
      <c r="DZ71" s="202" t="s">
        <v>163</v>
      </c>
      <c r="EA71" s="138"/>
    </row>
    <row r="72" spans="4:131" ht="17.25" customHeight="1">
      <c r="D72" s="56">
        <f t="shared" si="0"/>
        <v>0.26168224299065418</v>
      </c>
      <c r="G72" s="159">
        <f t="shared" si="1"/>
        <v>428</v>
      </c>
      <c r="H72" s="167">
        <v>2016</v>
      </c>
      <c r="I72" s="167">
        <v>4</v>
      </c>
      <c r="J72" s="167">
        <v>272</v>
      </c>
      <c r="K72" s="168">
        <v>25004</v>
      </c>
      <c r="L72" s="168">
        <v>2751</v>
      </c>
      <c r="M72" s="168">
        <v>11400</v>
      </c>
      <c r="N72" s="167"/>
      <c r="O72" s="168">
        <v>67054</v>
      </c>
      <c r="P72" s="167">
        <v>246</v>
      </c>
      <c r="Q72" s="168">
        <v>3607</v>
      </c>
      <c r="R72" s="167"/>
      <c r="S72" s="168">
        <v>110062</v>
      </c>
      <c r="T72" s="167"/>
      <c r="U72" s="167">
        <v>4</v>
      </c>
      <c r="V72" s="167" t="s">
        <v>163</v>
      </c>
      <c r="W72" s="167" t="s">
        <v>163</v>
      </c>
      <c r="X72" s="167" t="s">
        <v>163</v>
      </c>
      <c r="Y72" s="167" t="s">
        <v>163</v>
      </c>
      <c r="Z72" s="167"/>
      <c r="AA72" s="168">
        <v>53476</v>
      </c>
      <c r="AB72" s="167" t="s">
        <v>163</v>
      </c>
      <c r="AC72" s="167"/>
      <c r="AD72" s="167" t="s">
        <v>163</v>
      </c>
      <c r="AE72" s="167"/>
      <c r="AF72" s="167" t="s">
        <v>163</v>
      </c>
      <c r="AG72" s="167"/>
      <c r="AH72" s="175">
        <v>2016</v>
      </c>
      <c r="AI72" s="175">
        <v>0</v>
      </c>
      <c r="AJ72" s="175">
        <v>112</v>
      </c>
      <c r="AK72" s="176">
        <v>11231</v>
      </c>
      <c r="AL72" s="176">
        <v>1966</v>
      </c>
      <c r="AM72" s="175">
        <v>52</v>
      </c>
      <c r="AN72" s="176">
        <v>13249</v>
      </c>
      <c r="AO72" s="175" t="s">
        <v>163</v>
      </c>
      <c r="AP72" s="175" t="s">
        <v>163</v>
      </c>
      <c r="AQ72" s="175" t="s">
        <v>163</v>
      </c>
      <c r="AR72" s="176">
        <v>19693</v>
      </c>
      <c r="AS72" s="175" t="s">
        <v>163</v>
      </c>
      <c r="AT72" s="175" t="s">
        <v>163</v>
      </c>
      <c r="AU72" s="175"/>
      <c r="AV72" s="175" t="s">
        <v>163</v>
      </c>
      <c r="AW72" s="175"/>
      <c r="AX72" s="175">
        <v>2016</v>
      </c>
      <c r="AY72" s="175">
        <v>0</v>
      </c>
      <c r="AZ72" s="175">
        <v>105</v>
      </c>
      <c r="BA72" s="176">
        <v>1472</v>
      </c>
      <c r="BB72" s="175">
        <v>561</v>
      </c>
      <c r="BC72" s="175">
        <v>14</v>
      </c>
      <c r="BD72" s="176">
        <v>1400</v>
      </c>
      <c r="BE72" s="175">
        <v>31</v>
      </c>
      <c r="BF72" s="176">
        <v>3477</v>
      </c>
      <c r="BG72" s="175">
        <v>3</v>
      </c>
      <c r="BH72" s="175" t="s">
        <v>163</v>
      </c>
      <c r="BI72" s="175" t="s">
        <v>163</v>
      </c>
      <c r="BJ72" s="175">
        <v>782</v>
      </c>
      <c r="BK72" s="175"/>
      <c r="BL72" s="176">
        <v>25934</v>
      </c>
      <c r="BM72" s="175" t="s">
        <v>163</v>
      </c>
      <c r="BN72" s="175"/>
      <c r="BO72" s="175" t="s">
        <v>163</v>
      </c>
      <c r="BP72" s="175"/>
      <c r="BQ72" s="175" t="s">
        <v>163</v>
      </c>
      <c r="BR72" s="175"/>
      <c r="BS72" s="185">
        <v>2016</v>
      </c>
      <c r="BT72" s="185">
        <v>0</v>
      </c>
      <c r="BU72" s="185">
        <v>9</v>
      </c>
      <c r="BV72" s="185">
        <v>69</v>
      </c>
      <c r="BW72" s="186">
        <v>11486</v>
      </c>
      <c r="BX72" s="185">
        <v>33</v>
      </c>
      <c r="BY72" s="187" t="s">
        <v>374</v>
      </c>
      <c r="BZ72" s="186">
        <v>11400</v>
      </c>
      <c r="CA72" s="185"/>
      <c r="CB72" s="185">
        <v>382</v>
      </c>
      <c r="CC72" s="186">
        <v>64895</v>
      </c>
      <c r="CD72" s="185">
        <v>200</v>
      </c>
      <c r="CE72" s="186">
        <v>88464</v>
      </c>
      <c r="CF72" s="187" t="s">
        <v>374</v>
      </c>
      <c r="CG72" s="185">
        <v>342</v>
      </c>
      <c r="CH72" s="185" t="s">
        <v>163</v>
      </c>
      <c r="CI72" s="185"/>
      <c r="CJ72" s="185" t="s">
        <v>163</v>
      </c>
      <c r="CK72" s="185" t="s">
        <v>163</v>
      </c>
      <c r="CL72" s="185"/>
      <c r="CM72" s="193">
        <v>2016</v>
      </c>
      <c r="CN72" s="193">
        <v>4</v>
      </c>
      <c r="CO72" s="193">
        <v>46</v>
      </c>
      <c r="CP72" s="193">
        <v>815</v>
      </c>
      <c r="CQ72" s="193">
        <v>192</v>
      </c>
      <c r="CR72" s="196" t="s">
        <v>374</v>
      </c>
      <c r="CS72" s="193">
        <v>759</v>
      </c>
      <c r="CT72" s="193">
        <v>15</v>
      </c>
      <c r="CU72" s="194">
        <v>3091</v>
      </c>
      <c r="CV72" s="193"/>
      <c r="CW72" s="194">
        <v>4871</v>
      </c>
      <c r="CX72" s="196" t="s">
        <v>374</v>
      </c>
      <c r="CY72" s="193">
        <v>1</v>
      </c>
      <c r="CZ72" s="193" t="s">
        <v>163</v>
      </c>
      <c r="DA72" s="193" t="s">
        <v>163</v>
      </c>
      <c r="DB72" s="193" t="s">
        <v>163</v>
      </c>
      <c r="DC72" s="193">
        <v>64</v>
      </c>
      <c r="DD72" s="193"/>
      <c r="DE72" s="194">
        <v>7507</v>
      </c>
      <c r="DF72" s="193" t="s">
        <v>163</v>
      </c>
      <c r="DG72" s="193"/>
      <c r="DH72" s="193" t="s">
        <v>163</v>
      </c>
      <c r="DI72" s="193"/>
      <c r="DJ72" s="193" t="s">
        <v>163</v>
      </c>
      <c r="DK72" s="193"/>
      <c r="DL72" s="202">
        <v>2016</v>
      </c>
      <c r="DM72" s="202">
        <v>907</v>
      </c>
      <c r="DN72" s="202">
        <v>156</v>
      </c>
      <c r="DO72" s="202">
        <v>68</v>
      </c>
      <c r="DP72" s="202">
        <v>0</v>
      </c>
      <c r="DQ72" s="202">
        <v>508</v>
      </c>
      <c r="DR72" s="202">
        <v>576</v>
      </c>
      <c r="DS72" s="203">
        <v>5414</v>
      </c>
      <c r="DT72" s="202">
        <v>708</v>
      </c>
      <c r="DU72" s="202" t="s">
        <v>163</v>
      </c>
      <c r="DV72" s="202">
        <v>0</v>
      </c>
      <c r="DW72" s="202">
        <v>603</v>
      </c>
      <c r="DX72" s="202">
        <v>194</v>
      </c>
      <c r="DY72" s="203">
        <v>1011</v>
      </c>
      <c r="DZ72" s="202" t="s">
        <v>163</v>
      </c>
      <c r="EA72" s="138"/>
    </row>
    <row r="73" spans="4:131" ht="17.25" customHeight="1">
      <c r="D73" s="56">
        <f t="shared" si="0"/>
        <v>0.26948775055679286</v>
      </c>
      <c r="G73" s="159">
        <f t="shared" si="1"/>
        <v>449</v>
      </c>
      <c r="H73" s="167">
        <v>2017</v>
      </c>
      <c r="I73" s="167">
        <v>4</v>
      </c>
      <c r="J73" s="167">
        <v>286</v>
      </c>
      <c r="K73" s="168">
        <v>25486</v>
      </c>
      <c r="L73" s="168">
        <v>2913</v>
      </c>
      <c r="M73" s="168">
        <v>12271</v>
      </c>
      <c r="N73" s="167"/>
      <c r="O73" s="168">
        <v>65943</v>
      </c>
      <c r="P73" s="167">
        <v>373</v>
      </c>
      <c r="Q73" s="168">
        <v>3537</v>
      </c>
      <c r="R73" s="169" t="s">
        <v>374</v>
      </c>
      <c r="S73" s="168">
        <v>110523</v>
      </c>
      <c r="T73" s="167"/>
      <c r="U73" s="167">
        <v>10</v>
      </c>
      <c r="V73" s="167" t="s">
        <v>163</v>
      </c>
      <c r="W73" s="167" t="s">
        <v>163</v>
      </c>
      <c r="X73" s="167" t="s">
        <v>163</v>
      </c>
      <c r="Y73" s="167" t="s">
        <v>163</v>
      </c>
      <c r="Z73" s="167"/>
      <c r="AA73" s="168">
        <v>52513</v>
      </c>
      <c r="AB73" s="167" t="s">
        <v>163</v>
      </c>
      <c r="AC73" s="167"/>
      <c r="AD73" s="167" t="s">
        <v>163</v>
      </c>
      <c r="AE73" s="167"/>
      <c r="AF73" s="167" t="s">
        <v>163</v>
      </c>
      <c r="AG73" s="167"/>
      <c r="AH73" s="175">
        <v>2017</v>
      </c>
      <c r="AI73" s="175">
        <v>0</v>
      </c>
      <c r="AJ73" s="175">
        <v>121</v>
      </c>
      <c r="AK73" s="176">
        <v>12279</v>
      </c>
      <c r="AL73" s="176">
        <v>2118</v>
      </c>
      <c r="AM73" s="175">
        <v>36</v>
      </c>
      <c r="AN73" s="176">
        <v>14434</v>
      </c>
      <c r="AO73" s="175" t="s">
        <v>163</v>
      </c>
      <c r="AP73" s="175" t="s">
        <v>163</v>
      </c>
      <c r="AQ73" s="175" t="s">
        <v>163</v>
      </c>
      <c r="AR73" s="176">
        <v>19338</v>
      </c>
      <c r="AS73" s="175" t="s">
        <v>163</v>
      </c>
      <c r="AT73" s="175" t="s">
        <v>163</v>
      </c>
      <c r="AU73" s="175"/>
      <c r="AV73" s="175" t="s">
        <v>163</v>
      </c>
      <c r="AW73" s="175"/>
      <c r="AX73" s="175">
        <v>2017</v>
      </c>
      <c r="AY73" s="175">
        <v>0</v>
      </c>
      <c r="AZ73" s="175">
        <v>109</v>
      </c>
      <c r="BA73" s="176">
        <v>1687</v>
      </c>
      <c r="BB73" s="175">
        <v>563</v>
      </c>
      <c r="BC73" s="175">
        <v>10</v>
      </c>
      <c r="BD73" s="176">
        <v>1416</v>
      </c>
      <c r="BE73" s="175">
        <v>24</v>
      </c>
      <c r="BF73" s="176">
        <v>3700</v>
      </c>
      <c r="BG73" s="175">
        <v>4</v>
      </c>
      <c r="BH73" s="175" t="s">
        <v>163</v>
      </c>
      <c r="BI73" s="175" t="s">
        <v>163</v>
      </c>
      <c r="BJ73" s="175">
        <v>905</v>
      </c>
      <c r="BK73" s="175"/>
      <c r="BL73" s="176">
        <v>25968</v>
      </c>
      <c r="BM73" s="175" t="s">
        <v>163</v>
      </c>
      <c r="BN73" s="175"/>
      <c r="BO73" s="175" t="s">
        <v>163</v>
      </c>
      <c r="BP73" s="175"/>
      <c r="BQ73" s="175" t="s">
        <v>163</v>
      </c>
      <c r="BR73" s="175"/>
      <c r="BS73" s="185">
        <v>2017</v>
      </c>
      <c r="BT73" s="185">
        <v>0</v>
      </c>
      <c r="BU73" s="185">
        <v>8</v>
      </c>
      <c r="BV73" s="185">
        <v>67</v>
      </c>
      <c r="BW73" s="186">
        <v>10588</v>
      </c>
      <c r="BX73" s="185">
        <v>57</v>
      </c>
      <c r="BY73" s="187" t="s">
        <v>374</v>
      </c>
      <c r="BZ73" s="186">
        <v>12271</v>
      </c>
      <c r="CA73" s="185"/>
      <c r="CB73" s="185">
        <v>340</v>
      </c>
      <c r="CC73" s="186">
        <v>63757</v>
      </c>
      <c r="CD73" s="185">
        <v>330</v>
      </c>
      <c r="CE73" s="186">
        <v>87409</v>
      </c>
      <c r="CF73" s="187" t="s">
        <v>374</v>
      </c>
      <c r="CG73" s="185">
        <v>348</v>
      </c>
      <c r="CH73" s="185" t="s">
        <v>163</v>
      </c>
      <c r="CI73" s="185"/>
      <c r="CJ73" s="185" t="s">
        <v>163</v>
      </c>
      <c r="CK73" s="185" t="s">
        <v>163</v>
      </c>
      <c r="CL73" s="185"/>
      <c r="CM73" s="193">
        <v>2017</v>
      </c>
      <c r="CN73" s="193">
        <v>4</v>
      </c>
      <c r="CO73" s="193">
        <v>47</v>
      </c>
      <c r="CP73" s="193">
        <v>933</v>
      </c>
      <c r="CQ73" s="193">
        <v>175</v>
      </c>
      <c r="CR73" s="196" t="s">
        <v>374</v>
      </c>
      <c r="CS73" s="193">
        <v>771</v>
      </c>
      <c r="CT73" s="193">
        <v>19</v>
      </c>
      <c r="CU73" s="194">
        <v>3084</v>
      </c>
      <c r="CV73" s="193"/>
      <c r="CW73" s="194">
        <v>4981</v>
      </c>
      <c r="CX73" s="196" t="s">
        <v>374</v>
      </c>
      <c r="CY73" s="193">
        <v>6</v>
      </c>
      <c r="CZ73" s="193" t="s">
        <v>163</v>
      </c>
      <c r="DA73" s="193" t="s">
        <v>163</v>
      </c>
      <c r="DB73" s="193" t="s">
        <v>163</v>
      </c>
      <c r="DC73" s="193">
        <v>70</v>
      </c>
      <c r="DD73" s="193"/>
      <c r="DE73" s="194">
        <v>6859</v>
      </c>
      <c r="DF73" s="193" t="s">
        <v>163</v>
      </c>
      <c r="DG73" s="193"/>
      <c r="DH73" s="193" t="s">
        <v>163</v>
      </c>
      <c r="DI73" s="193"/>
      <c r="DJ73" s="193" t="s">
        <v>163</v>
      </c>
      <c r="DK73" s="193"/>
      <c r="DL73" s="202">
        <v>2017</v>
      </c>
      <c r="DM73" s="202">
        <v>559</v>
      </c>
      <c r="DN73" s="202">
        <v>163</v>
      </c>
      <c r="DO73" s="202">
        <v>174</v>
      </c>
      <c r="DP73" s="202">
        <v>0</v>
      </c>
      <c r="DQ73" s="202">
        <v>299</v>
      </c>
      <c r="DR73" s="202">
        <v>472</v>
      </c>
      <c r="DS73" s="203">
        <v>5047</v>
      </c>
      <c r="DT73" s="203">
        <v>1028</v>
      </c>
      <c r="DU73" s="202" t="s">
        <v>163</v>
      </c>
      <c r="DV73" s="202">
        <v>0</v>
      </c>
      <c r="DW73" s="202">
        <v>781</v>
      </c>
      <c r="DX73" s="202">
        <v>210</v>
      </c>
      <c r="DY73" s="202">
        <v>144</v>
      </c>
      <c r="DZ73" s="202" t="s">
        <v>163</v>
      </c>
      <c r="EA73" s="138"/>
    </row>
    <row r="74" spans="4:131" ht="17.25" customHeight="1">
      <c r="D74" s="56">
        <f t="shared" si="0"/>
        <v>0.296127562642369</v>
      </c>
      <c r="G74" s="159">
        <f t="shared" si="1"/>
        <v>439</v>
      </c>
      <c r="H74" s="167">
        <v>2018</v>
      </c>
      <c r="I74" s="167">
        <v>4</v>
      </c>
      <c r="J74" s="167">
        <v>305</v>
      </c>
      <c r="K74" s="168">
        <v>27073</v>
      </c>
      <c r="L74" s="168">
        <v>3317</v>
      </c>
      <c r="M74" s="168">
        <v>12643</v>
      </c>
      <c r="N74" s="167"/>
      <c r="O74" s="168">
        <v>66415</v>
      </c>
      <c r="P74" s="167">
        <v>144</v>
      </c>
      <c r="Q74" s="168">
        <v>3339</v>
      </c>
      <c r="R74" s="169" t="s">
        <v>374</v>
      </c>
      <c r="S74" s="168">
        <v>112931</v>
      </c>
      <c r="T74" s="169" t="s">
        <v>374</v>
      </c>
      <c r="U74" s="167">
        <v>4</v>
      </c>
      <c r="V74" s="167" t="s">
        <v>163</v>
      </c>
      <c r="W74" s="167" t="s">
        <v>163</v>
      </c>
      <c r="X74" s="167" t="s">
        <v>163</v>
      </c>
      <c r="Y74" s="167" t="s">
        <v>163</v>
      </c>
      <c r="Z74" s="167"/>
      <c r="AA74" s="168">
        <v>53285</v>
      </c>
      <c r="AB74" s="167" t="s">
        <v>163</v>
      </c>
      <c r="AC74" s="167"/>
      <c r="AD74" s="167" t="s">
        <v>163</v>
      </c>
      <c r="AE74" s="167"/>
      <c r="AF74" s="167" t="s">
        <v>163</v>
      </c>
      <c r="AG74" s="167"/>
      <c r="AH74" s="175">
        <v>2018</v>
      </c>
      <c r="AI74" s="175">
        <v>0</v>
      </c>
      <c r="AJ74" s="175">
        <v>130</v>
      </c>
      <c r="AK74" s="176">
        <v>13315</v>
      </c>
      <c r="AL74" s="176">
        <v>2250</v>
      </c>
      <c r="AM74" s="175">
        <v>35</v>
      </c>
      <c r="AN74" s="176">
        <v>15601</v>
      </c>
      <c r="AO74" s="175" t="s">
        <v>163</v>
      </c>
      <c r="AP74" s="175" t="s">
        <v>163</v>
      </c>
      <c r="AQ74" s="175" t="s">
        <v>163</v>
      </c>
      <c r="AR74" s="176">
        <v>20285</v>
      </c>
      <c r="AS74" s="175" t="s">
        <v>163</v>
      </c>
      <c r="AT74" s="175" t="s">
        <v>163</v>
      </c>
      <c r="AU74" s="175"/>
      <c r="AV74" s="175" t="s">
        <v>163</v>
      </c>
      <c r="AW74" s="175"/>
      <c r="AX74" s="175">
        <v>2018</v>
      </c>
      <c r="AY74" s="175">
        <v>0</v>
      </c>
      <c r="AZ74" s="175">
        <v>119</v>
      </c>
      <c r="BA74" s="176">
        <v>1597</v>
      </c>
      <c r="BB74" s="175">
        <v>892</v>
      </c>
      <c r="BC74" s="175">
        <v>9</v>
      </c>
      <c r="BD74" s="176">
        <v>1407</v>
      </c>
      <c r="BE74" s="175">
        <v>13</v>
      </c>
      <c r="BF74" s="176">
        <v>3918</v>
      </c>
      <c r="BG74" s="175">
        <v>4</v>
      </c>
      <c r="BH74" s="175" t="s">
        <v>163</v>
      </c>
      <c r="BI74" s="175" t="s">
        <v>163</v>
      </c>
      <c r="BJ74" s="176">
        <v>1280</v>
      </c>
      <c r="BK74" s="175"/>
      <c r="BL74" s="176">
        <v>25952</v>
      </c>
      <c r="BM74" s="175" t="s">
        <v>163</v>
      </c>
      <c r="BN74" s="175"/>
      <c r="BO74" s="175" t="s">
        <v>163</v>
      </c>
      <c r="BP74" s="175"/>
      <c r="BQ74" s="175" t="s">
        <v>163</v>
      </c>
      <c r="BR74" s="175"/>
      <c r="BS74" s="185">
        <v>2018</v>
      </c>
      <c r="BT74" s="185">
        <v>0</v>
      </c>
      <c r="BU74" s="185">
        <v>8</v>
      </c>
      <c r="BV74" s="185">
        <v>77</v>
      </c>
      <c r="BW74" s="186">
        <v>11339</v>
      </c>
      <c r="BX74" s="185">
        <v>14</v>
      </c>
      <c r="BY74" s="187" t="s">
        <v>374</v>
      </c>
      <c r="BZ74" s="186">
        <v>12643</v>
      </c>
      <c r="CA74" s="185"/>
      <c r="CB74" s="185">
        <v>328</v>
      </c>
      <c r="CC74" s="186">
        <v>64221</v>
      </c>
      <c r="CD74" s="185">
        <v>110</v>
      </c>
      <c r="CE74" s="186">
        <v>88732</v>
      </c>
      <c r="CF74" s="187" t="s">
        <v>374</v>
      </c>
      <c r="CG74" s="185">
        <v>349</v>
      </c>
      <c r="CH74" s="185" t="s">
        <v>163</v>
      </c>
      <c r="CI74" s="185"/>
      <c r="CJ74" s="185" t="s">
        <v>163</v>
      </c>
      <c r="CK74" s="185" t="s">
        <v>163</v>
      </c>
      <c r="CL74" s="185"/>
      <c r="CM74" s="193">
        <v>2018</v>
      </c>
      <c r="CN74" s="193">
        <v>4</v>
      </c>
      <c r="CO74" s="193">
        <v>48</v>
      </c>
      <c r="CP74" s="193">
        <v>822</v>
      </c>
      <c r="CQ74" s="193">
        <v>160</v>
      </c>
      <c r="CR74" s="196" t="s">
        <v>374</v>
      </c>
      <c r="CS74" s="193">
        <v>787</v>
      </c>
      <c r="CT74" s="193">
        <v>21</v>
      </c>
      <c r="CU74" s="194">
        <v>2889</v>
      </c>
      <c r="CV74" s="196" t="s">
        <v>374</v>
      </c>
      <c r="CW74" s="194">
        <v>4679</v>
      </c>
      <c r="CX74" s="196" t="s">
        <v>374</v>
      </c>
      <c r="CY74" s="193">
        <v>0</v>
      </c>
      <c r="CZ74" s="193" t="s">
        <v>163</v>
      </c>
      <c r="DA74" s="193" t="s">
        <v>163</v>
      </c>
      <c r="DB74" s="193" t="s">
        <v>163</v>
      </c>
      <c r="DC74" s="193">
        <v>84</v>
      </c>
      <c r="DD74" s="193"/>
      <c r="DE74" s="194">
        <v>6699</v>
      </c>
      <c r="DF74" s="193" t="s">
        <v>163</v>
      </c>
      <c r="DG74" s="193"/>
      <c r="DH74" s="193" t="s">
        <v>163</v>
      </c>
      <c r="DI74" s="193"/>
      <c r="DJ74" s="193" t="s">
        <v>163</v>
      </c>
      <c r="DK74" s="193"/>
      <c r="DL74" s="202">
        <v>2018</v>
      </c>
      <c r="DM74" s="202">
        <v>0</v>
      </c>
      <c r="DN74" s="202">
        <v>134</v>
      </c>
      <c r="DO74" s="202">
        <v>288</v>
      </c>
      <c r="DP74" s="202">
        <v>0</v>
      </c>
      <c r="DQ74" s="202">
        <v>475</v>
      </c>
      <c r="DR74" s="202">
        <v>763</v>
      </c>
      <c r="DS74" s="203">
        <v>4442</v>
      </c>
      <c r="DT74" s="203">
        <v>1130</v>
      </c>
      <c r="DU74" s="202" t="s">
        <v>163</v>
      </c>
      <c r="DV74" s="202">
        <v>0</v>
      </c>
      <c r="DW74" s="202">
        <v>973</v>
      </c>
      <c r="DX74" s="202">
        <v>196</v>
      </c>
      <c r="DY74" s="202">
        <v>980</v>
      </c>
      <c r="DZ74" s="202" t="s">
        <v>163</v>
      </c>
      <c r="EA74" s="138"/>
    </row>
    <row r="75" spans="4:131" ht="17.25" customHeight="1">
      <c r="D75" s="56">
        <f t="shared" si="0"/>
        <v>0.31395348837209303</v>
      </c>
      <c r="G75" s="159">
        <f t="shared" si="1"/>
        <v>430</v>
      </c>
      <c r="H75" s="167">
        <v>2019</v>
      </c>
      <c r="I75" s="167">
        <v>3</v>
      </c>
      <c r="J75" s="167">
        <v>317</v>
      </c>
      <c r="K75" s="168">
        <v>26784</v>
      </c>
      <c r="L75" s="168">
        <v>3670</v>
      </c>
      <c r="M75" s="168">
        <v>13633</v>
      </c>
      <c r="N75" s="169" t="s">
        <v>374</v>
      </c>
      <c r="O75" s="168">
        <v>65279</v>
      </c>
      <c r="P75" s="167">
        <v>242</v>
      </c>
      <c r="Q75" s="168">
        <v>3214</v>
      </c>
      <c r="R75" s="169" t="s">
        <v>374</v>
      </c>
      <c r="S75" s="168">
        <v>112823</v>
      </c>
      <c r="T75" s="169" t="s">
        <v>374</v>
      </c>
      <c r="U75" s="167">
        <v>6</v>
      </c>
      <c r="V75" s="167" t="s">
        <v>163</v>
      </c>
      <c r="W75" s="167" t="s">
        <v>163</v>
      </c>
      <c r="X75" s="167" t="s">
        <v>163</v>
      </c>
      <c r="Y75" s="167" t="s">
        <v>163</v>
      </c>
      <c r="Z75" s="167"/>
      <c r="AA75" s="168">
        <v>51337</v>
      </c>
      <c r="AB75" s="167" t="s">
        <v>163</v>
      </c>
      <c r="AC75" s="167"/>
      <c r="AD75" s="167" t="s">
        <v>163</v>
      </c>
      <c r="AE75" s="167"/>
      <c r="AF75" s="167" t="s">
        <v>163</v>
      </c>
      <c r="AG75" s="167"/>
      <c r="AH75" s="175">
        <v>2019</v>
      </c>
      <c r="AI75" s="175">
        <v>0</v>
      </c>
      <c r="AJ75" s="175">
        <v>135</v>
      </c>
      <c r="AK75" s="176">
        <v>13161</v>
      </c>
      <c r="AL75" s="176">
        <v>2694</v>
      </c>
      <c r="AM75" s="175">
        <v>43</v>
      </c>
      <c r="AN75" s="176">
        <v>15898</v>
      </c>
      <c r="AO75" s="175" t="s">
        <v>163</v>
      </c>
      <c r="AP75" s="175" t="s">
        <v>163</v>
      </c>
      <c r="AQ75" s="175" t="s">
        <v>163</v>
      </c>
      <c r="AR75" s="176">
        <v>19315</v>
      </c>
      <c r="AS75" s="175" t="s">
        <v>163</v>
      </c>
      <c r="AT75" s="175" t="s">
        <v>163</v>
      </c>
      <c r="AU75" s="175"/>
      <c r="AV75" s="175" t="s">
        <v>163</v>
      </c>
      <c r="AW75" s="175"/>
      <c r="AX75" s="175">
        <v>2019</v>
      </c>
      <c r="AY75" s="175">
        <v>0</v>
      </c>
      <c r="AZ75" s="175">
        <v>122</v>
      </c>
      <c r="BA75" s="176">
        <v>1708</v>
      </c>
      <c r="BB75" s="175">
        <v>792</v>
      </c>
      <c r="BC75" s="175">
        <v>14</v>
      </c>
      <c r="BD75" s="176">
        <v>1416</v>
      </c>
      <c r="BE75" s="175">
        <v>20</v>
      </c>
      <c r="BF75" s="176">
        <v>3950</v>
      </c>
      <c r="BG75" s="175">
        <v>6</v>
      </c>
      <c r="BH75" s="175" t="s">
        <v>163</v>
      </c>
      <c r="BI75" s="175" t="s">
        <v>163</v>
      </c>
      <c r="BJ75" s="176">
        <v>1273</v>
      </c>
      <c r="BK75" s="175"/>
      <c r="BL75" s="176">
        <v>25337</v>
      </c>
      <c r="BM75" s="175" t="s">
        <v>163</v>
      </c>
      <c r="BN75" s="175"/>
      <c r="BO75" s="175" t="s">
        <v>163</v>
      </c>
      <c r="BP75" s="175"/>
      <c r="BQ75" s="175" t="s">
        <v>163</v>
      </c>
      <c r="BR75" s="175"/>
      <c r="BS75" s="185">
        <v>2019</v>
      </c>
      <c r="BT75" s="185">
        <v>0</v>
      </c>
      <c r="BU75" s="185">
        <v>11</v>
      </c>
      <c r="BV75" s="185">
        <v>77</v>
      </c>
      <c r="BW75" s="186">
        <v>11135</v>
      </c>
      <c r="BX75" s="185">
        <v>11</v>
      </c>
      <c r="BY75" s="187" t="s">
        <v>374</v>
      </c>
      <c r="BZ75" s="186">
        <v>13633</v>
      </c>
      <c r="CA75" s="187" t="s">
        <v>374</v>
      </c>
      <c r="CB75" s="185">
        <v>309</v>
      </c>
      <c r="CC75" s="186">
        <v>63067</v>
      </c>
      <c r="CD75" s="185">
        <v>211</v>
      </c>
      <c r="CE75" s="186">
        <v>88444</v>
      </c>
      <c r="CF75" s="187" t="s">
        <v>374</v>
      </c>
      <c r="CG75" s="185">
        <v>343</v>
      </c>
      <c r="CH75" s="185" t="s">
        <v>163</v>
      </c>
      <c r="CI75" s="185"/>
      <c r="CJ75" s="185" t="s">
        <v>163</v>
      </c>
      <c r="CK75" s="185" t="s">
        <v>163</v>
      </c>
      <c r="CL75" s="185"/>
      <c r="CM75" s="193">
        <v>2019</v>
      </c>
      <c r="CN75" s="193">
        <v>3</v>
      </c>
      <c r="CO75" s="193">
        <v>49</v>
      </c>
      <c r="CP75" s="193">
        <v>780</v>
      </c>
      <c r="CQ75" s="193">
        <v>172</v>
      </c>
      <c r="CR75" s="196" t="s">
        <v>374</v>
      </c>
      <c r="CS75" s="193">
        <v>796</v>
      </c>
      <c r="CT75" s="193">
        <v>11</v>
      </c>
      <c r="CU75" s="194">
        <v>2772</v>
      </c>
      <c r="CV75" s="196" t="s">
        <v>374</v>
      </c>
      <c r="CW75" s="194">
        <v>4531</v>
      </c>
      <c r="CX75" s="196" t="s">
        <v>374</v>
      </c>
      <c r="CY75" s="193">
        <v>0</v>
      </c>
      <c r="CZ75" s="193" t="s">
        <v>163</v>
      </c>
      <c r="DA75" s="193" t="s">
        <v>163</v>
      </c>
      <c r="DB75" s="193" t="s">
        <v>163</v>
      </c>
      <c r="DC75" s="193">
        <v>95</v>
      </c>
      <c r="DD75" s="193"/>
      <c r="DE75" s="194">
        <v>6342</v>
      </c>
      <c r="DF75" s="193" t="s">
        <v>163</v>
      </c>
      <c r="DG75" s="193"/>
      <c r="DH75" s="193" t="s">
        <v>163</v>
      </c>
      <c r="DI75" s="193"/>
      <c r="DJ75" s="193" t="s">
        <v>163</v>
      </c>
      <c r="DK75" s="193"/>
      <c r="DL75" s="202">
        <v>2019</v>
      </c>
      <c r="DM75" s="202">
        <v>0</v>
      </c>
      <c r="DN75" s="202">
        <v>113</v>
      </c>
      <c r="DO75" s="202">
        <v>65</v>
      </c>
      <c r="DP75" s="202">
        <v>0</v>
      </c>
      <c r="DQ75" s="202">
        <v>110</v>
      </c>
      <c r="DR75" s="202">
        <v>175</v>
      </c>
      <c r="DS75" s="203">
        <v>2177</v>
      </c>
      <c r="DT75" s="202">
        <v>970</v>
      </c>
      <c r="DU75" s="202" t="s">
        <v>163</v>
      </c>
      <c r="DV75" s="202">
        <v>0</v>
      </c>
      <c r="DW75" s="203">
        <v>1154</v>
      </c>
      <c r="DX75" s="202">
        <v>185</v>
      </c>
      <c r="DY75" s="202">
        <v>12</v>
      </c>
      <c r="DZ75" s="202" t="s">
        <v>163</v>
      </c>
      <c r="EA75" s="138"/>
    </row>
    <row r="76" spans="4:131" ht="17.25" customHeight="1">
      <c r="D76" s="56">
        <f t="shared" si="0"/>
        <v>0.30848329048843187</v>
      </c>
      <c r="G76" s="159">
        <f t="shared" si="1"/>
        <v>389</v>
      </c>
      <c r="H76" s="167">
        <v>2020</v>
      </c>
      <c r="I76" s="167">
        <v>0</v>
      </c>
      <c r="J76" s="167">
        <v>284</v>
      </c>
      <c r="K76" s="168">
        <v>24541</v>
      </c>
      <c r="L76" s="168">
        <v>3398</v>
      </c>
      <c r="M76" s="168">
        <v>5600</v>
      </c>
      <c r="N76" s="169" t="s">
        <v>374</v>
      </c>
      <c r="O76" s="168">
        <v>52176</v>
      </c>
      <c r="P76" s="167">
        <v>49</v>
      </c>
      <c r="Q76" s="168">
        <v>3190</v>
      </c>
      <c r="R76" s="169" t="s">
        <v>374</v>
      </c>
      <c r="S76" s="168">
        <v>88955</v>
      </c>
      <c r="T76" s="169" t="s">
        <v>374</v>
      </c>
      <c r="U76" s="167">
        <v>5</v>
      </c>
      <c r="V76" s="167" t="s">
        <v>163</v>
      </c>
      <c r="W76" s="167" t="s">
        <v>163</v>
      </c>
      <c r="X76" s="167" t="s">
        <v>163</v>
      </c>
      <c r="Y76" s="167" t="s">
        <v>163</v>
      </c>
      <c r="Z76" s="167"/>
      <c r="AA76" s="168">
        <v>50009</v>
      </c>
      <c r="AB76" s="167" t="s">
        <v>163</v>
      </c>
      <c r="AC76" s="167"/>
      <c r="AD76" s="167" t="s">
        <v>163</v>
      </c>
      <c r="AE76" s="167"/>
      <c r="AF76" s="167" t="s">
        <v>163</v>
      </c>
      <c r="AG76" s="167"/>
      <c r="AH76" s="175">
        <v>2020</v>
      </c>
      <c r="AI76" s="175">
        <v>0</v>
      </c>
      <c r="AJ76" s="175">
        <v>120</v>
      </c>
      <c r="AK76" s="176">
        <v>11817</v>
      </c>
      <c r="AL76" s="176">
        <v>2249</v>
      </c>
      <c r="AM76" s="175">
        <v>49</v>
      </c>
      <c r="AN76" s="176">
        <v>14115</v>
      </c>
      <c r="AO76" s="175" t="s">
        <v>163</v>
      </c>
      <c r="AP76" s="175" t="s">
        <v>163</v>
      </c>
      <c r="AQ76" s="175" t="s">
        <v>163</v>
      </c>
      <c r="AR76" s="176">
        <v>20345</v>
      </c>
      <c r="AS76" s="175" t="s">
        <v>163</v>
      </c>
      <c r="AT76" s="175" t="s">
        <v>163</v>
      </c>
      <c r="AU76" s="175"/>
      <c r="AV76" s="175" t="s">
        <v>163</v>
      </c>
      <c r="AW76" s="175"/>
      <c r="AX76" s="175">
        <v>2020</v>
      </c>
      <c r="AY76" s="175">
        <v>0</v>
      </c>
      <c r="AZ76" s="175">
        <v>110</v>
      </c>
      <c r="BA76" s="176">
        <v>1274</v>
      </c>
      <c r="BB76" s="175">
        <v>946</v>
      </c>
      <c r="BC76" s="175">
        <v>17</v>
      </c>
      <c r="BD76" s="176">
        <v>1429</v>
      </c>
      <c r="BE76" s="175">
        <v>33</v>
      </c>
      <c r="BF76" s="176">
        <v>3699</v>
      </c>
      <c r="BG76" s="175">
        <v>5</v>
      </c>
      <c r="BH76" s="175" t="s">
        <v>163</v>
      </c>
      <c r="BI76" s="175" t="s">
        <v>163</v>
      </c>
      <c r="BJ76" s="176">
        <v>1390</v>
      </c>
      <c r="BK76" s="175"/>
      <c r="BL76" s="176">
        <v>23121</v>
      </c>
      <c r="BM76" s="175" t="s">
        <v>163</v>
      </c>
      <c r="BN76" s="175"/>
      <c r="BO76" s="175" t="s">
        <v>163</v>
      </c>
      <c r="BP76" s="175"/>
      <c r="BQ76" s="175" t="s">
        <v>163</v>
      </c>
      <c r="BR76" s="175"/>
      <c r="BS76" s="185">
        <v>2020</v>
      </c>
      <c r="BT76" s="185">
        <v>0</v>
      </c>
      <c r="BU76" s="185">
        <v>9</v>
      </c>
      <c r="BV76" s="185">
        <v>63</v>
      </c>
      <c r="BW76" s="186">
        <v>10750</v>
      </c>
      <c r="BX76" s="185">
        <v>26</v>
      </c>
      <c r="BY76" s="187" t="s">
        <v>374</v>
      </c>
      <c r="BZ76" s="186">
        <v>5600</v>
      </c>
      <c r="CA76" s="187" t="s">
        <v>374</v>
      </c>
      <c r="CB76" s="185">
        <v>256</v>
      </c>
      <c r="CC76" s="186">
        <v>49947</v>
      </c>
      <c r="CD76" s="185">
        <v>13</v>
      </c>
      <c r="CE76" s="186">
        <v>66653</v>
      </c>
      <c r="CF76" s="187" t="s">
        <v>374</v>
      </c>
      <c r="CG76" s="185">
        <v>323</v>
      </c>
      <c r="CH76" s="185" t="s">
        <v>163</v>
      </c>
      <c r="CI76" s="185"/>
      <c r="CJ76" s="185" t="s">
        <v>163</v>
      </c>
      <c r="CK76" s="185" t="s">
        <v>163</v>
      </c>
      <c r="CL76" s="185"/>
      <c r="CM76" s="193">
        <v>2020</v>
      </c>
      <c r="CN76" s="193">
        <v>0</v>
      </c>
      <c r="CO76" s="193">
        <v>46</v>
      </c>
      <c r="CP76" s="193">
        <v>700</v>
      </c>
      <c r="CQ76" s="193">
        <v>178</v>
      </c>
      <c r="CR76" s="196" t="s">
        <v>374</v>
      </c>
      <c r="CS76" s="193">
        <v>800</v>
      </c>
      <c r="CT76" s="193">
        <v>4</v>
      </c>
      <c r="CU76" s="194">
        <v>2806</v>
      </c>
      <c r="CV76" s="196" t="s">
        <v>374</v>
      </c>
      <c r="CW76" s="194">
        <v>4488</v>
      </c>
      <c r="CX76" s="196" t="s">
        <v>374</v>
      </c>
      <c r="CY76" s="193">
        <v>0</v>
      </c>
      <c r="CZ76" s="193" t="s">
        <v>163</v>
      </c>
      <c r="DA76" s="193" t="s">
        <v>163</v>
      </c>
      <c r="DB76" s="193" t="s">
        <v>163</v>
      </c>
      <c r="DC76" s="193">
        <v>96</v>
      </c>
      <c r="DD76" s="193"/>
      <c r="DE76" s="194">
        <v>6220</v>
      </c>
      <c r="DF76" s="193" t="s">
        <v>163</v>
      </c>
      <c r="DG76" s="193"/>
      <c r="DH76" s="193" t="s">
        <v>163</v>
      </c>
      <c r="DI76" s="193"/>
      <c r="DJ76" s="193" t="s">
        <v>163</v>
      </c>
      <c r="DK76" s="193"/>
      <c r="DL76" s="202">
        <v>2020</v>
      </c>
      <c r="DM76" s="202">
        <v>0</v>
      </c>
      <c r="DN76" s="202">
        <v>105</v>
      </c>
      <c r="DO76" s="202">
        <v>60</v>
      </c>
      <c r="DP76" s="202">
        <v>0</v>
      </c>
      <c r="DQ76" s="202">
        <v>18</v>
      </c>
      <c r="DR76" s="202">
        <v>78</v>
      </c>
      <c r="DS76" s="202">
        <v>0</v>
      </c>
      <c r="DT76" s="202">
        <v>839</v>
      </c>
      <c r="DU76" s="202" t="s">
        <v>163</v>
      </c>
      <c r="DV76" s="202">
        <v>0</v>
      </c>
      <c r="DW76" s="203">
        <v>1393</v>
      </c>
      <c r="DX76" s="202">
        <v>214</v>
      </c>
      <c r="DY76" s="202">
        <v>0</v>
      </c>
      <c r="DZ76" s="202" t="s">
        <v>163</v>
      </c>
      <c r="EA76" s="138"/>
    </row>
    <row r="77" spans="4:131" ht="17.25" customHeight="1">
      <c r="D77" s="56">
        <f t="shared" si="0"/>
        <v>0.31297709923664124</v>
      </c>
      <c r="G77" s="159">
        <f t="shared" si="1"/>
        <v>393</v>
      </c>
      <c r="H77" s="167">
        <v>2021</v>
      </c>
      <c r="I77" s="167">
        <v>0</v>
      </c>
      <c r="J77" s="167">
        <v>281</v>
      </c>
      <c r="K77" s="168">
        <v>26073</v>
      </c>
      <c r="L77" s="168">
        <v>3351</v>
      </c>
      <c r="M77" s="168">
        <v>7643</v>
      </c>
      <c r="N77" s="167"/>
      <c r="O77" s="168">
        <v>58366</v>
      </c>
      <c r="P77" s="167">
        <v>255</v>
      </c>
      <c r="Q77" s="168">
        <v>3498</v>
      </c>
      <c r="R77" s="167"/>
      <c r="S77" s="168">
        <v>99187</v>
      </c>
      <c r="T77" s="167"/>
      <c r="U77" s="167">
        <v>6</v>
      </c>
      <c r="V77" s="167" t="s">
        <v>163</v>
      </c>
      <c r="W77" s="167" t="s">
        <v>163</v>
      </c>
      <c r="X77" s="167" t="s">
        <v>163</v>
      </c>
      <c r="Y77" s="167" t="s">
        <v>163</v>
      </c>
      <c r="Z77" s="167"/>
      <c r="AA77" s="168">
        <v>50798</v>
      </c>
      <c r="AB77" s="167" t="s">
        <v>163</v>
      </c>
      <c r="AC77" s="167"/>
      <c r="AD77" s="167" t="s">
        <v>163</v>
      </c>
      <c r="AE77" s="167"/>
      <c r="AF77" s="167" t="s">
        <v>163</v>
      </c>
      <c r="AG77" s="167"/>
      <c r="AH77" s="175">
        <v>2021</v>
      </c>
      <c r="AI77" s="175">
        <v>0</v>
      </c>
      <c r="AJ77" s="175">
        <v>123</v>
      </c>
      <c r="AK77" s="176">
        <v>12437</v>
      </c>
      <c r="AL77" s="176">
        <v>2105</v>
      </c>
      <c r="AM77" s="175">
        <v>37</v>
      </c>
      <c r="AN77" s="176">
        <v>14579</v>
      </c>
      <c r="AO77" s="175" t="s">
        <v>163</v>
      </c>
      <c r="AP77" s="175" t="s">
        <v>163</v>
      </c>
      <c r="AQ77" s="175" t="s">
        <v>163</v>
      </c>
      <c r="AR77" s="176">
        <v>20305</v>
      </c>
      <c r="AS77" s="175" t="s">
        <v>163</v>
      </c>
      <c r="AT77" s="175" t="s">
        <v>163</v>
      </c>
      <c r="AU77" s="175"/>
      <c r="AV77" s="175" t="s">
        <v>163</v>
      </c>
      <c r="AW77" s="175"/>
      <c r="AX77" s="175">
        <v>2021</v>
      </c>
      <c r="AY77" s="175">
        <v>0</v>
      </c>
      <c r="AZ77" s="175">
        <v>103</v>
      </c>
      <c r="BA77" s="176">
        <v>2356</v>
      </c>
      <c r="BB77" s="176">
        <v>1041</v>
      </c>
      <c r="BC77" s="175">
        <v>10</v>
      </c>
      <c r="BD77" s="176">
        <v>1445</v>
      </c>
      <c r="BE77" s="175">
        <v>19</v>
      </c>
      <c r="BF77" s="176">
        <v>4872</v>
      </c>
      <c r="BG77" s="175">
        <v>6</v>
      </c>
      <c r="BH77" s="175" t="s">
        <v>163</v>
      </c>
      <c r="BI77" s="175" t="s">
        <v>163</v>
      </c>
      <c r="BJ77" s="176">
        <v>1572</v>
      </c>
      <c r="BK77" s="175"/>
      <c r="BL77" s="176">
        <v>23832</v>
      </c>
      <c r="BM77" s="175" t="s">
        <v>163</v>
      </c>
      <c r="BN77" s="175"/>
      <c r="BO77" s="175" t="s">
        <v>163</v>
      </c>
      <c r="BP77" s="175"/>
      <c r="BQ77" s="175" t="s">
        <v>163</v>
      </c>
      <c r="BR77" s="175"/>
      <c r="BS77" s="185">
        <v>2021</v>
      </c>
      <c r="BT77" s="185">
        <v>0</v>
      </c>
      <c r="BU77" s="185">
        <v>7</v>
      </c>
      <c r="BV77" s="185">
        <v>71</v>
      </c>
      <c r="BW77" s="186">
        <v>10427</v>
      </c>
      <c r="BX77" s="185">
        <v>21</v>
      </c>
      <c r="BY77" s="185"/>
      <c r="BZ77" s="186">
        <v>7643</v>
      </c>
      <c r="CA77" s="185"/>
      <c r="CB77" s="185">
        <v>264</v>
      </c>
      <c r="CC77" s="186">
        <v>56126</v>
      </c>
      <c r="CD77" s="185">
        <v>218</v>
      </c>
      <c r="CE77" s="186">
        <v>74922</v>
      </c>
      <c r="CF77" s="185"/>
      <c r="CG77" s="185">
        <v>315</v>
      </c>
      <c r="CH77" s="185" t="s">
        <v>163</v>
      </c>
      <c r="CI77" s="185"/>
      <c r="CJ77" s="185" t="s">
        <v>163</v>
      </c>
      <c r="CK77" s="185" t="s">
        <v>163</v>
      </c>
      <c r="CL77" s="185"/>
      <c r="CM77" s="193">
        <v>2021</v>
      </c>
      <c r="CN77" s="193">
        <v>0</v>
      </c>
      <c r="CO77" s="193">
        <v>48</v>
      </c>
      <c r="CP77" s="193">
        <v>854</v>
      </c>
      <c r="CQ77" s="193">
        <v>185</v>
      </c>
      <c r="CR77" s="193"/>
      <c r="CS77" s="193">
        <v>795</v>
      </c>
      <c r="CT77" s="193">
        <v>18</v>
      </c>
      <c r="CU77" s="194">
        <v>2963</v>
      </c>
      <c r="CV77" s="193"/>
      <c r="CW77" s="194">
        <v>4814</v>
      </c>
      <c r="CX77" s="193"/>
      <c r="CY77" s="193">
        <v>0</v>
      </c>
      <c r="CZ77" s="193" t="s">
        <v>163</v>
      </c>
      <c r="DA77" s="193" t="s">
        <v>163</v>
      </c>
      <c r="DB77" s="193" t="s">
        <v>163</v>
      </c>
      <c r="DC77" s="193">
        <v>100</v>
      </c>
      <c r="DD77" s="193"/>
      <c r="DE77" s="194">
        <v>6346</v>
      </c>
      <c r="DF77" s="193" t="s">
        <v>163</v>
      </c>
      <c r="DG77" s="193"/>
      <c r="DH77" s="193" t="s">
        <v>163</v>
      </c>
      <c r="DI77" s="193"/>
      <c r="DJ77" s="193" t="s">
        <v>163</v>
      </c>
      <c r="DK77" s="193"/>
      <c r="DL77" s="202">
        <v>2021</v>
      </c>
      <c r="DM77" s="202">
        <v>0</v>
      </c>
      <c r="DN77" s="202">
        <v>112</v>
      </c>
      <c r="DO77" s="202">
        <v>64</v>
      </c>
      <c r="DP77" s="202">
        <v>0</v>
      </c>
      <c r="DQ77" s="202">
        <v>80</v>
      </c>
      <c r="DR77" s="202">
        <v>144</v>
      </c>
      <c r="DS77" s="202">
        <v>0</v>
      </c>
      <c r="DT77" s="203">
        <v>1112</v>
      </c>
      <c r="DU77" s="202" t="s">
        <v>163</v>
      </c>
      <c r="DV77" s="202">
        <v>0</v>
      </c>
      <c r="DW77" s="203">
        <v>1576</v>
      </c>
      <c r="DX77" s="202">
        <v>186</v>
      </c>
      <c r="DY77" s="202">
        <v>0</v>
      </c>
      <c r="DZ77" s="202" t="s">
        <v>163</v>
      </c>
      <c r="EA77" s="138"/>
    </row>
    <row r="78" spans="4:131" ht="17.25" customHeight="1">
      <c r="D78"/>
      <c r="E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row>
    <row r="79" spans="4:131" ht="17.25" customHeight="1">
      <c r="D79"/>
      <c r="E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row>
    <row r="80" spans="4:131" ht="17.25" customHeight="1">
      <c r="D80"/>
      <c r="E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row>
    <row r="81" spans="4:130" ht="17.25" customHeight="1">
      <c r="D81"/>
      <c r="E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row>
    <row r="82" spans="4:130" ht="17.25" customHeight="1">
      <c r="D82"/>
      <c r="E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row>
    <row r="83" spans="4:130" ht="17.25" customHeight="1">
      <c r="D83"/>
      <c r="E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row>
    <row r="84" spans="4:130" ht="17.25" customHeight="1">
      <c r="D84"/>
      <c r="E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row>
    <row r="85" spans="4:130" ht="17.25" customHeight="1">
      <c r="D85"/>
      <c r="E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row>
    <row r="86" spans="4:130" ht="17.25" customHeight="1">
      <c r="D86"/>
      <c r="E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row>
    <row r="87" spans="4:130" ht="17.25" customHeight="1">
      <c r="D87"/>
      <c r="E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row>
    <row r="88" spans="4:130" ht="17.25" customHeight="1">
      <c r="D88"/>
      <c r="E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row>
    <row r="89" spans="4:130" ht="17.25" customHeight="1">
      <c r="D89"/>
      <c r="E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row>
    <row r="90" spans="4:130" ht="17.25" customHeight="1">
      <c r="D90"/>
      <c r="E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row>
    <row r="91" spans="4:130" ht="17.25" customHeight="1">
      <c r="D91"/>
      <c r="E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row>
    <row r="92" spans="4:130" ht="17.25" customHeight="1">
      <c r="D92"/>
      <c r="E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row>
    <row r="93" spans="4:130" ht="17.25" customHeight="1">
      <c r="D93"/>
      <c r="E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row>
    <row r="94" spans="4:130" ht="17.25" customHeight="1">
      <c r="D94"/>
      <c r="E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row>
    <row r="95" spans="4:130" ht="17.25" customHeight="1">
      <c r="D95"/>
      <c r="E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row>
    <row r="96" spans="4:130" ht="17.25" customHeight="1">
      <c r="D96"/>
      <c r="E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row>
    <row r="97" spans="4:130" ht="17.25" customHeight="1">
      <c r="D97"/>
      <c r="E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row>
    <row r="98" spans="4:130" ht="17.25" customHeight="1">
      <c r="D98"/>
      <c r="E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row>
    <row r="99" spans="4:130" ht="17.25" customHeight="1">
      <c r="D99"/>
      <c r="E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row>
    <row r="100" spans="4:130" ht="17.25" customHeight="1">
      <c r="D100"/>
      <c r="E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row>
    <row r="101" spans="4:130" ht="17.25" customHeight="1">
      <c r="D101"/>
      <c r="E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row>
    <row r="102" spans="4:130" ht="17.25" customHeight="1">
      <c r="D102"/>
      <c r="E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row>
    <row r="103" spans="4:130" ht="17.25" customHeight="1">
      <c r="D103"/>
      <c r="E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row>
    <row r="104" spans="4:130" ht="17.25" customHeight="1">
      <c r="D104"/>
      <c r="E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row>
    <row r="105" spans="4:130" ht="17.25" customHeight="1">
      <c r="D105"/>
      <c r="E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row>
    <row r="106" spans="4:130" ht="17.25" customHeight="1">
      <c r="D106"/>
      <c r="E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row>
    <row r="107" spans="4:130" ht="17.25" customHeight="1">
      <c r="D107"/>
      <c r="E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row>
    <row r="108" spans="4:130" ht="17.25" customHeight="1">
      <c r="D108"/>
      <c r="E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row>
    <row r="109" spans="4:130" ht="17.25" customHeight="1">
      <c r="D109"/>
      <c r="E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row>
    <row r="110" spans="4:130" ht="17.25" customHeight="1">
      <c r="D110"/>
      <c r="E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row>
    <row r="111" spans="4:130" ht="17.25" customHeight="1">
      <c r="D111"/>
      <c r="E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row>
    <row r="112" spans="4:130" ht="17.25" customHeight="1">
      <c r="D112"/>
      <c r="E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row>
    <row r="113" spans="4:130" ht="17.25" customHeight="1">
      <c r="D113"/>
      <c r="E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row>
    <row r="114" spans="4:130" ht="17.25" customHeight="1">
      <c r="D114"/>
      <c r="E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row>
    <row r="115" spans="4:130" ht="17.25" customHeight="1">
      <c r="D115"/>
      <c r="E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row>
    <row r="116" spans="4:130" ht="17.25" customHeight="1">
      <c r="D116"/>
      <c r="E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row>
    <row r="117" spans="4:130" ht="17.25" customHeight="1">
      <c r="D117"/>
      <c r="E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row>
    <row r="118" spans="4:130" ht="17.25" customHeight="1">
      <c r="D118"/>
      <c r="E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row>
    <row r="119" spans="4:130" ht="17.25" customHeight="1">
      <c r="D119"/>
      <c r="E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row>
    <row r="120" spans="4:130" ht="17.25" customHeight="1">
      <c r="D120"/>
      <c r="E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row>
    <row r="121" spans="4:130" ht="17.25" customHeight="1">
      <c r="D121"/>
      <c r="E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row>
    <row r="122" spans="4:130" ht="17.25" customHeight="1">
      <c r="D122"/>
      <c r="E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row>
    <row r="123" spans="4:130" ht="17.25" customHeight="1">
      <c r="D123"/>
      <c r="E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row>
    <row r="124" spans="4:130" ht="17.25" customHeight="1">
      <c r="D124"/>
      <c r="E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row>
    <row r="125" spans="4:130" ht="17.25" customHeight="1">
      <c r="D125"/>
      <c r="E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row>
    <row r="126" spans="4:130" ht="17.25" customHeight="1">
      <c r="D126"/>
      <c r="E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row>
    <row r="127" spans="4:130" ht="17.25" customHeight="1">
      <c r="D127"/>
      <c r="E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row>
    <row r="128" spans="4:130" ht="17.25" customHeight="1">
      <c r="D128"/>
      <c r="E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row>
    <row r="129" spans="4:130" ht="17.25" customHeight="1">
      <c r="D129"/>
      <c r="E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row>
    <row r="130" spans="4:130" ht="17.25" customHeight="1">
      <c r="D130"/>
      <c r="E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row>
    <row r="131" spans="4:130" ht="17.25" customHeight="1">
      <c r="D131"/>
      <c r="E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row>
    <row r="132" spans="4:130" ht="17.25" customHeight="1">
      <c r="D132"/>
      <c r="E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row>
    <row r="133" spans="4:130" ht="17.25" customHeight="1">
      <c r="D133"/>
      <c r="E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row>
    <row r="134" spans="4:130" ht="17.25" customHeight="1">
      <c r="D134"/>
      <c r="E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row>
    <row r="135" spans="4:130" ht="17.25" customHeight="1">
      <c r="D135"/>
      <c r="E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row>
    <row r="136" spans="4:130" ht="17.25" customHeight="1">
      <c r="D136"/>
      <c r="E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row>
    <row r="137" spans="4:130" ht="17.25" customHeight="1">
      <c r="D137"/>
      <c r="E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row>
    <row r="138" spans="4:130" ht="17.25" customHeight="1">
      <c r="D138"/>
      <c r="E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row>
    <row r="139" spans="4:130" ht="17.25" customHeight="1">
      <c r="D139"/>
      <c r="E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row>
    <row r="140" spans="4:130" ht="17.25" customHeight="1">
      <c r="D140"/>
      <c r="E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row>
  </sheetData>
  <mergeCells count="154">
    <mergeCell ref="A2:E5"/>
    <mergeCell ref="AT14:AU14"/>
    <mergeCell ref="AT15:AU15"/>
    <mergeCell ref="AV7:AW15"/>
    <mergeCell ref="AL12:AL13"/>
    <mergeCell ref="AM12:AM13"/>
    <mergeCell ref="AN12:AN13"/>
    <mergeCell ref="AO12:AO15"/>
    <mergeCell ref="AK14:AN15"/>
    <mergeCell ref="AR7:AR13"/>
    <mergeCell ref="AT7:AU7"/>
    <mergeCell ref="AT8:AU8"/>
    <mergeCell ref="AT9:AU9"/>
    <mergeCell ref="AT10:AU10"/>
    <mergeCell ref="AT11:AU11"/>
    <mergeCell ref="AT12:AU12"/>
    <mergeCell ref="AT13:AU13"/>
    <mergeCell ref="AH7:AH15"/>
    <mergeCell ref="AI7:AI13"/>
    <mergeCell ref="AK7:AN11"/>
    <mergeCell ref="AO7:AO11"/>
    <mergeCell ref="AP7:AP15"/>
    <mergeCell ref="AQ7:AQ15"/>
    <mergeCell ref="DV7:DV13"/>
    <mergeCell ref="DW7:DW13"/>
    <mergeCell ref="DX7:DX13"/>
    <mergeCell ref="DZ7:EA15"/>
    <mergeCell ref="DR10:DR13"/>
    <mergeCell ref="DO14:DR15"/>
    <mergeCell ref="DS14:DT15"/>
    <mergeCell ref="DV14:DY15"/>
    <mergeCell ref="DC15:DE15"/>
    <mergeCell ref="DL7:DL15"/>
    <mergeCell ref="DM7:DM13"/>
    <mergeCell ref="DO7:DR9"/>
    <mergeCell ref="DU7:DU9"/>
    <mergeCell ref="DH12:DI12"/>
    <mergeCell ref="DH13:DI13"/>
    <mergeCell ref="DH14:DI14"/>
    <mergeCell ref="DH15:DI15"/>
    <mergeCell ref="DJ5:DK15"/>
    <mergeCell ref="CQ10:CR13"/>
    <mergeCell ref="CU10:CV13"/>
    <mergeCell ref="CW10:CX13"/>
    <mergeCell ref="CP14:CX15"/>
    <mergeCell ref="DC14:DE14"/>
    <mergeCell ref="DF13:DG13"/>
    <mergeCell ref="DF14:DG14"/>
    <mergeCell ref="DF15:DG15"/>
    <mergeCell ref="DH5:DI5"/>
    <mergeCell ref="DH6:DI6"/>
    <mergeCell ref="DH7:DI7"/>
    <mergeCell ref="DH8:DI8"/>
    <mergeCell ref="DH9:DI9"/>
    <mergeCell ref="DH10:DI10"/>
    <mergeCell ref="DH11:DI11"/>
    <mergeCell ref="DC5:DD13"/>
    <mergeCell ref="DE5:DE13"/>
    <mergeCell ref="DF5:DG5"/>
    <mergeCell ref="DF6:DG6"/>
    <mergeCell ref="DF7:DG7"/>
    <mergeCell ref="DF8:DG8"/>
    <mergeCell ref="DF9:DG9"/>
    <mergeCell ref="DF10:DG10"/>
    <mergeCell ref="DF11:DG11"/>
    <mergeCell ref="DF12:DG12"/>
    <mergeCell ref="BV14:CF15"/>
    <mergeCell ref="CM5:CM15"/>
    <mergeCell ref="CN5:CN13"/>
    <mergeCell ref="CP5:CX9"/>
    <mergeCell ref="CZ5:DA9"/>
    <mergeCell ref="CH12:CI12"/>
    <mergeCell ref="CH13:CI13"/>
    <mergeCell ref="CH14:CI14"/>
    <mergeCell ref="CH15:CI15"/>
    <mergeCell ref="CK7:CL15"/>
    <mergeCell ref="BX12:BY13"/>
    <mergeCell ref="BZ12:CA12"/>
    <mergeCell ref="BZ13:CA13"/>
    <mergeCell ref="CB12:CB13"/>
    <mergeCell ref="CE12:CF13"/>
    <mergeCell ref="BS7:BS15"/>
    <mergeCell ref="BT7:BT13"/>
    <mergeCell ref="BV7:CF11"/>
    <mergeCell ref="CG7:CG13"/>
    <mergeCell ref="CH7:CI7"/>
    <mergeCell ref="CH8:CI8"/>
    <mergeCell ref="CH9:CI9"/>
    <mergeCell ref="CH10:CI10"/>
    <mergeCell ref="CH11:CI11"/>
    <mergeCell ref="BO13:BP13"/>
    <mergeCell ref="BO14:BP14"/>
    <mergeCell ref="BO15:BP15"/>
    <mergeCell ref="BQ5:BR15"/>
    <mergeCell ref="BB10:BB13"/>
    <mergeCell ref="BC10:BC13"/>
    <mergeCell ref="BF10:BF13"/>
    <mergeCell ref="BA14:BF15"/>
    <mergeCell ref="BJ14:BL14"/>
    <mergeCell ref="BJ15:BL15"/>
    <mergeCell ref="BM14:BN14"/>
    <mergeCell ref="BM15:BN15"/>
    <mergeCell ref="BO5:BP5"/>
    <mergeCell ref="BO6:BP6"/>
    <mergeCell ref="BO7:BP7"/>
    <mergeCell ref="BO8:BP8"/>
    <mergeCell ref="BO9:BP9"/>
    <mergeCell ref="BO10:BP10"/>
    <mergeCell ref="BO11:BP11"/>
    <mergeCell ref="BO12:BP12"/>
    <mergeCell ref="BL5:BL13"/>
    <mergeCell ref="BM5:BN5"/>
    <mergeCell ref="BM6:BN6"/>
    <mergeCell ref="BM7:BN7"/>
    <mergeCell ref="BM8:BN8"/>
    <mergeCell ref="BM9:BN9"/>
    <mergeCell ref="BM10:BN10"/>
    <mergeCell ref="BM11:BN11"/>
    <mergeCell ref="BM12:BN12"/>
    <mergeCell ref="BM13:BN13"/>
    <mergeCell ref="AX5:AX15"/>
    <mergeCell ref="AY5:AY13"/>
    <mergeCell ref="BA5:BF9"/>
    <mergeCell ref="BH5:BH9"/>
    <mergeCell ref="BI5:BI15"/>
    <mergeCell ref="BJ5:BK13"/>
    <mergeCell ref="AD13:AE13"/>
    <mergeCell ref="AD14:AE14"/>
    <mergeCell ref="AD15:AE15"/>
    <mergeCell ref="AF4:AG15"/>
    <mergeCell ref="L9:L12"/>
    <mergeCell ref="M9:N9"/>
    <mergeCell ref="M10:N10"/>
    <mergeCell ref="M11:N11"/>
    <mergeCell ref="M12:N12"/>
    <mergeCell ref="Q9:R12"/>
    <mergeCell ref="AB4:AC15"/>
    <mergeCell ref="AD4:AE4"/>
    <mergeCell ref="AD5:AE5"/>
    <mergeCell ref="AD6:AE6"/>
    <mergeCell ref="AD7:AE7"/>
    <mergeCell ref="AD8:AE8"/>
    <mergeCell ref="AD9:AE9"/>
    <mergeCell ref="AD10:AE10"/>
    <mergeCell ref="AD11:AE11"/>
    <mergeCell ref="AD12:AE12"/>
    <mergeCell ref="H4:H15"/>
    <mergeCell ref="I4:I12"/>
    <mergeCell ref="K4:T8"/>
    <mergeCell ref="V4:W8"/>
    <mergeCell ref="Y4:Z15"/>
    <mergeCell ref="AA4:AA12"/>
    <mergeCell ref="S9:T12"/>
    <mergeCell ref="K13:T15"/>
  </mergeCells>
  <hyperlinks>
    <hyperlink ref="AH2" r:id="rId1" xr:uid="{299798E9-3483-4380-96AE-CC9884DA6B5A}"/>
    <hyperlink ref="DL2" r:id="rId2" xr:uid="{B51C2250-CBC0-4D62-8249-17EBB95EBAF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121BF-6B98-406B-B9BA-28B90AD8FE6F}">
  <dimension ref="A1:X17"/>
  <sheetViews>
    <sheetView workbookViewId="0">
      <selection activeCell="M51" sqref="M51"/>
    </sheetView>
  </sheetViews>
  <sheetFormatPr defaultRowHeight="15"/>
  <sheetData>
    <row r="1" spans="1:24">
      <c r="A1" s="6" t="s">
        <v>321</v>
      </c>
    </row>
    <row r="2" spans="1:24">
      <c r="B2" t="s">
        <v>452</v>
      </c>
    </row>
    <row r="3" spans="1:24" s="158" customFormat="1">
      <c r="A3" s="221" t="s">
        <v>450</v>
      </c>
      <c r="B3" s="221"/>
      <c r="C3" s="221"/>
      <c r="D3" s="221"/>
      <c r="E3" s="221"/>
      <c r="F3" s="221"/>
      <c r="G3" s="221"/>
      <c r="H3" s="221"/>
      <c r="J3" s="158" t="s">
        <v>455</v>
      </c>
      <c r="R3" s="158" t="s">
        <v>456</v>
      </c>
    </row>
    <row r="4" spans="1:24">
      <c r="A4" s="221"/>
      <c r="B4" s="221" t="s">
        <v>10</v>
      </c>
      <c r="C4" s="221" t="s">
        <v>453</v>
      </c>
      <c r="D4" s="221" t="s">
        <v>238</v>
      </c>
      <c r="E4" s="221" t="s">
        <v>159</v>
      </c>
      <c r="F4" s="221" t="s">
        <v>5</v>
      </c>
      <c r="G4" s="221" t="s">
        <v>90</v>
      </c>
      <c r="H4" s="221" t="s">
        <v>451</v>
      </c>
      <c r="J4" s="221" t="s">
        <v>10</v>
      </c>
      <c r="K4" s="221" t="s">
        <v>453</v>
      </c>
      <c r="L4" s="221" t="s">
        <v>238</v>
      </c>
      <c r="M4" s="221" t="s">
        <v>159</v>
      </c>
      <c r="N4" s="221" t="s">
        <v>5</v>
      </c>
      <c r="O4" s="221" t="s">
        <v>90</v>
      </c>
      <c r="P4" s="221" t="s">
        <v>451</v>
      </c>
      <c r="R4" s="221" t="s">
        <v>10</v>
      </c>
      <c r="S4" s="221" t="s">
        <v>453</v>
      </c>
      <c r="T4" s="221" t="s">
        <v>238</v>
      </c>
      <c r="U4" s="221" t="s">
        <v>159</v>
      </c>
      <c r="V4" s="221" t="s">
        <v>5</v>
      </c>
      <c r="W4" s="221" t="s">
        <v>90</v>
      </c>
      <c r="X4" s="221" t="s">
        <v>451</v>
      </c>
    </row>
    <row r="5" spans="1:24">
      <c r="A5" s="221">
        <v>1976</v>
      </c>
      <c r="B5" s="221">
        <v>395.4</v>
      </c>
      <c r="C5" s="221">
        <v>242.5</v>
      </c>
      <c r="D5" s="221">
        <v>100.8</v>
      </c>
      <c r="E5" s="221">
        <v>1.2</v>
      </c>
      <c r="F5" s="221">
        <v>40</v>
      </c>
      <c r="G5" s="221">
        <v>10.9</v>
      </c>
      <c r="H5" s="221">
        <f>SUM(C5:G5)-B5</f>
        <v>0</v>
      </c>
      <c r="J5" s="221">
        <f>+'EIA Energy Use '!N21</f>
        <v>391.4</v>
      </c>
      <c r="K5" s="221">
        <f>+'EIA Energy Use '!G21</f>
        <v>245.9</v>
      </c>
      <c r="L5" s="221">
        <f>+'EIA Energy Use '!C21</f>
        <v>95.7</v>
      </c>
      <c r="M5" s="221">
        <f>+'EIA Energy Use '!B21</f>
        <v>0.6</v>
      </c>
      <c r="N5" s="221">
        <f>+'EIA Energy Use '!M21</f>
        <v>38.299999999999997</v>
      </c>
      <c r="O5" s="221">
        <f>+'EIA Energy Use '!I21</f>
        <v>10.9</v>
      </c>
      <c r="P5" s="221">
        <f>SUM(K5:O5)-J5</f>
        <v>0</v>
      </c>
      <c r="R5" s="221">
        <f>B5-J5</f>
        <v>4</v>
      </c>
      <c r="S5" s="221">
        <f t="shared" ref="S5:S13" si="0">C5-K5</f>
        <v>-3.4000000000000057</v>
      </c>
      <c r="T5" s="221">
        <f t="shared" ref="T5:T13" si="1">D5-L5</f>
        <v>5.0999999999999943</v>
      </c>
      <c r="U5" s="221">
        <f t="shared" ref="U5:U13" si="2">E5-M5</f>
        <v>0.6</v>
      </c>
      <c r="V5" s="221">
        <f t="shared" ref="V5:V13" si="3">F5-N5</f>
        <v>1.7000000000000028</v>
      </c>
      <c r="W5" s="221">
        <f t="shared" ref="W5:W13" si="4">G5-O5</f>
        <v>0</v>
      </c>
      <c r="X5" s="221">
        <f t="shared" ref="X5:X13" si="5">H5-P5</f>
        <v>0</v>
      </c>
    </row>
    <row r="6" spans="1:24">
      <c r="A6" s="221">
        <f>+A5+1</f>
        <v>1977</v>
      </c>
      <c r="B6" s="221">
        <v>388.3</v>
      </c>
      <c r="C6" s="221">
        <v>236.2</v>
      </c>
      <c r="D6" s="221">
        <v>99.3</v>
      </c>
      <c r="E6" s="221">
        <v>1.2</v>
      </c>
      <c r="F6" s="221">
        <v>39.6</v>
      </c>
      <c r="G6" s="221">
        <v>12</v>
      </c>
      <c r="H6" s="221">
        <f t="shared" ref="H6:H13" si="6">SUM(C6:G6)-B6</f>
        <v>0</v>
      </c>
      <c r="J6" s="221">
        <f>+'EIA Energy Use '!N22</f>
        <v>384.3</v>
      </c>
      <c r="K6" s="221">
        <f>+'EIA Energy Use '!G22</f>
        <v>240</v>
      </c>
      <c r="L6" s="221">
        <f>+'EIA Energy Use '!C22</f>
        <v>93.9</v>
      </c>
      <c r="M6" s="221">
        <f>+'EIA Energy Use '!B22</f>
        <v>0.6</v>
      </c>
      <c r="N6" s="221">
        <f>+'EIA Energy Use '!M22</f>
        <v>37.799999999999997</v>
      </c>
      <c r="O6" s="221">
        <f>+'EIA Energy Use '!I22</f>
        <v>12</v>
      </c>
      <c r="P6" s="221">
        <f t="shared" ref="P6:P13" si="7">SUM(K6:O6)-J6</f>
        <v>0</v>
      </c>
      <c r="R6" s="221">
        <f t="shared" ref="R6:R13" si="8">B6-J6</f>
        <v>4</v>
      </c>
      <c r="S6" s="221">
        <f t="shared" si="0"/>
        <v>-3.8000000000000114</v>
      </c>
      <c r="T6" s="221">
        <f t="shared" si="1"/>
        <v>5.3999999999999915</v>
      </c>
      <c r="U6" s="221">
        <f t="shared" si="2"/>
        <v>0.6</v>
      </c>
      <c r="V6" s="221">
        <f t="shared" si="3"/>
        <v>1.8000000000000043</v>
      </c>
      <c r="W6" s="221">
        <f t="shared" si="4"/>
        <v>0</v>
      </c>
      <c r="X6" s="221">
        <f t="shared" si="5"/>
        <v>0</v>
      </c>
    </row>
    <row r="7" spans="1:24">
      <c r="A7" s="221">
        <f>+A6+1</f>
        <v>1978</v>
      </c>
      <c r="B7" s="221">
        <v>372.2</v>
      </c>
      <c r="C7" s="221">
        <v>224.6</v>
      </c>
      <c r="D7" s="221">
        <v>92.2</v>
      </c>
      <c r="E7" s="221">
        <v>0.9</v>
      </c>
      <c r="F7" s="221">
        <v>40.1</v>
      </c>
      <c r="G7" s="221">
        <v>14.4</v>
      </c>
      <c r="H7" s="221">
        <f t="shared" si="6"/>
        <v>0</v>
      </c>
      <c r="J7" s="221">
        <f>+'EIA Energy Use '!N23</f>
        <v>368.9</v>
      </c>
      <c r="K7" s="221">
        <f>+'EIA Energy Use '!G23</f>
        <v>228.2</v>
      </c>
      <c r="L7" s="221">
        <f>+'EIA Energy Use '!C23</f>
        <v>87.6</v>
      </c>
      <c r="M7" s="221">
        <f>+'EIA Energy Use '!B23</f>
        <v>0.4</v>
      </c>
      <c r="N7" s="221">
        <f>+'EIA Energy Use '!M23</f>
        <v>38.4</v>
      </c>
      <c r="O7" s="221">
        <f>+'EIA Energy Use '!I23</f>
        <v>14.4</v>
      </c>
      <c r="P7" s="221">
        <f t="shared" si="7"/>
        <v>9.9999999999909051E-2</v>
      </c>
      <c r="R7" s="221">
        <f t="shared" si="8"/>
        <v>3.3000000000000114</v>
      </c>
      <c r="S7" s="221">
        <f t="shared" si="0"/>
        <v>-3.5999999999999943</v>
      </c>
      <c r="T7" s="221">
        <f t="shared" si="1"/>
        <v>4.6000000000000085</v>
      </c>
      <c r="U7" s="221">
        <f t="shared" si="2"/>
        <v>0.5</v>
      </c>
      <c r="V7" s="221">
        <f t="shared" si="3"/>
        <v>1.7000000000000028</v>
      </c>
      <c r="W7" s="221">
        <f t="shared" si="4"/>
        <v>0</v>
      </c>
      <c r="X7" s="221">
        <f t="shared" si="5"/>
        <v>-9.9999999999909051E-2</v>
      </c>
    </row>
    <row r="8" spans="1:24">
      <c r="A8" s="221">
        <f>+A7+1</f>
        <v>1979</v>
      </c>
      <c r="B8" s="221">
        <v>358.5</v>
      </c>
      <c r="C8" s="221">
        <v>216.2</v>
      </c>
      <c r="D8" s="221">
        <v>84.7</v>
      </c>
      <c r="E8" s="221">
        <v>0.8</v>
      </c>
      <c r="F8" s="221">
        <v>40.700000000000003</v>
      </c>
      <c r="G8" s="221">
        <v>16.2</v>
      </c>
      <c r="H8" s="221">
        <f t="shared" si="6"/>
        <v>9.9999999999965894E-2</v>
      </c>
      <c r="J8" s="221">
        <f>+'EIA Energy Use '!N24</f>
        <v>294.60000000000002</v>
      </c>
      <c r="K8" s="221">
        <f>+'EIA Energy Use '!G24</f>
        <v>157.6</v>
      </c>
      <c r="L8" s="221">
        <f>+'EIA Energy Use '!C24</f>
        <v>81.599999999999994</v>
      </c>
      <c r="M8" s="221">
        <f>+'EIA Energy Use '!B24</f>
        <v>0.3</v>
      </c>
      <c r="N8" s="221">
        <f>+'EIA Energy Use '!M24</f>
        <v>39</v>
      </c>
      <c r="O8" s="221">
        <f>+'EIA Energy Use '!I24</f>
        <v>16.2</v>
      </c>
      <c r="P8" s="221">
        <f t="shared" si="7"/>
        <v>9.9999999999965894E-2</v>
      </c>
      <c r="R8" s="221">
        <f t="shared" si="8"/>
        <v>63.899999999999977</v>
      </c>
      <c r="S8" s="222">
        <f t="shared" si="0"/>
        <v>58.599999999999994</v>
      </c>
      <c r="T8" s="221">
        <f t="shared" si="1"/>
        <v>3.1000000000000085</v>
      </c>
      <c r="U8" s="221">
        <f t="shared" si="2"/>
        <v>0.5</v>
      </c>
      <c r="V8" s="221">
        <f t="shared" si="3"/>
        <v>1.7000000000000028</v>
      </c>
      <c r="W8" s="221">
        <f t="shared" si="4"/>
        <v>0</v>
      </c>
      <c r="X8" s="221">
        <f t="shared" si="5"/>
        <v>0</v>
      </c>
    </row>
    <row r="9" spans="1:24">
      <c r="A9" s="221">
        <f>+A8+1</f>
        <v>1980</v>
      </c>
      <c r="B9" s="221">
        <v>346.8</v>
      </c>
      <c r="C9" s="221">
        <v>186.4</v>
      </c>
      <c r="D9" s="221">
        <v>99.2</v>
      </c>
      <c r="E9" s="221">
        <v>1.2</v>
      </c>
      <c r="F9" s="221">
        <v>40.9</v>
      </c>
      <c r="G9" s="221">
        <v>19.100000000000001</v>
      </c>
      <c r="H9" s="221">
        <f t="shared" si="6"/>
        <v>0</v>
      </c>
      <c r="J9" s="221">
        <f>+'EIA Energy Use '!N25</f>
        <v>306.10000000000002</v>
      </c>
      <c r="K9" s="221">
        <f>+'EIA Energy Use '!G25</f>
        <v>136.30000000000001</v>
      </c>
      <c r="L9" s="221">
        <f>+'EIA Energy Use '!C25</f>
        <v>96</v>
      </c>
      <c r="M9" s="221">
        <f>+'EIA Energy Use '!B25</f>
        <v>0.5</v>
      </c>
      <c r="N9" s="221">
        <f>+'EIA Energy Use '!M25</f>
        <v>39.5</v>
      </c>
      <c r="O9" s="221">
        <f>+'EIA Energy Use '!I25</f>
        <v>42</v>
      </c>
      <c r="P9" s="221">
        <f t="shared" si="7"/>
        <v>8.1999999999999886</v>
      </c>
      <c r="R9" s="221">
        <f t="shared" si="8"/>
        <v>40.699999999999989</v>
      </c>
      <c r="S9" s="222">
        <f t="shared" si="0"/>
        <v>50.099999999999994</v>
      </c>
      <c r="T9" s="221">
        <f t="shared" si="1"/>
        <v>3.2000000000000028</v>
      </c>
      <c r="U9" s="221">
        <f t="shared" si="2"/>
        <v>0.7</v>
      </c>
      <c r="V9" s="221">
        <f t="shared" si="3"/>
        <v>1.3999999999999986</v>
      </c>
      <c r="W9" s="222">
        <f t="shared" si="4"/>
        <v>-22.9</v>
      </c>
      <c r="X9" s="221">
        <f t="shared" si="5"/>
        <v>-8.1999999999999886</v>
      </c>
    </row>
    <row r="10" spans="1:24">
      <c r="A10" s="221">
        <f>+A9+1</f>
        <v>1981</v>
      </c>
      <c r="B10" s="221">
        <v>315.2</v>
      </c>
      <c r="C10" s="221">
        <v>152.80000000000001</v>
      </c>
      <c r="D10" s="221">
        <v>101.7</v>
      </c>
      <c r="E10" s="221">
        <v>1.7</v>
      </c>
      <c r="F10" s="221">
        <v>40.299999999999997</v>
      </c>
      <c r="G10" s="221">
        <v>18.7</v>
      </c>
      <c r="H10" s="221">
        <f t="shared" si="6"/>
        <v>0</v>
      </c>
      <c r="J10" s="221">
        <f>+'EIA Energy Use '!N26</f>
        <v>277.7</v>
      </c>
      <c r="K10" s="221">
        <f>+'EIA Energy Use '!G26</f>
        <v>112.3</v>
      </c>
      <c r="L10" s="221">
        <f>+'EIA Energy Use '!C26</f>
        <v>98.3</v>
      </c>
      <c r="M10" s="221">
        <f>+'EIA Energy Use '!B26</f>
        <v>0.6</v>
      </c>
      <c r="N10" s="221">
        <f>+'EIA Energy Use '!M26</f>
        <v>39.9</v>
      </c>
      <c r="O10" s="221">
        <f>+'EIA Energy Use '!I26</f>
        <v>38.4</v>
      </c>
      <c r="P10" s="221">
        <f t="shared" si="7"/>
        <v>11.800000000000011</v>
      </c>
      <c r="R10" s="221">
        <f t="shared" si="8"/>
        <v>37.5</v>
      </c>
      <c r="S10" s="222">
        <f t="shared" si="0"/>
        <v>40.500000000000014</v>
      </c>
      <c r="T10" s="221">
        <f t="shared" si="1"/>
        <v>3.4000000000000057</v>
      </c>
      <c r="U10" s="221">
        <f t="shared" si="2"/>
        <v>1.1000000000000001</v>
      </c>
      <c r="V10" s="221">
        <f t="shared" si="3"/>
        <v>0.39999999999999858</v>
      </c>
      <c r="W10" s="222">
        <f t="shared" si="4"/>
        <v>-19.7</v>
      </c>
      <c r="X10" s="221">
        <f t="shared" si="5"/>
        <v>-11.800000000000011</v>
      </c>
    </row>
    <row r="11" spans="1:24">
      <c r="A11" s="221">
        <f>+A10+1</f>
        <v>1982</v>
      </c>
      <c r="B11" s="221">
        <v>314.8</v>
      </c>
      <c r="C11" s="221">
        <v>150.5</v>
      </c>
      <c r="D11" s="221">
        <v>102.8</v>
      </c>
      <c r="E11" s="221">
        <v>1.9</v>
      </c>
      <c r="F11" s="221">
        <v>40.9</v>
      </c>
      <c r="G11" s="221">
        <v>18.7</v>
      </c>
      <c r="H11" s="221">
        <f t="shared" si="6"/>
        <v>0</v>
      </c>
      <c r="J11" s="221">
        <f>+'EIA Energy Use '!N27</f>
        <v>277.60000000000002</v>
      </c>
      <c r="K11" s="221">
        <f>+'EIA Energy Use '!G27</f>
        <v>110.5</v>
      </c>
      <c r="L11" s="221">
        <f>+'EIA Energy Use '!C27</f>
        <v>99.8</v>
      </c>
      <c r="M11" s="221">
        <f>+'EIA Energy Use '!B27</f>
        <v>0.6</v>
      </c>
      <c r="N11" s="221">
        <f>+'EIA Energy Use '!M27</f>
        <v>40.9</v>
      </c>
      <c r="O11" s="221">
        <f>+'EIA Energy Use '!I27</f>
        <v>34.799999999999997</v>
      </c>
      <c r="P11" s="221">
        <f t="shared" si="7"/>
        <v>9</v>
      </c>
      <c r="R11" s="221">
        <f t="shared" si="8"/>
        <v>37.199999999999989</v>
      </c>
      <c r="S11" s="222">
        <f t="shared" si="0"/>
        <v>40</v>
      </c>
      <c r="T11" s="221">
        <f t="shared" si="1"/>
        <v>3</v>
      </c>
      <c r="U11" s="221">
        <f t="shared" si="2"/>
        <v>1.2999999999999998</v>
      </c>
      <c r="V11" s="221">
        <f t="shared" si="3"/>
        <v>0</v>
      </c>
      <c r="W11" s="222">
        <f t="shared" si="4"/>
        <v>-16.099999999999998</v>
      </c>
      <c r="X11" s="221">
        <f t="shared" si="5"/>
        <v>-9</v>
      </c>
    </row>
    <row r="12" spans="1:24">
      <c r="A12" s="221">
        <f>+A11+1</f>
        <v>1983</v>
      </c>
      <c r="B12" s="221">
        <v>304.10000000000002</v>
      </c>
      <c r="C12" s="221">
        <v>143.5</v>
      </c>
      <c r="D12" s="221">
        <v>97.7</v>
      </c>
      <c r="E12" s="221">
        <v>1.7</v>
      </c>
      <c r="F12" s="221">
        <v>42.5</v>
      </c>
      <c r="G12" s="221">
        <v>18.7</v>
      </c>
      <c r="H12" s="221">
        <f t="shared" si="6"/>
        <v>0</v>
      </c>
      <c r="J12" s="221">
        <f>+'EIA Energy Use '!N28</f>
        <v>280</v>
      </c>
      <c r="K12" s="221">
        <f>+'EIA Energy Use '!G28</f>
        <v>106</v>
      </c>
      <c r="L12" s="221">
        <f>+'EIA Energy Use '!C28</f>
        <v>93.7</v>
      </c>
      <c r="M12" s="221">
        <f>+'EIA Energy Use '!B28</f>
        <v>0.5</v>
      </c>
      <c r="N12" s="221">
        <f>+'EIA Energy Use '!M28</f>
        <v>42.4</v>
      </c>
      <c r="O12" s="221">
        <f>+'EIA Energy Use '!I28</f>
        <v>42.6</v>
      </c>
      <c r="P12" s="221">
        <f t="shared" si="7"/>
        <v>5.1999999999999886</v>
      </c>
      <c r="R12" s="221">
        <f t="shared" si="8"/>
        <v>24.100000000000023</v>
      </c>
      <c r="S12" s="222">
        <f t="shared" si="0"/>
        <v>37.5</v>
      </c>
      <c r="T12" s="221">
        <f t="shared" si="1"/>
        <v>4</v>
      </c>
      <c r="U12" s="221">
        <f t="shared" si="2"/>
        <v>1.2</v>
      </c>
      <c r="V12" s="221">
        <f t="shared" si="3"/>
        <v>0.10000000000000142</v>
      </c>
      <c r="W12" s="222">
        <f t="shared" si="4"/>
        <v>-23.900000000000002</v>
      </c>
      <c r="X12" s="221">
        <f t="shared" si="5"/>
        <v>-5.1999999999999886</v>
      </c>
    </row>
    <row r="13" spans="1:24">
      <c r="A13" s="221">
        <f>+A12+1</f>
        <v>1984</v>
      </c>
      <c r="B13" s="221">
        <v>315.2</v>
      </c>
      <c r="C13" s="221">
        <v>146.6</v>
      </c>
      <c r="D13" s="221">
        <v>103</v>
      </c>
      <c r="E13" s="221">
        <v>2.5</v>
      </c>
      <c r="F13" s="221">
        <v>44.4</v>
      </c>
      <c r="G13" s="221">
        <v>18.7</v>
      </c>
      <c r="H13" s="221">
        <f t="shared" si="6"/>
        <v>0</v>
      </c>
      <c r="J13" s="221">
        <f>+'EIA Energy Use '!N29</f>
        <v>296</v>
      </c>
      <c r="K13" s="221">
        <f>+'EIA Energy Use '!G29</f>
        <v>127</v>
      </c>
      <c r="L13" s="221">
        <f>+'EIA Energy Use '!C29</f>
        <v>99.2</v>
      </c>
      <c r="M13" s="221">
        <f>+'EIA Energy Use '!B29</f>
        <v>1</v>
      </c>
      <c r="N13" s="221">
        <f>+'EIA Energy Use '!M29</f>
        <v>43.3</v>
      </c>
      <c r="O13" s="221">
        <f>+'EIA Energy Use '!I29</f>
        <v>28.5</v>
      </c>
      <c r="P13" s="221">
        <f t="shared" si="7"/>
        <v>3</v>
      </c>
      <c r="R13" s="221">
        <f t="shared" si="8"/>
        <v>19.199999999999989</v>
      </c>
      <c r="S13" s="222">
        <f t="shared" si="0"/>
        <v>19.599999999999994</v>
      </c>
      <c r="T13" s="221">
        <f t="shared" si="1"/>
        <v>3.7999999999999972</v>
      </c>
      <c r="U13" s="221">
        <f t="shared" si="2"/>
        <v>1.5</v>
      </c>
      <c r="V13" s="221">
        <f t="shared" si="3"/>
        <v>1.1000000000000014</v>
      </c>
      <c r="W13" s="222">
        <f t="shared" si="4"/>
        <v>-9.8000000000000007</v>
      </c>
      <c r="X13" s="221">
        <f t="shared" si="5"/>
        <v>-3</v>
      </c>
    </row>
    <row r="15" spans="1:24">
      <c r="B15" t="s">
        <v>454</v>
      </c>
    </row>
    <row r="17" spans="2:2">
      <c r="B17" s="61" t="s">
        <v>457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1B0A1-5B23-4984-97D7-F1176D24ADA3}">
  <dimension ref="A1:BN91"/>
  <sheetViews>
    <sheetView topLeftCell="I29" workbookViewId="0">
      <selection activeCell="AM74" sqref="AM74"/>
    </sheetView>
  </sheetViews>
  <sheetFormatPr defaultRowHeight="15"/>
  <cols>
    <col min="3" max="3" width="19.42578125" customWidth="1"/>
    <col min="4" max="4" width="13.140625" customWidth="1"/>
    <col min="8" max="8" width="14.5703125" style="158" customWidth="1"/>
    <col min="9" max="10" width="9.140625" style="158"/>
    <col min="13" max="13" width="14" customWidth="1"/>
    <col min="14" max="14" width="12" customWidth="1"/>
    <col min="15" max="15" width="16.42578125" customWidth="1"/>
    <col min="16" max="16" width="11.5703125" customWidth="1"/>
    <col min="17" max="17" width="9.5703125" bestFit="1" customWidth="1"/>
    <col min="18" max="18" width="12.5703125" customWidth="1"/>
  </cols>
  <sheetData>
    <row r="1" spans="1:66">
      <c r="A1" t="s">
        <v>180</v>
      </c>
    </row>
    <row r="2" spans="1:66">
      <c r="B2" t="s">
        <v>181</v>
      </c>
    </row>
    <row r="6" spans="1:66">
      <c r="B6" s="1"/>
      <c r="C6" s="2"/>
      <c r="D6" t="s">
        <v>182</v>
      </c>
      <c r="I6" s="158" t="s">
        <v>317</v>
      </c>
    </row>
    <row r="7" spans="1:66">
      <c r="B7" t="s">
        <v>183</v>
      </c>
      <c r="C7" t="s">
        <v>184</v>
      </c>
      <c r="D7" t="s">
        <v>10</v>
      </c>
      <c r="E7" t="s">
        <v>185</v>
      </c>
      <c r="F7" t="s">
        <v>186</v>
      </c>
      <c r="G7" t="s">
        <v>187</v>
      </c>
      <c r="I7" s="158" t="s">
        <v>10</v>
      </c>
      <c r="J7" s="158" t="s">
        <v>185</v>
      </c>
      <c r="K7" t="s">
        <v>186</v>
      </c>
      <c r="L7" t="s">
        <v>187</v>
      </c>
    </row>
    <row r="8" spans="1:66" ht="45">
      <c r="A8">
        <v>1960</v>
      </c>
      <c r="B8" s="1">
        <v>5160000</v>
      </c>
      <c r="C8" s="2">
        <v>8.3999999999999995E-3</v>
      </c>
      <c r="D8">
        <f>'EIA Energy Use '!N5/B8*1000000</f>
        <v>60.348837209302324</v>
      </c>
      <c r="E8">
        <f>'EIA Energy Use '!O5/B8*1000000</f>
        <v>55.930232558139529</v>
      </c>
      <c r="F8">
        <f>'EIA Energy Use '!M5/B8*1000000</f>
        <v>2.7713178294573644</v>
      </c>
      <c r="G8">
        <f>'EIA Energy Use '!L5/B8*1000000</f>
        <v>1.6472868217054264</v>
      </c>
      <c r="H8" s="152" t="s">
        <v>468</v>
      </c>
      <c r="I8" s="158" t="e">
        <f>'EIA Energy Use '!N5/H8*1000000000</f>
        <v>#VALUE!</v>
      </c>
    </row>
    <row r="9" spans="1:66">
      <c r="A9">
        <v>1961</v>
      </c>
      <c r="B9" s="1">
        <v>5219000</v>
      </c>
      <c r="C9" s="2">
        <v>1.14E-2</v>
      </c>
      <c r="D9">
        <f>'EIA Energy Use '!N6/B9*1000000</f>
        <v>61.12282046369036</v>
      </c>
      <c r="E9">
        <f>'EIA Energy Use '!O6/B9*1000000</f>
        <v>56.60088139490324</v>
      </c>
      <c r="F9">
        <f>'EIA Energy Use '!M6/B9*1000000</f>
        <v>2.9124353324391641</v>
      </c>
      <c r="G9">
        <f>'EIA Energy Use '!L6/B9*1000000</f>
        <v>1.6095037363479594</v>
      </c>
      <c r="H9" s="158">
        <v>2136551738</v>
      </c>
      <c r="I9" s="153">
        <f>'EIA Energy Use '!N6/$H9*1000000000</f>
        <v>149.30600290476093</v>
      </c>
      <c r="J9" s="153">
        <f>'EIA Energy Use '!O6/$H9*1000000000</f>
        <v>138.26016695318614</v>
      </c>
      <c r="K9" s="153">
        <f>'EIA Energy Use '!M6/$H9*1000000000</f>
        <v>7.1142672230481692</v>
      </c>
      <c r="L9" s="153">
        <f>'EIA Energy Use '!L6/$H9*1000000000</f>
        <v>3.9315687285266203</v>
      </c>
    </row>
    <row r="10" spans="1:66">
      <c r="A10">
        <v>1962</v>
      </c>
      <c r="B10" s="1">
        <v>5263000</v>
      </c>
      <c r="C10" s="2">
        <v>8.3999999999999995E-3</v>
      </c>
      <c r="D10">
        <f>'EIA Energy Use '!N7/B10*1000000</f>
        <v>62.49287478624359</v>
      </c>
      <c r="E10">
        <f>'EIA Energy Use '!O7/B10*1000000</f>
        <v>57.856735702071049</v>
      </c>
      <c r="F10">
        <f>'EIA Energy Use '!M7/B10*1000000</f>
        <v>3.0590917727531828</v>
      </c>
      <c r="G10">
        <f>'EIA Energy Use '!L7/B10*1000000</f>
        <v>1.5770473114193428</v>
      </c>
      <c r="H10" s="158">
        <v>2161118398</v>
      </c>
      <c r="I10" s="153">
        <f>'EIA Energy Use '!N7/$H10*1000000000</f>
        <v>152.18971820534193</v>
      </c>
      <c r="J10" s="153">
        <f>'EIA Energy Use '!O7/$H10*1000000000</f>
        <v>140.89926784289028</v>
      </c>
      <c r="K10" s="153">
        <f>'EIA Energy Use '!M7/$H10*1000000000</f>
        <v>7.4498463457160398</v>
      </c>
      <c r="L10" s="153">
        <f>'EIA Energy Use '!L7/$H10*1000000000</f>
        <v>3.8406040167355981</v>
      </c>
      <c r="BN10">
        <v>247</v>
      </c>
    </row>
    <row r="11" spans="1:66">
      <c r="A11">
        <v>1963</v>
      </c>
      <c r="B11" s="1">
        <v>5344000</v>
      </c>
      <c r="C11" s="2">
        <v>1.54E-2</v>
      </c>
      <c r="D11">
        <f>'EIA Energy Use '!N8/B11*1000000</f>
        <v>59.225299401197603</v>
      </c>
      <c r="E11">
        <f>'EIA Energy Use '!O8/B11*1000000</f>
        <v>54.491017964071858</v>
      </c>
      <c r="F11">
        <f>'EIA Energy Use '!M8/B11*1000000</f>
        <v>3.2185628742514969</v>
      </c>
      <c r="G11">
        <f>'EIA Energy Use '!L8/B11*1000000</f>
        <v>1.5157185628742516</v>
      </c>
      <c r="H11" s="158">
        <v>2192958960</v>
      </c>
      <c r="I11" s="153">
        <f>'EIA Energy Use '!N8/$H11*1000000000</f>
        <v>144.32554633854161</v>
      </c>
      <c r="J11" s="153">
        <f>'EIA Energy Use '!O8/$H11*1000000000</f>
        <v>132.78862272917317</v>
      </c>
      <c r="K11" s="153">
        <f>'EIA Energy Use '!M8/$H11*1000000000</f>
        <v>7.843284034827537</v>
      </c>
      <c r="L11" s="153">
        <f>'EIA Energy Use '!L8/$H11*1000000000</f>
        <v>3.693639574540875</v>
      </c>
      <c r="BN11">
        <v>6991</v>
      </c>
    </row>
    <row r="12" spans="1:66">
      <c r="A12">
        <v>1964</v>
      </c>
      <c r="B12" s="1">
        <v>5448000</v>
      </c>
      <c r="C12" s="2">
        <v>1.95E-2</v>
      </c>
      <c r="D12">
        <f>'EIA Energy Use '!N9/B12*1000000</f>
        <v>56.754772393538914</v>
      </c>
      <c r="E12">
        <f>'EIA Energy Use '!O9/B12*1000000</f>
        <v>51.982378854625544</v>
      </c>
      <c r="F12">
        <f>'EIA Energy Use '!M9/B12*1000000</f>
        <v>3.3590308370044055</v>
      </c>
      <c r="G12">
        <f>'EIA Energy Use '!L9/B12*1000000</f>
        <v>1.4133627019089574</v>
      </c>
      <c r="H12" s="158">
        <v>2223252554</v>
      </c>
      <c r="I12" s="153">
        <f>'EIA Energy Use '!N9/$H12*1000000000</f>
        <v>139.0755177335557</v>
      </c>
      <c r="J12" s="153">
        <f>'EIA Energy Use '!O9/$H12*1000000000</f>
        <v>127.38093991637443</v>
      </c>
      <c r="K12" s="153">
        <f>'EIA Energy Use '!M9/$H12*1000000000</f>
        <v>8.2311836174775852</v>
      </c>
      <c r="L12" s="153">
        <f>'EIA Energy Use '!L9/$H12*1000000000</f>
        <v>3.4633941997036835</v>
      </c>
      <c r="BN12">
        <f>BN10/BN11</f>
        <v>3.5331140037190671E-2</v>
      </c>
    </row>
    <row r="13" spans="1:66">
      <c r="A13">
        <v>1965</v>
      </c>
      <c r="B13" s="1">
        <v>5502000</v>
      </c>
      <c r="C13" s="2">
        <v>9.9000000000000008E-3</v>
      </c>
      <c r="D13">
        <f>'EIA Energy Use '!N10/B13*1000000</f>
        <v>60.396219556524898</v>
      </c>
      <c r="E13">
        <f>'EIA Energy Use '!O10/B13*1000000</f>
        <v>55.4343874954562</v>
      </c>
      <c r="F13">
        <f>'EIA Energy Use '!M10/B13*1000000</f>
        <v>3.5805161759360233</v>
      </c>
      <c r="G13">
        <f>'EIA Energy Use '!L10/B13*1000000</f>
        <v>1.381315885132679</v>
      </c>
      <c r="H13" s="158">
        <v>2256379898</v>
      </c>
      <c r="I13" s="153">
        <f>'EIA Energy Use '!N10/$H13*1000000000</f>
        <v>147.27129961339514</v>
      </c>
      <c r="J13" s="153">
        <f>'EIA Energy Use '!O10/$H13*1000000000</f>
        <v>135.17227319315535</v>
      </c>
      <c r="K13" s="153">
        <f>'EIA Energy Use '!M10/$H13*1000000000</f>
        <v>8.7307992849349514</v>
      </c>
      <c r="L13" s="153">
        <f>'EIA Energy Use '!L10/$H13*1000000000</f>
        <v>3.3682271353048545</v>
      </c>
    </row>
    <row r="14" spans="1:66">
      <c r="A14">
        <v>1966</v>
      </c>
      <c r="B14" s="1">
        <v>5535000</v>
      </c>
      <c r="C14" s="2">
        <v>6.0000000000000001E-3</v>
      </c>
      <c r="D14">
        <f>'EIA Energy Use '!N11/B14*1000000</f>
        <v>55.465221318879856</v>
      </c>
      <c r="E14">
        <f>'EIA Energy Use '!O11/B14*1000000</f>
        <v>50.26196928635953</v>
      </c>
      <c r="F14">
        <f>'EIA Energy Use '!M11/B14*1000000</f>
        <v>3.8301716350496835</v>
      </c>
      <c r="G14">
        <f>'EIA Energy Use '!L11/B14*1000000</f>
        <v>1.3730803974706414</v>
      </c>
      <c r="H14" s="158">
        <v>2306859021</v>
      </c>
      <c r="I14" s="153">
        <f>'EIA Energy Use '!N11/$H14*1000000000</f>
        <v>133.0813878114314</v>
      </c>
      <c r="J14" s="153">
        <f>'EIA Energy Use '!O11/$H14*1000000000</f>
        <v>120.59687976918637</v>
      </c>
      <c r="K14" s="153">
        <f>'EIA Energy Use '!M11/$H14*1000000000</f>
        <v>9.1899850866525927</v>
      </c>
      <c r="L14" s="153">
        <f>'EIA Energy Use '!L11/$H14*1000000000</f>
        <v>3.2945229555924387</v>
      </c>
    </row>
    <row r="15" spans="1:66">
      <c r="A15">
        <v>1967</v>
      </c>
      <c r="B15" s="1">
        <v>5594000</v>
      </c>
      <c r="C15" s="2">
        <v>1.0699999999999999E-2</v>
      </c>
      <c r="D15">
        <f>'EIA Energy Use '!N12/B15*1000000</f>
        <v>59.099034680014306</v>
      </c>
      <c r="E15">
        <f>'EIA Energy Use '!O12/B15*1000000</f>
        <v>53.432248838040756</v>
      </c>
      <c r="F15">
        <f>'EIA Energy Use '!M12/B15*1000000</f>
        <v>4.2188058634250991</v>
      </c>
      <c r="G15">
        <f>'EIA Energy Use '!L12/B15*1000000</f>
        <v>1.4479799785484446</v>
      </c>
      <c r="H15" s="158">
        <v>2339713028</v>
      </c>
      <c r="I15" s="153">
        <f>'EIA Energy Use '!N12/$H15*1000000000</f>
        <v>141.29937989984984</v>
      </c>
      <c r="J15" s="153">
        <f>'EIA Energy Use '!O12/$H15*1000000000</f>
        <v>127.75070977636152</v>
      </c>
      <c r="K15" s="153">
        <f>'EIA Energy Use '!M12/$H15*1000000000</f>
        <v>10.0867070950891</v>
      </c>
      <c r="L15" s="153">
        <f>'EIA Energy Use '!L12/$H15*1000000000</f>
        <v>3.4619630283992247</v>
      </c>
    </row>
    <row r="16" spans="1:66">
      <c r="A16">
        <v>1968</v>
      </c>
      <c r="B16" s="1">
        <v>5618000</v>
      </c>
      <c r="C16" s="2">
        <v>4.3E-3</v>
      </c>
      <c r="D16">
        <f>'EIA Energy Use '!N13/B16*1000000</f>
        <v>60.377358490566039</v>
      </c>
      <c r="E16">
        <f>'EIA Energy Use '!O13/B16*1000000</f>
        <v>54.289782840868632</v>
      </c>
      <c r="F16">
        <f>'EIA Energy Use '!M13/B16*1000000</f>
        <v>4.6101815592737632</v>
      </c>
      <c r="G16">
        <f>'EIA Energy Use '!L13/B16*1000000</f>
        <v>1.4773940904236385</v>
      </c>
      <c r="H16" s="158">
        <v>2370379043</v>
      </c>
      <c r="I16" s="153">
        <f>'EIA Energy Use '!N13/$H16*1000000000</f>
        <v>143.09947643255467</v>
      </c>
      <c r="J16" s="153">
        <f>'EIA Energy Use '!O13/$H16*1000000000</f>
        <v>128.6714042214893</v>
      </c>
      <c r="K16" s="153">
        <f>'EIA Energy Use '!M13/$H16*1000000000</f>
        <v>10.926522522414993</v>
      </c>
      <c r="L16" s="153">
        <f>'EIA Energy Use '!L13/$H16*1000000000</f>
        <v>3.5015496886503654</v>
      </c>
    </row>
    <row r="17" spans="1:19">
      <c r="A17">
        <v>1969</v>
      </c>
      <c r="B17" s="1">
        <v>5650000</v>
      </c>
      <c r="C17" s="2">
        <v>5.7000000000000002E-3</v>
      </c>
      <c r="D17">
        <f>'EIA Energy Use '!N14/B17*1000000</f>
        <v>62.26548672566372</v>
      </c>
      <c r="E17">
        <f>'EIA Energy Use '!O14/B17*1000000</f>
        <v>55.663716814159294</v>
      </c>
      <c r="F17">
        <f>'EIA Energy Use '!M14/B17*1000000</f>
        <v>5.0796460176991145</v>
      </c>
      <c r="G17">
        <f>'EIA Energy Use '!L14/B17*1000000</f>
        <v>1.5221238938053097</v>
      </c>
      <c r="H17" s="158">
        <v>2409283124</v>
      </c>
      <c r="I17" s="153">
        <f>'EIA Energy Use '!N14/$H17*1000000000</f>
        <v>146.01853825129771</v>
      </c>
      <c r="J17" s="153">
        <f>'EIA Energy Use '!O14/$H17*1000000000</f>
        <v>130.53675463340855</v>
      </c>
      <c r="K17" s="153">
        <f>'EIA Energy Use '!M14/$H17*1000000000</f>
        <v>11.912257100091654</v>
      </c>
      <c r="L17" s="153">
        <f>'EIA Energy Use '!L14/$H17*1000000000</f>
        <v>3.5695265177974989</v>
      </c>
    </row>
    <row r="18" spans="1:19">
      <c r="A18">
        <v>1970</v>
      </c>
      <c r="B18" s="1">
        <v>5689170</v>
      </c>
      <c r="C18" s="2">
        <v>6.8999999999999999E-3</v>
      </c>
      <c r="D18">
        <f>'EIA Energy Use '!N15/B18*1000000</f>
        <v>63.752709094648253</v>
      </c>
      <c r="E18">
        <f>'EIA Energy Use '!O15/B18*1000000</f>
        <v>56.54603395574398</v>
      </c>
      <c r="F18">
        <f>'EIA Energy Use '!M15/B18*1000000</f>
        <v>5.5895675467598966</v>
      </c>
      <c r="G18">
        <f>'EIA Energy Use '!L15/B18*1000000</f>
        <v>1.6171075921443725</v>
      </c>
      <c r="H18" s="158">
        <v>2440655208</v>
      </c>
      <c r="I18" s="153">
        <f>'EIA Energy Use '!N15/$H18*1000000000</f>
        <v>148.60763569189899</v>
      </c>
      <c r="J18" s="153">
        <f>'EIA Energy Use '!O15/$H18*1000000000</f>
        <v>131.808867940678</v>
      </c>
      <c r="K18" s="153">
        <f>'EIA Energy Use '!M15/$H18*1000000000</f>
        <v>13.029288158264098</v>
      </c>
      <c r="L18" s="153">
        <f>'EIA Energy Use '!L15/$H18*1000000000</f>
        <v>3.7694795929569089</v>
      </c>
    </row>
    <row r="19" spans="1:19">
      <c r="A19">
        <v>1971</v>
      </c>
      <c r="B19" s="1">
        <v>5737580</v>
      </c>
      <c r="C19" s="2">
        <v>8.5000000000000006E-3</v>
      </c>
      <c r="D19">
        <f>'EIA Energy Use '!N16/B19*1000000</f>
        <v>65.35856580648985</v>
      </c>
      <c r="E19">
        <f>'EIA Energy Use '!O16/B19*1000000</f>
        <v>57.707256369410089</v>
      </c>
      <c r="F19">
        <f>'EIA Energy Use '!M16/B19*1000000</f>
        <v>6.0652749068422569</v>
      </c>
      <c r="G19">
        <f>'EIA Energy Use '!L16/B19*1000000</f>
        <v>1.586034530237487</v>
      </c>
      <c r="H19" s="158">
        <v>2498488820</v>
      </c>
      <c r="I19" s="153">
        <f>'EIA Energy Use '!N16/$H19*1000000000</f>
        <v>150.09072564110974</v>
      </c>
      <c r="J19" s="153">
        <f>'EIA Energy Use '!O16/$H19*1000000000</f>
        <v>132.52010469272381</v>
      </c>
      <c r="K19" s="153">
        <f>'EIA Energy Use '!M16/$H19*1000000000</f>
        <v>13.928419339494983</v>
      </c>
      <c r="L19" s="153">
        <f>'EIA Energy Use '!L16/$H19*1000000000</f>
        <v>3.6422016088909297</v>
      </c>
    </row>
    <row r="20" spans="1:19">
      <c r="A20">
        <v>1972</v>
      </c>
      <c r="B20" s="1">
        <v>5760302</v>
      </c>
      <c r="C20" s="2">
        <v>4.0000000000000001E-3</v>
      </c>
      <c r="D20">
        <f>'EIA Energy Use '!N17/B20*1000000</f>
        <v>67.444380520326888</v>
      </c>
      <c r="E20">
        <f>'EIA Energy Use '!O17/B20*1000000</f>
        <v>59.319806496256625</v>
      </c>
      <c r="F20">
        <f>'EIA Energy Use '!M17/B20*1000000</f>
        <v>6.4927151388937592</v>
      </c>
      <c r="G20">
        <f>'EIA Energy Use '!L17/B20*1000000</f>
        <v>1.6318588851765063</v>
      </c>
      <c r="H20" s="158">
        <v>2531552754</v>
      </c>
      <c r="I20" s="153">
        <f>'EIA Energy Use '!N17/$H20*1000000000</f>
        <v>153.46312629122482</v>
      </c>
      <c r="J20" s="153">
        <f>'EIA Energy Use '!O17/$H20*1000000000</f>
        <v>134.97644852950202</v>
      </c>
      <c r="K20" s="153">
        <f>'EIA Energy Use '!M17/$H20*1000000000</f>
        <v>14.773541630094744</v>
      </c>
      <c r="L20" s="153">
        <f>'EIA Energy Use '!L17/$H20*1000000000</f>
        <v>3.7131361316280911</v>
      </c>
    </row>
    <row r="21" spans="1:19">
      <c r="A21">
        <v>1973</v>
      </c>
      <c r="B21" s="1">
        <v>5781172</v>
      </c>
      <c r="C21" s="2">
        <v>3.5999999999999999E-3</v>
      </c>
      <c r="D21">
        <f>'EIA Energy Use '!N18/B21*1000000</f>
        <v>66.820360992546142</v>
      </c>
      <c r="E21">
        <f>'EIA Energy Use '!O18/B21*1000000</f>
        <v>58.396463554448822</v>
      </c>
      <c r="F21">
        <f>'EIA Energy Use '!M18/B21*1000000</f>
        <v>6.9190122694844574</v>
      </c>
      <c r="G21">
        <f>'EIA Energy Use '!L18/B21*1000000</f>
        <v>1.5048851686128695</v>
      </c>
      <c r="H21" s="158">
        <v>2580057295</v>
      </c>
      <c r="I21" s="153">
        <f>'EIA Energy Use '!N18/$H21*1000000000</f>
        <v>149.72535716498496</v>
      </c>
      <c r="J21" s="153">
        <f>'EIA Energy Use '!O18/$H21*1000000000</f>
        <v>130.84980734894881</v>
      </c>
      <c r="K21" s="153">
        <f>'EIA Energy Use '!M18/$H21*1000000000</f>
        <v>15.503531676415736</v>
      </c>
      <c r="L21" s="153">
        <f>'EIA Energy Use '!L18/$H21*1000000000</f>
        <v>3.3720181396204221</v>
      </c>
    </row>
    <row r="22" spans="1:19">
      <c r="A22">
        <v>1974</v>
      </c>
      <c r="B22" s="1">
        <v>5773548</v>
      </c>
      <c r="C22" s="2">
        <v>-1.2999999999999999E-3</v>
      </c>
      <c r="D22">
        <f>'EIA Energy Use '!N19/B22*1000000</f>
        <v>64.033415847586269</v>
      </c>
      <c r="E22">
        <f>'EIA Energy Use '!O19/B22*1000000</f>
        <v>55.702316842260593</v>
      </c>
      <c r="F22">
        <f>'EIA Energy Use '!M19/B22*1000000</f>
        <v>6.7549451394532447</v>
      </c>
      <c r="G22">
        <f>'EIA Energy Use '!L19/B22*1000000</f>
        <v>1.5761538658724237</v>
      </c>
      <c r="H22" s="158">
        <v>2622093397</v>
      </c>
      <c r="I22" s="153">
        <f>'EIA Energy Use '!N19/$H22*1000000000</f>
        <v>140.99421493642546</v>
      </c>
      <c r="J22" s="153">
        <f>'EIA Energy Use '!O19/$H22*1000000000</f>
        <v>122.6500933826195</v>
      </c>
      <c r="K22" s="153">
        <f>'EIA Energy Use '!M19/$H22*1000000000</f>
        <v>14.873612070653484</v>
      </c>
      <c r="L22" s="153">
        <f>'EIA Energy Use '!L19/$H22*1000000000</f>
        <v>3.4705094831524796</v>
      </c>
    </row>
    <row r="23" spans="1:19">
      <c r="A23">
        <v>1975</v>
      </c>
      <c r="B23" s="1">
        <v>5757756</v>
      </c>
      <c r="C23" s="2">
        <v>-2.7000000000000001E-3</v>
      </c>
      <c r="D23">
        <f>'EIA Energy Use '!N20/B23*1000000</f>
        <v>63.323280805925094</v>
      </c>
      <c r="E23">
        <f>'EIA Energy Use '!O20/B23*1000000</f>
        <v>55.316689349114483</v>
      </c>
      <c r="F23">
        <f>'EIA Energy Use '!M20/B23*1000000</f>
        <v>6.3045394768378511</v>
      </c>
      <c r="G23">
        <f>'EIA Energy Use '!L20/B23*1000000</f>
        <v>1.7020519799727534</v>
      </c>
      <c r="H23" s="158">
        <v>2655685235</v>
      </c>
      <c r="I23" s="153">
        <f>'EIA Energy Use '!N20/$H23*1000000000</f>
        <v>137.29036679303601</v>
      </c>
      <c r="J23" s="153">
        <f>'EIA Energy Use '!O20/$H23*1000000000</f>
        <v>119.93138185294012</v>
      </c>
      <c r="K23" s="153">
        <f>'EIA Energy Use '!M20/$H23*1000000000</f>
        <v>13.668788575390034</v>
      </c>
      <c r="L23" s="153">
        <f>'EIA Energy Use '!L20/$H23*1000000000</f>
        <v>3.6901963647058498</v>
      </c>
      <c r="M23" s="225" t="s">
        <v>462</v>
      </c>
      <c r="N23" s="225"/>
      <c r="O23" s="225"/>
      <c r="P23" s="225"/>
      <c r="Q23" s="221" t="s">
        <v>463</v>
      </c>
      <c r="R23" s="221" t="s">
        <v>464</v>
      </c>
      <c r="S23" s="221" t="s">
        <v>465</v>
      </c>
    </row>
    <row r="24" spans="1:19">
      <c r="A24">
        <v>1976</v>
      </c>
      <c r="B24" s="1">
        <v>5743672</v>
      </c>
      <c r="C24" s="2">
        <v>-2.3999999999999998E-3</v>
      </c>
      <c r="D24">
        <f>'EIA Energy Use '!N21/B24*1000000</f>
        <v>68.14455978684019</v>
      </c>
      <c r="E24">
        <f>'EIA Energy Use '!O21/B24*1000000</f>
        <v>59.578611034891956</v>
      </c>
      <c r="F24">
        <f>'EIA Energy Use '!M21/B24*1000000</f>
        <v>6.6682080731629521</v>
      </c>
      <c r="G24">
        <f>'EIA Energy Use '!L21/B24*1000000</f>
        <v>1.8977406787852791</v>
      </c>
      <c r="H24" s="158">
        <v>2689312840</v>
      </c>
      <c r="I24" s="153">
        <f>'EIA Energy Use '!N21/$H24*1000000000</f>
        <v>145.53903665592136</v>
      </c>
      <c r="J24" s="153">
        <f>'EIA Energy Use '!O21/$H24*1000000000</f>
        <v>127.24440046922916</v>
      </c>
      <c r="K24" s="153">
        <f>'EIA Energy Use '!M21/$H24*1000000000</f>
        <v>14.241556218502268</v>
      </c>
      <c r="L24" s="153">
        <f>'EIA Energy Use '!L21/$H24*1000000000</f>
        <v>4.053079968189941</v>
      </c>
      <c r="M24" s="225"/>
      <c r="N24" s="225" t="s">
        <v>461</v>
      </c>
      <c r="O24" s="225" t="s">
        <v>459</v>
      </c>
      <c r="P24" s="225" t="s">
        <v>460</v>
      </c>
      <c r="Q24" s="221"/>
      <c r="R24" s="221"/>
      <c r="S24" s="221"/>
    </row>
    <row r="25" spans="1:19">
      <c r="A25">
        <v>1977</v>
      </c>
      <c r="B25" s="1">
        <v>5738199</v>
      </c>
      <c r="C25" s="2">
        <v>-1E-3</v>
      </c>
      <c r="D25">
        <f>'EIA Energy Use '!N22/B25*1000000</f>
        <v>66.97223292534818</v>
      </c>
      <c r="E25">
        <f>'EIA Energy Use '!O22/B25*1000000</f>
        <v>58.293551687559116</v>
      </c>
      <c r="F25">
        <f>'EIA Energy Use '!M22/B25*1000000</f>
        <v>6.5874327467555585</v>
      </c>
      <c r="G25">
        <f>'EIA Energy Use '!L22/B25*1000000</f>
        <v>2.0912484910335105</v>
      </c>
      <c r="H25" s="158">
        <v>2721471720</v>
      </c>
      <c r="I25" s="153">
        <f>'EIA Energy Use '!N22/$H25*1000000000</f>
        <v>141.21035951826832</v>
      </c>
      <c r="J25" s="153">
        <f>'EIA Energy Use '!O22/$H25*1000000000</f>
        <v>122.91143705142009</v>
      </c>
      <c r="K25" s="153">
        <f>'EIA Energy Use '!M22/$H25*1000000000</f>
        <v>13.88954355917393</v>
      </c>
      <c r="L25" s="153">
        <f>'EIA Energy Use '!L22/$H25*1000000000</f>
        <v>4.409378907674264</v>
      </c>
      <c r="M25" s="225">
        <v>1961</v>
      </c>
      <c r="N25" s="226">
        <v>5148578</v>
      </c>
      <c r="O25" s="225">
        <v>1561865</v>
      </c>
      <c r="P25" s="225">
        <v>2136551738</v>
      </c>
      <c r="Q25" s="228">
        <f>N25/O25</f>
        <v>3.2964295889849633</v>
      </c>
      <c r="R25" s="229">
        <f>P25/O25</f>
        <v>1367.9490468126246</v>
      </c>
      <c r="S25" s="229">
        <f>R25/Q25</f>
        <v>414.97899769606289</v>
      </c>
    </row>
    <row r="26" spans="1:19">
      <c r="A26">
        <v>1978</v>
      </c>
      <c r="B26" s="1">
        <v>5736469</v>
      </c>
      <c r="C26" s="2">
        <v>-2.9999999999999997E-4</v>
      </c>
      <c r="D26">
        <f>'EIA Energy Use '!N23/B26*1000000</f>
        <v>64.307852095078005</v>
      </c>
      <c r="E26">
        <f>'EIA Energy Use '!O23/B26*1000000</f>
        <v>55.10358375509395</v>
      </c>
      <c r="F26">
        <f>'EIA Energy Use '!M23/B26*1000000</f>
        <v>6.6940133381702225</v>
      </c>
      <c r="G26">
        <f>'EIA Energy Use '!L23/B26*1000000</f>
        <v>2.5102550018138334</v>
      </c>
      <c r="H26" s="158">
        <v>2749896845</v>
      </c>
      <c r="I26" s="153">
        <f>'EIA Energy Use '!N23/$H26*1000000000</f>
        <v>134.15048665216383</v>
      </c>
      <c r="J26" s="153">
        <f>'EIA Energy Use '!O23/$H26*1000000000</f>
        <v>114.94976641569259</v>
      </c>
      <c r="K26" s="153">
        <f>'EIA Energy Use '!M23/$H26*1000000000</f>
        <v>13.964160171979104</v>
      </c>
      <c r="L26" s="153">
        <f>'EIA Energy Use '!L23/$H26*1000000000</f>
        <v>5.2365600644921653</v>
      </c>
      <c r="M26" s="225">
        <v>1971</v>
      </c>
      <c r="N26" s="226">
        <v>5689170</v>
      </c>
      <c r="O26" s="225">
        <v>1821139</v>
      </c>
      <c r="P26" s="225">
        <v>2498488820</v>
      </c>
      <c r="Q26" s="228">
        <f t="shared" ref="Q26:Q31" si="0">N26/O26</f>
        <v>3.1239625311412254</v>
      </c>
      <c r="R26" s="229">
        <f t="shared" ref="R26:R31" si="1">P26/O26</f>
        <v>1371.937463312795</v>
      </c>
      <c r="S26" s="229">
        <f t="shared" ref="S26:S31" si="2">R26/Q26</f>
        <v>439.16578692498206</v>
      </c>
    </row>
    <row r="27" spans="1:19">
      <c r="A27">
        <v>1979</v>
      </c>
      <c r="B27" s="1">
        <v>5738404</v>
      </c>
      <c r="C27" s="2">
        <v>2.9999999999999997E-4</v>
      </c>
      <c r="D27">
        <f>'EIA Energy Use '!N24/B27*1000000</f>
        <v>51.33831636810514</v>
      </c>
      <c r="E27">
        <f>'EIA Energy Use '!O24/B27*1000000</f>
        <v>41.71891696715673</v>
      </c>
      <c r="F27">
        <f>'EIA Energy Use '!M24/B27*1000000</f>
        <v>6.7963147941483379</v>
      </c>
      <c r="G27">
        <f>'EIA Energy Use '!L24/B27*1000000</f>
        <v>2.8230846068000788</v>
      </c>
      <c r="H27" s="158">
        <v>2784143361</v>
      </c>
      <c r="I27" s="153">
        <f>'EIA Energy Use '!N24/$H27*1000000000</f>
        <v>105.81351669124773</v>
      </c>
      <c r="J27" s="153">
        <f>'EIA Energy Use '!O24/$H27*1000000000</f>
        <v>85.98695144563716</v>
      </c>
      <c r="K27" s="153">
        <f>'EIA Energy Use '!M24/$H27*1000000000</f>
        <v>14.007899358311816</v>
      </c>
      <c r="L27" s="153">
        <f>'EIA Energy Use '!L24/$H27*1000000000</f>
        <v>5.8186658872987538</v>
      </c>
      <c r="M27" s="225">
        <v>1981</v>
      </c>
      <c r="N27" s="226">
        <v>5737093</v>
      </c>
      <c r="O27" s="225">
        <v>2053247</v>
      </c>
      <c r="P27" s="225">
        <v>2846097394</v>
      </c>
      <c r="Q27" s="228">
        <f t="shared" si="0"/>
        <v>2.794156280272174</v>
      </c>
      <c r="R27" s="229">
        <f t="shared" si="1"/>
        <v>1386.1446742647133</v>
      </c>
      <c r="S27" s="229">
        <f t="shared" si="2"/>
        <v>496.08702421243646</v>
      </c>
    </row>
    <row r="28" spans="1:19">
      <c r="A28">
        <v>1980</v>
      </c>
      <c r="B28" s="1">
        <v>5746075</v>
      </c>
      <c r="C28" s="2">
        <v>1.2999999999999999E-3</v>
      </c>
      <c r="D28">
        <f>'EIA Energy Use '!N25/B28*1000000</f>
        <v>53.271145956152679</v>
      </c>
      <c r="E28">
        <f>'EIA Energy Use '!O25/B28*1000000</f>
        <v>39.087551067467793</v>
      </c>
      <c r="F28">
        <f>'EIA Energy Use '!M25/B28*1000000</f>
        <v>6.8742576454362325</v>
      </c>
      <c r="G28">
        <f>'EIA Energy Use '!L25/B28*1000000</f>
        <v>7.3093372432486525</v>
      </c>
      <c r="H28" s="158">
        <v>2813801038</v>
      </c>
      <c r="I28" s="153">
        <f>'EIA Energy Use '!N25/$H28*1000000000</f>
        <v>108.78523245466228</v>
      </c>
      <c r="J28" s="153">
        <f>'EIA Energy Use '!O25/$H28*1000000000</f>
        <v>79.820853346348088</v>
      </c>
      <c r="K28" s="153">
        <f>'EIA Energy Use '!M25/$H28*1000000000</f>
        <v>14.037950610778047</v>
      </c>
      <c r="L28" s="153">
        <f>'EIA Energy Use '!L25/$H28*1000000000</f>
        <v>14.926428497536151</v>
      </c>
      <c r="M28" s="225">
        <v>1991</v>
      </c>
      <c r="N28" s="226">
        <v>6016425</v>
      </c>
      <c r="O28" s="225">
        <v>2316811</v>
      </c>
      <c r="P28" s="225">
        <v>3295478334</v>
      </c>
      <c r="Q28" s="228">
        <f t="shared" si="0"/>
        <v>2.5968561958657825</v>
      </c>
      <c r="R28" s="229">
        <f t="shared" si="1"/>
        <v>1422.4200135444798</v>
      </c>
      <c r="S28" s="229">
        <f t="shared" si="2"/>
        <v>547.74693177426798</v>
      </c>
    </row>
    <row r="29" spans="1:19">
      <c r="A29">
        <v>1981</v>
      </c>
      <c r="B29" s="1">
        <v>5768685</v>
      </c>
      <c r="C29" s="2">
        <v>3.8999999999999998E-3</v>
      </c>
      <c r="D29">
        <f>'EIA Energy Use '!N26/B29*1000000</f>
        <v>48.139220636938916</v>
      </c>
      <c r="E29">
        <f>'EIA Energy Use '!O26/B29*1000000</f>
        <v>34.565936604269424</v>
      </c>
      <c r="F29">
        <f>'EIA Energy Use '!M26/B29*1000000</f>
        <v>6.9166543154982456</v>
      </c>
      <c r="G29">
        <f>'EIA Energy Use '!L26/B29*1000000</f>
        <v>6.6566297171712439</v>
      </c>
      <c r="H29" s="158">
        <v>2846097394</v>
      </c>
      <c r="I29" s="153">
        <f>'EIA Energy Use '!N26/$H29*1000000000</f>
        <v>97.572205570137285</v>
      </c>
      <c r="J29" s="153">
        <f>'EIA Energy Use '!O26/$H29*1000000000</f>
        <v>70.060849084210915</v>
      </c>
      <c r="K29" s="153">
        <f>'EIA Energy Use '!M26/$H29*1000000000</f>
        <v>14.019196983249829</v>
      </c>
      <c r="L29" s="153">
        <f>'EIA Energy Use '!L26/$H29*1000000000</f>
        <v>13.492159502676527</v>
      </c>
      <c r="M29" s="225">
        <v>2001</v>
      </c>
      <c r="N29" s="226">
        <v>6349105</v>
      </c>
      <c r="O29" s="225">
        <v>2490986</v>
      </c>
      <c r="P29" s="225">
        <v>3667945986</v>
      </c>
      <c r="Q29" s="228">
        <f t="shared" si="0"/>
        <v>2.5488320689076533</v>
      </c>
      <c r="R29" s="229">
        <f t="shared" si="1"/>
        <v>1472.4875956749656</v>
      </c>
      <c r="S29" s="229">
        <f t="shared" si="2"/>
        <v>577.71071450228021</v>
      </c>
    </row>
    <row r="30" spans="1:19">
      <c r="A30">
        <v>1982</v>
      </c>
      <c r="B30" s="1">
        <v>5771222</v>
      </c>
      <c r="C30" s="2">
        <v>4.0000000000000002E-4</v>
      </c>
      <c r="D30">
        <f>'EIA Energy Use '!N27/B30*1000000</f>
        <v>48.100731526182848</v>
      </c>
      <c r="E30">
        <f>'EIA Energy Use '!O27/B30*1000000</f>
        <v>34.983925414756186</v>
      </c>
      <c r="F30">
        <f>'EIA Energy Use '!M27/B30*1000000</f>
        <v>7.0868873177985527</v>
      </c>
      <c r="G30">
        <f>'EIA Energy Use '!L27/B30*1000000</f>
        <v>6.0299187936281085</v>
      </c>
      <c r="H30" s="158">
        <v>2870667126</v>
      </c>
      <c r="I30" s="153">
        <f>'EIA Energy Use '!N27/$H30*1000000000</f>
        <v>96.702260420841299</v>
      </c>
      <c r="J30" s="153">
        <f>'EIA Energy Use '!O27/$H30*1000000000</f>
        <v>70.33208349772282</v>
      </c>
      <c r="K30" s="153">
        <f>'EIA Energy Use '!M27/$H30*1000000000</f>
        <v>14.247559262292539</v>
      </c>
      <c r="L30" s="153">
        <f>'EIA Energy Use '!L27/$H30*1000000000</f>
        <v>12.122617660825924</v>
      </c>
      <c r="M30" s="225">
        <v>2011</v>
      </c>
      <c r="N30" s="226">
        <v>6547629</v>
      </c>
      <c r="O30" s="225">
        <v>2663045</v>
      </c>
      <c r="P30" s="225">
        <v>4013034205</v>
      </c>
      <c r="Q30" s="228">
        <f t="shared" si="0"/>
        <v>2.4587000970693325</v>
      </c>
      <c r="R30" s="229">
        <f t="shared" si="1"/>
        <v>1506.9344322007325</v>
      </c>
      <c r="S30" s="229">
        <f t="shared" si="2"/>
        <v>612.89883788467546</v>
      </c>
    </row>
    <row r="31" spans="1:19">
      <c r="A31">
        <v>1983</v>
      </c>
      <c r="B31" s="1">
        <v>5799407</v>
      </c>
      <c r="C31" s="2">
        <v>4.8999999999999998E-3</v>
      </c>
      <c r="D31">
        <f>'EIA Energy Use '!N28/B31*1000000</f>
        <v>48.280798364384495</v>
      </c>
      <c r="E31">
        <f>'EIA Energy Use '!O28/B31*1000000</f>
        <v>33.624127432339208</v>
      </c>
      <c r="F31">
        <f>'EIA Energy Use '!M28/B31*1000000</f>
        <v>7.3110923237496523</v>
      </c>
      <c r="G31">
        <f>'EIA Energy Use '!L28/B31*1000000</f>
        <v>7.3455786082956411</v>
      </c>
      <c r="H31" s="158">
        <v>2894184052</v>
      </c>
      <c r="I31" s="153">
        <f>'EIA Energy Use '!N28/$H31*1000000000</f>
        <v>96.74574766815833</v>
      </c>
      <c r="J31" s="153">
        <f>'EIA Energy Use '!O28/$H31*1000000000</f>
        <v>67.376502840324534</v>
      </c>
      <c r="K31" s="153">
        <f>'EIA Energy Use '!M28/$H31*1000000000</f>
        <v>14.65007036117826</v>
      </c>
      <c r="L31" s="153">
        <f>'EIA Energy Use '!L28/$H31*1000000000</f>
        <v>14.719174466655517</v>
      </c>
      <c r="M31" s="225">
        <v>2021</v>
      </c>
      <c r="N31" s="227">
        <v>7029917</v>
      </c>
      <c r="O31" s="225">
        <v>2845745</v>
      </c>
      <c r="P31" s="225">
        <v>4306631530</v>
      </c>
      <c r="Q31" s="228">
        <f t="shared" si="0"/>
        <v>2.4703256967859031</v>
      </c>
      <c r="R31" s="229">
        <f t="shared" si="1"/>
        <v>1513.3581996981459</v>
      </c>
      <c r="S31" s="229">
        <f t="shared" si="2"/>
        <v>612.61484737302021</v>
      </c>
    </row>
    <row r="32" spans="1:19">
      <c r="A32">
        <v>1984</v>
      </c>
      <c r="B32" s="1">
        <v>5840773</v>
      </c>
      <c r="C32" s="2">
        <v>7.1000000000000004E-3</v>
      </c>
      <c r="D32">
        <f>'EIA Energy Use '!N29/B32*1000000</f>
        <v>50.678223584446783</v>
      </c>
      <c r="E32">
        <f>'EIA Energy Use '!O29/B32*1000000</f>
        <v>38.385330160922187</v>
      </c>
      <c r="F32">
        <f>'EIA Energy Use '!M29/B32*1000000</f>
        <v>7.4134023013734653</v>
      </c>
      <c r="G32">
        <f>'EIA Energy Use '!L29/B32*1000000</f>
        <v>4.8794911221511263</v>
      </c>
      <c r="H32" s="158">
        <v>2928860457</v>
      </c>
      <c r="I32" s="153">
        <f>'EIA Energy Use '!N29/$H32*1000000000</f>
        <v>101.06319653862568</v>
      </c>
      <c r="J32" s="153">
        <f>'EIA Energy Use '!O29/$H32*1000000000</f>
        <v>76.54854278364823</v>
      </c>
      <c r="K32" s="153">
        <f>'EIA Energy Use '!M29/$H32*1000000000</f>
        <v>14.783906790954362</v>
      </c>
      <c r="L32" s="153">
        <f>'EIA Energy Use '!L29/$H32*1000000000</f>
        <v>9.7307469640230799</v>
      </c>
    </row>
    <row r="33" spans="1:15">
      <c r="A33">
        <v>1985</v>
      </c>
      <c r="B33" s="1">
        <v>5880733</v>
      </c>
      <c r="C33" s="2">
        <v>6.7999999999999996E-3</v>
      </c>
      <c r="D33">
        <f>'EIA Energy Use '!N30/B33*1000000</f>
        <v>50.333861442102538</v>
      </c>
      <c r="E33">
        <f>'EIA Energy Use '!O30/B33*1000000</f>
        <v>37.852424179094676</v>
      </c>
      <c r="F33">
        <f>'EIA Energy Use '!M30/B33*1000000</f>
        <v>7.4820604846368637</v>
      </c>
      <c r="G33">
        <f>'EIA Energy Use '!L30/B33*1000000</f>
        <v>4.9993767783709959</v>
      </c>
      <c r="H33" s="158">
        <v>2974871583</v>
      </c>
      <c r="I33" s="153">
        <f>'EIA Energy Use '!N30/$H33*1000000000</f>
        <v>99.500093278480179</v>
      </c>
      <c r="J33" s="153">
        <f>'EIA Energy Use '!O30/$H33*1000000000</f>
        <v>74.826759337127328</v>
      </c>
      <c r="K33" s="153">
        <f>'EIA Energy Use '!M30/$H33*1000000000</f>
        <v>14.790554406260568</v>
      </c>
      <c r="L33" s="153">
        <f>'EIA Energy Use '!L30/$H33*1000000000</f>
        <v>9.882779535092288</v>
      </c>
    </row>
    <row r="34" spans="1:15">
      <c r="A34">
        <v>1986</v>
      </c>
      <c r="B34" s="1">
        <v>5902678</v>
      </c>
      <c r="C34" s="2">
        <v>3.7000000000000002E-3</v>
      </c>
      <c r="D34">
        <f>'EIA Energy Use '!N31/B34*1000000</f>
        <v>51.468164111272884</v>
      </c>
      <c r="E34">
        <f>'EIA Energy Use '!O31/B34*1000000</f>
        <v>39.067013311585022</v>
      </c>
      <c r="F34">
        <f>'EIA Energy Use '!M31/B34*1000000</f>
        <v>7.8608387582720916</v>
      </c>
      <c r="G34">
        <f>'EIA Energy Use '!L31/B34*1000000</f>
        <v>4.5403120414157776</v>
      </c>
      <c r="H34" s="158">
        <v>3032963558</v>
      </c>
      <c r="I34" s="153">
        <f>'EIA Energy Use '!N31/$H34*1000000000</f>
        <v>100.16605679243048</v>
      </c>
      <c r="J34" s="153">
        <f>'EIA Energy Use '!O31/$H34*1000000000</f>
        <v>76.031246531713194</v>
      </c>
      <c r="K34" s="153">
        <f>'EIA Energy Use '!M31/$H34*1000000000</f>
        <v>15.298568252695109</v>
      </c>
      <c r="L34" s="153">
        <f>'EIA Energy Use '!L31/$H34*1000000000</f>
        <v>8.8362420080221753</v>
      </c>
    </row>
    <row r="35" spans="1:15">
      <c r="A35">
        <v>1987</v>
      </c>
      <c r="B35" s="1">
        <v>5935204</v>
      </c>
      <c r="C35" s="2">
        <v>5.4999999999999997E-3</v>
      </c>
      <c r="D35">
        <f>'EIA Energy Use '!N32/B35*1000000</f>
        <v>51.742113666185695</v>
      </c>
      <c r="E35">
        <f>'EIA Energy Use '!O32/B35*1000000</f>
        <v>40.200808598996773</v>
      </c>
      <c r="F35">
        <f>'EIA Energy Use '!M32/B35*1000000</f>
        <v>8.3232185448048615</v>
      </c>
      <c r="G35">
        <f>'EIA Energy Use '!L32/B35*1000000</f>
        <v>3.2180865223840667</v>
      </c>
      <c r="H35" s="158">
        <v>3096851453</v>
      </c>
      <c r="I35" s="153">
        <f>'EIA Energy Use '!N32/$H35*1000000000</f>
        <v>99.165234322913463</v>
      </c>
      <c r="J35" s="153">
        <f>'EIA Energy Use '!O32/$H35*1000000000</f>
        <v>77.045994495106342</v>
      </c>
      <c r="K35" s="153">
        <f>'EIA Energy Use '!M32/$H35*1000000000</f>
        <v>15.95168536487113</v>
      </c>
      <c r="L35" s="153">
        <f>'EIA Energy Use '!L32/$H35*1000000000</f>
        <v>6.1675544629360051</v>
      </c>
      <c r="N35" s="221" t="s">
        <v>466</v>
      </c>
      <c r="O35" s="221" t="s">
        <v>467</v>
      </c>
    </row>
    <row r="36" spans="1:15">
      <c r="A36">
        <v>1988</v>
      </c>
      <c r="B36" s="1">
        <v>5979982</v>
      </c>
      <c r="C36" s="2">
        <v>7.4999999999999997E-3</v>
      </c>
      <c r="D36">
        <f>'EIA Energy Use '!N33/B36*1000000</f>
        <v>52.62557646494588</v>
      </c>
      <c r="E36">
        <f>'EIA Energy Use '!O33/B36*1000000</f>
        <v>40.384736944024247</v>
      </c>
      <c r="F36">
        <f>'EIA Energy Use '!M33/B36*1000000</f>
        <v>8.8461804734529306</v>
      </c>
      <c r="G36">
        <f>'EIA Energy Use '!L33/B36*1000000</f>
        <v>3.3946590474687048</v>
      </c>
      <c r="H36" s="158">
        <v>3162238448</v>
      </c>
      <c r="I36" s="153">
        <f>'EIA Energy Use '!N33/$H36*1000000000</f>
        <v>99.51811198773963</v>
      </c>
      <c r="J36" s="153">
        <f>'EIA Energy Use '!O33/$H36*1000000000</f>
        <v>76.36995247867533</v>
      </c>
      <c r="K36" s="153">
        <f>'EIA Energy Use '!M33/$H36*1000000000</f>
        <v>16.728656257233641</v>
      </c>
      <c r="L36" s="153">
        <f>'EIA Energy Use '!L33/$H36*1000000000</f>
        <v>6.4195032518306787</v>
      </c>
      <c r="M36" s="225">
        <v>1961</v>
      </c>
      <c r="N36" s="153">
        <v>3.2964295889849602</v>
      </c>
      <c r="O36" s="157">
        <v>1367.9490468126246</v>
      </c>
    </row>
    <row r="37" spans="1:15">
      <c r="A37">
        <v>1989</v>
      </c>
      <c r="B37" s="1">
        <v>6015478</v>
      </c>
      <c r="C37" s="2">
        <v>5.8999999999999999E-3</v>
      </c>
      <c r="D37">
        <f>'EIA Energy Use '!N34/B37*1000000</f>
        <v>54.841859616143552</v>
      </c>
      <c r="E37">
        <f>'EIA Energy Use '!O34/B37*1000000</f>
        <v>42.440517611401781</v>
      </c>
      <c r="F37">
        <f>'EIA Energy Use '!M34/B37*1000000</f>
        <v>8.943595172320471</v>
      </c>
      <c r="G37">
        <f>'EIA Energy Use '!L34/B37*1000000</f>
        <v>3.4577468324212974</v>
      </c>
      <c r="H37" s="158">
        <v>3221685847</v>
      </c>
      <c r="I37" s="153">
        <f>'EIA Energy Use '!N34/$H37*1000000000</f>
        <v>102.39980422274859</v>
      </c>
      <c r="J37" s="153">
        <f>'EIA Energy Use '!O34/$H37*1000000000</f>
        <v>79.244225577652969</v>
      </c>
      <c r="K37" s="153">
        <f>'EIA Energy Use '!M34/$H37*1000000000</f>
        <v>16.699331516168154</v>
      </c>
      <c r="L37" s="153">
        <f>'EIA Energy Use '!L34/$H37*1000000000</f>
        <v>6.4562471289274654</v>
      </c>
      <c r="M37" s="225">
        <v>1971</v>
      </c>
      <c r="N37" s="153">
        <v>3.1239625311412254</v>
      </c>
      <c r="O37" s="157">
        <v>1371.937463312795</v>
      </c>
    </row>
    <row r="38" spans="1:15">
      <c r="A38">
        <v>1990</v>
      </c>
      <c r="B38" s="1">
        <v>6018664</v>
      </c>
      <c r="C38" s="2">
        <v>5.0000000000000001E-4</v>
      </c>
      <c r="D38">
        <f>'EIA Energy Use '!N35/B38*1000000</f>
        <v>51.024612771206371</v>
      </c>
      <c r="E38">
        <f>'EIA Energy Use '!O35/B38*1000000</f>
        <v>39.144899931280435</v>
      </c>
      <c r="F38">
        <f>'EIA Energy Use '!M35/B38*1000000</f>
        <v>8.8391709522246131</v>
      </c>
      <c r="G38">
        <f>'EIA Energy Use '!L35/B38*1000000</f>
        <v>3.0405418877013237</v>
      </c>
      <c r="H38" s="158">
        <v>3266553881</v>
      </c>
      <c r="I38" s="153">
        <f>'EIA Energy Use '!N35/$H38*1000000000</f>
        <v>94.013450011112809</v>
      </c>
      <c r="J38" s="153">
        <f>'EIA Energy Use '!O35/$H38*1000000000</f>
        <v>72.124939181433334</v>
      </c>
      <c r="K38" s="153">
        <f>'EIA Energy Use '!M35/$H38*1000000000</f>
        <v>16.286276589355914</v>
      </c>
      <c r="L38" s="153">
        <f>'EIA Energy Use '!L35/$H38*1000000000</f>
        <v>5.6022342403235568</v>
      </c>
      <c r="M38" s="225">
        <v>1981</v>
      </c>
      <c r="N38" s="153">
        <v>2.794156280272174</v>
      </c>
      <c r="O38" s="157">
        <v>1386.1446742647133</v>
      </c>
    </row>
    <row r="39" spans="1:15">
      <c r="A39">
        <v>1991</v>
      </c>
      <c r="B39" s="1">
        <v>5998652</v>
      </c>
      <c r="C39" s="2">
        <v>-3.3E-3</v>
      </c>
      <c r="D39">
        <f>'EIA Energy Use '!N36/B39*1000000</f>
        <v>49.29440814369628</v>
      </c>
      <c r="E39">
        <f>'EIA Energy Use '!O36/B39*1000000</f>
        <v>37.341722773716498</v>
      </c>
      <c r="F39">
        <f>'EIA Energy Use '!M36/B39*1000000</f>
        <v>8.7519662750898028</v>
      </c>
      <c r="G39">
        <f>'EIA Energy Use '!L36/B39*1000000</f>
        <v>3.2007190948899851</v>
      </c>
      <c r="H39" s="158">
        <v>3295478334</v>
      </c>
      <c r="I39" s="153">
        <f>'EIA Energy Use '!N36/$H39*1000000000</f>
        <v>89.729007455219389</v>
      </c>
      <c r="J39" s="153">
        <f>'EIA Energy Use '!O36/$H39*1000000000</f>
        <v>67.971923131447895</v>
      </c>
      <c r="K39" s="153">
        <f>'EIA Energy Use '!M36/$H39*1000000000</f>
        <v>15.930919483933103</v>
      </c>
      <c r="L39" s="153">
        <f>'EIA Energy Use '!L36/$H39*1000000000</f>
        <v>5.8261648398383912</v>
      </c>
      <c r="M39" s="225">
        <v>1991</v>
      </c>
      <c r="N39" s="153">
        <v>2.5968561958657825</v>
      </c>
      <c r="O39" s="157">
        <v>1422.4200135444798</v>
      </c>
    </row>
    <row r="40" spans="1:15">
      <c r="A40">
        <v>1992</v>
      </c>
      <c r="B40" s="1">
        <v>5993474</v>
      </c>
      <c r="C40" s="2">
        <v>-8.9999999999999998E-4</v>
      </c>
      <c r="D40">
        <f>'EIA Energy Use '!N37/B40*1000000</f>
        <v>55.159995688644017</v>
      </c>
      <c r="E40">
        <f>'EIA Energy Use '!O37/B40*1000000</f>
        <v>42.946711706766386</v>
      </c>
      <c r="F40">
        <f>'EIA Energy Use '!M37/B40*1000000</f>
        <v>8.8596363311161443</v>
      </c>
      <c r="G40">
        <f>'EIA Energy Use '!L37/B40*1000000</f>
        <v>3.3536476507614776</v>
      </c>
      <c r="H40" s="158">
        <v>3320085982</v>
      </c>
      <c r="I40" s="153">
        <f>'EIA Energy Use '!N37/$H40*1000000000</f>
        <v>99.575734421446683</v>
      </c>
      <c r="J40" s="153">
        <f>'EIA Energy Use '!O37/$H40*1000000000</f>
        <v>77.528112643921276</v>
      </c>
      <c r="K40" s="153">
        <f>'EIA Energy Use '!M37/$H40*1000000000</f>
        <v>15.993561699270474</v>
      </c>
      <c r="L40" s="153">
        <f>'EIA Energy Use '!L37/$H40*1000000000</f>
        <v>6.054060078254925</v>
      </c>
      <c r="M40" s="225">
        <v>2001</v>
      </c>
      <c r="N40" s="153">
        <v>2.5488320689076533</v>
      </c>
      <c r="O40" s="157">
        <v>1472.4875956749656</v>
      </c>
    </row>
    <row r="41" spans="1:15">
      <c r="A41">
        <v>1993</v>
      </c>
      <c r="B41" s="1">
        <v>6010884</v>
      </c>
      <c r="C41" s="2">
        <v>2.8999999999999998E-3</v>
      </c>
      <c r="D41">
        <f>'EIA Energy Use '!N38/B41*1000000</f>
        <v>55.599143154318064</v>
      </c>
      <c r="E41">
        <f>'EIA Energy Use '!O38/B41*1000000</f>
        <v>43.171686560579111</v>
      </c>
      <c r="F41">
        <f>'EIA Energy Use '!M38/B41*1000000</f>
        <v>8.9670670736617115</v>
      </c>
      <c r="G41">
        <f>'EIA Energy Use '!L38/B41*1000000</f>
        <v>3.4603895200772463</v>
      </c>
      <c r="H41" s="158">
        <v>3352639942</v>
      </c>
      <c r="I41" s="153">
        <f>'EIA Energy Use '!N38/$H41*1000000000</f>
        <v>99.682639884268241</v>
      </c>
      <c r="J41" s="153">
        <f>'EIA Energy Use '!O38/$H41*1000000000</f>
        <v>77.401690753942574</v>
      </c>
      <c r="K41" s="153">
        <f>'EIA Energy Use '!M38/$H41*1000000000</f>
        <v>16.076882973554934</v>
      </c>
      <c r="L41" s="153">
        <f>'EIA Energy Use '!L38/$H41*1000000000</f>
        <v>6.204066156770736</v>
      </c>
      <c r="M41" s="225">
        <v>2011</v>
      </c>
      <c r="N41" s="153">
        <v>2.4587000970693325</v>
      </c>
      <c r="O41" s="157">
        <v>1506.9344322007325</v>
      </c>
    </row>
    <row r="42" spans="1:15">
      <c r="A42">
        <v>1994</v>
      </c>
      <c r="B42" s="1">
        <v>6031352</v>
      </c>
      <c r="C42" s="2">
        <v>3.3999999999999998E-3</v>
      </c>
      <c r="D42">
        <f>'EIA Energy Use '!N39/B42*1000000</f>
        <v>54.830160799767611</v>
      </c>
      <c r="E42">
        <f>'EIA Energy Use '!O39/B42*1000000</f>
        <v>42.47803809162523</v>
      </c>
      <c r="F42">
        <f>'EIA Energy Use '!M39/B42*1000000</f>
        <v>9.0858567034389637</v>
      </c>
      <c r="G42">
        <f>'EIA Energy Use '!L39/B42*1000000</f>
        <v>3.2662660047034229</v>
      </c>
      <c r="H42" s="158">
        <v>3388685792</v>
      </c>
      <c r="I42" s="153">
        <f>'EIA Energy Use '!N39/$H42*1000000000</f>
        <v>97.589455115819717</v>
      </c>
      <c r="J42" s="153">
        <f>'EIA Energy Use '!O39/$H42*1000000000</f>
        <v>75.604530996894496</v>
      </c>
      <c r="K42" s="153">
        <f>'EIA Energy Use '!M39/$H42*1000000000</f>
        <v>16.171460962645664</v>
      </c>
      <c r="L42" s="153">
        <f>'EIA Energy Use '!L39/$H42*1000000000</f>
        <v>5.8134631562795542</v>
      </c>
      <c r="M42" s="225">
        <v>2021</v>
      </c>
      <c r="N42" s="153">
        <v>2.4703256967859031</v>
      </c>
      <c r="O42" s="157">
        <v>1513.3581996981459</v>
      </c>
    </row>
    <row r="43" spans="1:15">
      <c r="A43">
        <v>1995</v>
      </c>
      <c r="B43" s="1">
        <v>6062335</v>
      </c>
      <c r="C43" s="2">
        <v>5.1000000000000004E-3</v>
      </c>
      <c r="D43">
        <f>'EIA Energy Use '!N40/B43*1000000</f>
        <v>50.310647629997348</v>
      </c>
      <c r="E43">
        <f>'EIA Energy Use '!O40/B43*1000000</f>
        <v>38.054643961443901</v>
      </c>
      <c r="F43">
        <f>'EIA Energy Use '!M40/B43*1000000</f>
        <v>9.0064306904847715</v>
      </c>
      <c r="G43">
        <f>'EIA Energy Use '!L40/B43*1000000</f>
        <v>3.2495729780686813</v>
      </c>
      <c r="H43" s="158">
        <v>3429009639</v>
      </c>
      <c r="I43" s="153">
        <f>'EIA Energy Use '!N40/$H43*1000000000</f>
        <v>88.946964899447465</v>
      </c>
      <c r="J43" s="153">
        <f>'EIA Energy Use '!O40/$H43*1000000000</f>
        <v>67.278900991155837</v>
      </c>
      <c r="K43" s="153">
        <f>'EIA Energy Use '!M40/$H43*1000000000</f>
        <v>15.922964863966659</v>
      </c>
      <c r="L43" s="153">
        <f>'EIA Energy Use '!L40/$H43*1000000000</f>
        <v>5.7450990443249665</v>
      </c>
    </row>
    <row r="44" spans="1:15">
      <c r="A44">
        <v>1996</v>
      </c>
      <c r="B44" s="1">
        <v>6085393</v>
      </c>
      <c r="C44" s="2">
        <v>3.8E-3</v>
      </c>
      <c r="D44">
        <f>'EIA Energy Use '!N41/B44*1000000</f>
        <v>50.366508785874636</v>
      </c>
      <c r="E44">
        <f>'EIA Energy Use '!O41/B44*1000000</f>
        <v>37.877586542068855</v>
      </c>
      <c r="F44">
        <f>'EIA Energy Use '!M41/B44*1000000</f>
        <v>9.1201997964634334</v>
      </c>
      <c r="G44">
        <f>'EIA Energy Use '!L41/B44*1000000</f>
        <v>3.3687224473423489</v>
      </c>
      <c r="H44" s="158">
        <v>3465569195</v>
      </c>
      <c r="I44" s="153">
        <f>'EIA Energy Use '!N41/$H44*1000000000</f>
        <v>88.441460191361145</v>
      </c>
      <c r="J44" s="153">
        <f>'EIA Energy Use '!O41/$H44*1000000000</f>
        <v>66.511440698560335</v>
      </c>
      <c r="K44" s="153">
        <f>'EIA Energy Use '!M41/$H44*1000000000</f>
        <v>16.014685287505852</v>
      </c>
      <c r="L44" s="153">
        <f>'EIA Energy Use '!L41/$H44*1000000000</f>
        <v>5.9153342052949549</v>
      </c>
    </row>
    <row r="45" spans="1:15">
      <c r="A45">
        <v>1997</v>
      </c>
      <c r="B45" s="1">
        <v>6115476</v>
      </c>
      <c r="C45" s="2">
        <v>4.8999999999999998E-3</v>
      </c>
      <c r="D45">
        <f>'EIA Energy Use '!N42/B45*1000000</f>
        <v>48.696127660381634</v>
      </c>
      <c r="E45">
        <f>'EIA Energy Use '!O42/B45*1000000</f>
        <v>37.217053913710068</v>
      </c>
      <c r="F45">
        <f>'EIA Energy Use '!M42/B45*1000000</f>
        <v>9.0753360817702493</v>
      </c>
      <c r="G45">
        <f>'EIA Energy Use '!L42/B45*1000000</f>
        <v>2.4037376649013091</v>
      </c>
      <c r="H45" s="158">
        <v>3502677707</v>
      </c>
      <c r="I45" s="153">
        <f>'EIA Energy Use '!N42/$H45*1000000000</f>
        <v>85.020668445987866</v>
      </c>
      <c r="J45" s="153">
        <f>'EIA Energy Use '!O42/$H45*1000000000</f>
        <v>64.978858758585758</v>
      </c>
      <c r="K45" s="153">
        <f>'EIA Energy Use '!M42/$H45*1000000000</f>
        <v>15.845020479356366</v>
      </c>
      <c r="L45" s="153">
        <f>'EIA Energy Use '!L42/$H45*1000000000</f>
        <v>4.1967892080457405</v>
      </c>
    </row>
    <row r="46" spans="1:15">
      <c r="A46">
        <v>1998</v>
      </c>
      <c r="B46" s="1">
        <v>6144407</v>
      </c>
      <c r="C46" s="2">
        <v>4.7000000000000002E-3</v>
      </c>
      <c r="D46">
        <f>'EIA Energy Use '!N43/B46*1000000</f>
        <v>45.146748905142509</v>
      </c>
      <c r="E46">
        <f>'EIA Energy Use '!O43/B46*1000000</f>
        <v>33.917024051303891</v>
      </c>
      <c r="F46">
        <f>'EIA Energy Use '!M43/B46*1000000</f>
        <v>9.0977046279649105</v>
      </c>
      <c r="G46">
        <f>'EIA Energy Use '!L43/B46*1000000</f>
        <v>2.1320202258737089</v>
      </c>
      <c r="H46" s="158">
        <v>3540982275</v>
      </c>
      <c r="I46" s="153">
        <f>'EIA Energy Use '!N43/$H46*1000000000</f>
        <v>78.339844273860422</v>
      </c>
      <c r="J46" s="153">
        <f>'EIA Energy Use '!O43/$H46*1000000000</f>
        <v>58.853725835156851</v>
      </c>
      <c r="K46" s="153">
        <f>'EIA Energy Use '!M43/$H46*1000000000</f>
        <v>15.786580010485933</v>
      </c>
      <c r="L46" s="153">
        <f>'EIA Energy Use '!L43/$H46*1000000000</f>
        <v>3.6995384282176333</v>
      </c>
    </row>
    <row r="47" spans="1:15">
      <c r="A47">
        <v>1999</v>
      </c>
      <c r="B47" s="1">
        <v>6175169</v>
      </c>
      <c r="C47" s="2">
        <v>5.0000000000000001E-3</v>
      </c>
      <c r="D47">
        <f>'EIA Energy Use '!N44/B47*1000000</f>
        <v>47.707196353654453</v>
      </c>
      <c r="E47">
        <f>'EIA Energy Use '!O44/B47*1000000</f>
        <v>35.918045319893267</v>
      </c>
      <c r="F47">
        <f>'EIA Energy Use '!M44/B47*1000000</f>
        <v>9.6029760481049173</v>
      </c>
      <c r="G47">
        <f>'EIA Energy Use '!L44/B47*1000000</f>
        <v>2.1861749856562631</v>
      </c>
      <c r="H47" s="158">
        <v>3583477337</v>
      </c>
      <c r="I47" s="153">
        <f>'EIA Energy Use '!N44/$H47*1000000000</f>
        <v>82.210649683257643</v>
      </c>
      <c r="J47" s="153">
        <f>'EIA Energy Use '!O44/$H47*1000000000</f>
        <v>61.895187032405111</v>
      </c>
      <c r="K47" s="153">
        <f>'EIA Energy Use '!M44/$H47*1000000000</f>
        <v>16.548172186752133</v>
      </c>
      <c r="L47" s="153">
        <f>'EIA Energy Use '!L44/$H47*1000000000</f>
        <v>3.7672904641004008</v>
      </c>
    </row>
    <row r="48" spans="1:15">
      <c r="A48">
        <v>2000</v>
      </c>
      <c r="B48" s="1">
        <v>6361104</v>
      </c>
      <c r="C48" s="2">
        <v>3.0099999999999998E-2</v>
      </c>
      <c r="D48">
        <f>'EIA Energy Use '!N45/B48*1000000</f>
        <v>50.258571468097358</v>
      </c>
      <c r="E48">
        <f>'EIA Energy Use '!O45/B48*1000000</f>
        <v>38.562488524004635</v>
      </c>
      <c r="F48">
        <f>'EIA Energy Use '!M45/B48*1000000</f>
        <v>9.4166044133219646</v>
      </c>
      <c r="G48">
        <f>'EIA Energy Use '!L45/B48*1000000</f>
        <v>2.279478530770759</v>
      </c>
      <c r="H48" s="158">
        <v>3625787501</v>
      </c>
      <c r="I48" s="153">
        <f>'EIA Energy Use '!N45/$H48*1000000000</f>
        <v>88.173948393783704</v>
      </c>
      <c r="J48" s="153">
        <f>'EIA Energy Use '!O45/$H48*1000000000</f>
        <v>67.654268192039865</v>
      </c>
      <c r="K48" s="153">
        <f>'EIA Energy Use '!M45/$H48*1000000000</f>
        <v>16.52054897962979</v>
      </c>
      <c r="L48" s="153">
        <f>'EIA Energy Use '!L45/$H48*1000000000</f>
        <v>3.9991312221140562</v>
      </c>
    </row>
    <row r="49" spans="1:12">
      <c r="A49">
        <v>2001</v>
      </c>
      <c r="B49" s="1">
        <v>6397634</v>
      </c>
      <c r="C49" s="2">
        <v>5.7000000000000002E-3</v>
      </c>
      <c r="D49">
        <f>'EIA Energy Use '!N46/B49*1000000</f>
        <v>50.159168217500408</v>
      </c>
      <c r="E49">
        <f>'EIA Energy Use '!O46/B49*1000000</f>
        <v>38.733069131494553</v>
      </c>
      <c r="F49">
        <f>'EIA Energy Use '!M46/B49*1000000</f>
        <v>9.5972980011047841</v>
      </c>
      <c r="G49">
        <f>'EIA Energy Use '!L46/B49*1000000</f>
        <v>1.8288010849010741</v>
      </c>
      <c r="H49" s="158">
        <v>3667945986</v>
      </c>
      <c r="I49" s="153">
        <f>'EIA Energy Use '!N46/$H49*1000000000</f>
        <v>87.487656913386175</v>
      </c>
      <c r="J49" s="153">
        <f>'EIA Energy Use '!O46/$H49*1000000000</f>
        <v>67.558246753309732</v>
      </c>
      <c r="K49" s="153">
        <f>'EIA Energy Use '!M46/$H49*1000000000</f>
        <v>16.739614005864478</v>
      </c>
      <c r="L49" s="153">
        <f>'EIA Energy Use '!L46/$H49*1000000000</f>
        <v>3.1897961542119608</v>
      </c>
    </row>
    <row r="50" spans="1:12">
      <c r="A50">
        <v>2002</v>
      </c>
      <c r="B50" s="1">
        <v>6417206</v>
      </c>
      <c r="C50" s="2">
        <v>3.0999999999999999E-3</v>
      </c>
      <c r="D50">
        <f>'EIA Energy Use '!N47/B50*1000000</f>
        <v>50.255516185704494</v>
      </c>
      <c r="E50">
        <f>'EIA Energy Use '!O47/B50*1000000</f>
        <v>38.459105099633703</v>
      </c>
      <c r="F50">
        <f>'EIA Energy Use '!M47/B50*1000000</f>
        <v>9.9420214965827807</v>
      </c>
      <c r="G50">
        <f>'EIA Energy Use '!L47/B50*1000000</f>
        <v>1.8543895894880107</v>
      </c>
      <c r="H50" s="158">
        <v>3706819931</v>
      </c>
      <c r="I50" s="153">
        <f>'EIA Energy Use '!N47/$H50*1000000000</f>
        <v>87.001798307747364</v>
      </c>
      <c r="J50" s="153">
        <f>'EIA Energy Use '!O47/$H50*1000000000</f>
        <v>66.579980844502472</v>
      </c>
      <c r="K50" s="153">
        <f>'EIA Energy Use '!M47/$H50*1000000000</f>
        <v>17.211518548943509</v>
      </c>
      <c r="L50" s="153">
        <f>'EIA Energy Use '!L47/$H50*1000000000</f>
        <v>3.2102989143013749</v>
      </c>
    </row>
    <row r="51" spans="1:12">
      <c r="A51">
        <v>2003</v>
      </c>
      <c r="B51" s="1">
        <v>6422565</v>
      </c>
      <c r="C51" s="2">
        <v>8.0000000000000004E-4</v>
      </c>
      <c r="D51">
        <f>'EIA Energy Use '!N48/B51*1000000</f>
        <v>52.564668477469674</v>
      </c>
      <c r="E51">
        <f>'EIA Energy Use '!O48/B51*1000000</f>
        <v>40.233146725646229</v>
      </c>
      <c r="F51">
        <f>'EIA Energy Use '!M48/B51*1000000</f>
        <v>10.400828952295539</v>
      </c>
      <c r="G51">
        <f>'EIA Energy Use '!L48/B51*1000000</f>
        <v>1.9306927995279144</v>
      </c>
      <c r="H51" s="158">
        <v>3746753687</v>
      </c>
      <c r="I51" s="153">
        <f>'EIA Energy Use '!N48/$H51*1000000000</f>
        <v>90.104668788706533</v>
      </c>
      <c r="J51" s="153">
        <f>'EIA Energy Use '!O48/$H51*1000000000</f>
        <v>68.966369712682976</v>
      </c>
      <c r="K51" s="153">
        <f>'EIA Energy Use '!M48/$H51*1000000000</f>
        <v>17.828767402504724</v>
      </c>
      <c r="L51" s="153">
        <f>'EIA Energy Use '!L48/$H51*1000000000</f>
        <v>3.3095316735188418</v>
      </c>
    </row>
    <row r="52" spans="1:12">
      <c r="A52">
        <v>2004</v>
      </c>
      <c r="B52" s="1">
        <v>6412281</v>
      </c>
      <c r="C52" s="2">
        <v>-1.6000000000000001E-3</v>
      </c>
      <c r="D52">
        <f>'EIA Energy Use '!N49/B52*1000000</f>
        <v>49.233650240842529</v>
      </c>
      <c r="E52">
        <f>'EIA Energy Use '!O49/B52*1000000</f>
        <v>36.71080540606377</v>
      </c>
      <c r="F52">
        <f>'EIA Energy Use '!M49/B52*1000000</f>
        <v>10.526675296980901</v>
      </c>
      <c r="G52">
        <f>'EIA Energy Use '!L49/B52*1000000</f>
        <v>1.9961695377978601</v>
      </c>
      <c r="H52" s="158">
        <v>3787572527</v>
      </c>
      <c r="I52" s="153">
        <f>'EIA Energy Use '!N49/$H52*1000000000</f>
        <v>83.351539211330859</v>
      </c>
      <c r="J52" s="153">
        <f>'EIA Energy Use '!O49/$H52*1000000000</f>
        <v>62.150625056532412</v>
      </c>
      <c r="K52" s="153">
        <f>'EIA Energy Use '!M49/$H52*1000000000</f>
        <v>17.82144091468113</v>
      </c>
      <c r="L52" s="153">
        <f>'EIA Energy Use '!L49/$H52*1000000000</f>
        <v>3.3794732401173104</v>
      </c>
    </row>
    <row r="53" spans="1:12">
      <c r="A53">
        <v>2005</v>
      </c>
      <c r="B53" s="1">
        <v>6403290</v>
      </c>
      <c r="C53" s="2">
        <v>-1.4E-3</v>
      </c>
      <c r="D53">
        <f>'EIA Energy Use '!N50/B53*1000000</f>
        <v>48.365761975484475</v>
      </c>
      <c r="E53">
        <f>'EIA Energy Use '!O50/B53*1000000</f>
        <v>36.824819741101841</v>
      </c>
      <c r="F53">
        <f>'EIA Energy Use '!M50/B53*1000000</f>
        <v>10.947497302168102</v>
      </c>
      <c r="G53">
        <f>'EIA Energy Use '!L50/B53*1000000</f>
        <v>0.59344493221453354</v>
      </c>
      <c r="H53" s="158">
        <v>3835896428</v>
      </c>
      <c r="I53" s="153">
        <f>'EIA Energy Use '!N50/$H53*1000000000</f>
        <v>80.737320679295465</v>
      </c>
      <c r="J53" s="153">
        <f>'EIA Energy Use '!O50/$H53*1000000000</f>
        <v>61.471941285688949</v>
      </c>
      <c r="K53" s="153">
        <f>'EIA Energy Use '!M50/$H53*1000000000</f>
        <v>18.274737422081408</v>
      </c>
      <c r="L53" s="153">
        <f>'EIA Energy Use '!L50/$H53*1000000000</f>
        <v>0.99064197152509781</v>
      </c>
    </row>
    <row r="54" spans="1:12">
      <c r="A54">
        <v>2006</v>
      </c>
      <c r="B54" s="1">
        <v>6410084</v>
      </c>
      <c r="C54" s="2">
        <v>1.1000000000000001E-3</v>
      </c>
      <c r="D54">
        <f>'EIA Energy Use '!N51/B54*1000000</f>
        <v>42.760750093134504</v>
      </c>
      <c r="E54">
        <f>'EIA Energy Use '!O51/B54*1000000</f>
        <v>31.778054702559281</v>
      </c>
      <c r="F54">
        <f>'EIA Energy Use '!M51/B54*1000000</f>
        <v>10.452281124553126</v>
      </c>
      <c r="G54">
        <f>'EIA Energy Use '!L51/B54*1000000</f>
        <v>0.53041426602209896</v>
      </c>
      <c r="H54" s="158">
        <v>3882940211</v>
      </c>
      <c r="I54" s="153">
        <f>'EIA Energy Use '!N51/$H54*1000000000</f>
        <v>70.59083712479034</v>
      </c>
      <c r="J54" s="153">
        <f>'EIA Energy Use '!O51/$H54*1000000000</f>
        <v>52.46024634191825</v>
      </c>
      <c r="K54" s="153">
        <f>'EIA Energy Use '!M51/$H54*1000000000</f>
        <v>17.254965659835651</v>
      </c>
      <c r="L54" s="153">
        <f>'EIA Energy Use '!L51/$H54*1000000000</f>
        <v>0.87562512303643614</v>
      </c>
    </row>
    <row r="55" spans="1:12">
      <c r="A55">
        <v>2007</v>
      </c>
      <c r="B55" s="1">
        <v>6431559</v>
      </c>
      <c r="C55" s="2">
        <v>3.3999999999999998E-3</v>
      </c>
      <c r="D55">
        <f>'EIA Energy Use '!N52/B55*1000000</f>
        <v>44.96576957468632</v>
      </c>
      <c r="E55">
        <f>'EIA Energy Use '!O52/B55*1000000</f>
        <v>33.70877885128629</v>
      </c>
      <c r="F55">
        <f>'EIA Energy Use '!M52/B55*1000000</f>
        <v>10.681702523447271</v>
      </c>
      <c r="G55">
        <f>'EIA Energy Use '!L52/B55*1000000</f>
        <v>0.57528819995276426</v>
      </c>
      <c r="H55" s="158">
        <v>3925264147</v>
      </c>
      <c r="I55" s="153">
        <f>'EIA Energy Use '!N52/$H55*1000000000</f>
        <v>73.67657033247805</v>
      </c>
      <c r="J55" s="153">
        <f>'EIA Energy Use '!O52/$H55*1000000000</f>
        <v>55.231951756850776</v>
      </c>
      <c r="K55" s="153">
        <f>'EIA Energy Use '!M52/$H55*1000000000</f>
        <v>17.502006852839703</v>
      </c>
      <c r="L55" s="153">
        <f>'EIA Energy Use '!L52/$H55*1000000000</f>
        <v>0.94261172278758243</v>
      </c>
    </row>
    <row r="56" spans="1:12">
      <c r="A56">
        <v>2008</v>
      </c>
      <c r="B56" s="1">
        <v>6468967</v>
      </c>
      <c r="C56" s="2">
        <v>5.7999999999999996E-3</v>
      </c>
      <c r="D56">
        <f>'EIA Energy Use '!N53/B56*1000000</f>
        <v>47.117259989114181</v>
      </c>
      <c r="E56">
        <f>'EIA Energy Use '!O53/B56*1000000</f>
        <v>36.110865923415595</v>
      </c>
      <c r="F56">
        <f>'EIA Energy Use '!M53/B56*1000000</f>
        <v>10.357140483171424</v>
      </c>
      <c r="G56">
        <f>'EIA Energy Use '!L53/B56*1000000</f>
        <v>0.64925358252716392</v>
      </c>
      <c r="H56" s="158">
        <v>3955911937</v>
      </c>
      <c r="I56" s="153">
        <f>'EIA Energy Use '!N53/$H56*1000000000</f>
        <v>77.049237913811538</v>
      </c>
      <c r="J56" s="153">
        <f>'EIA Energy Use '!O53/$H56*1000000000</f>
        <v>59.050859503498607</v>
      </c>
      <c r="K56" s="153">
        <f>'EIA Energy Use '!M53/$H56*1000000000</f>
        <v>16.93667631307537</v>
      </c>
      <c r="L56" s="153">
        <f>'EIA Energy Use '!L53/$H56*1000000000</f>
        <v>1.0617020972375604</v>
      </c>
    </row>
    <row r="57" spans="1:12">
      <c r="A57">
        <v>2009</v>
      </c>
      <c r="B57" s="1">
        <v>6517613</v>
      </c>
      <c r="C57" s="2">
        <v>7.4999999999999997E-3</v>
      </c>
      <c r="D57">
        <f>'EIA Energy Use '!N54/B57*1000000</f>
        <v>46.627499975834709</v>
      </c>
      <c r="E57">
        <f>'EIA Energy Use '!O54/B57*1000000</f>
        <v>34.828701857566564</v>
      </c>
      <c r="F57">
        <f>'EIA Energy Use '!M54/B57*1000000</f>
        <v>10.187778869349868</v>
      </c>
      <c r="G57">
        <f>'EIA Energy Use '!L54/B57*1000000</f>
        <v>1.6110192489182773</v>
      </c>
      <c r="H57" s="158">
        <v>3977774035</v>
      </c>
      <c r="I57" s="153">
        <f>'EIA Energy Use '!N54/$H57*1000000000</f>
        <v>76.399513226748681</v>
      </c>
      <c r="J57" s="153">
        <f>'EIA Energy Use '!O54/$H57*1000000000</f>
        <v>57.067092801816223</v>
      </c>
      <c r="K57" s="153">
        <f>'EIA Energy Use '!M54/$H57*1000000000</f>
        <v>16.692753136742724</v>
      </c>
      <c r="L57" s="153">
        <f>'EIA Energy Use '!L54/$H57*1000000000</f>
        <v>2.6396672881897376</v>
      </c>
    </row>
    <row r="58" spans="1:12">
      <c r="A58">
        <v>2010</v>
      </c>
      <c r="B58" s="1">
        <v>6566440</v>
      </c>
      <c r="C58" s="2">
        <v>7.4999999999999997E-3</v>
      </c>
      <c r="D58">
        <f>'EIA Energy Use '!N55/B58*1000000</f>
        <v>46.52444855964572</v>
      </c>
      <c r="E58">
        <f>'EIA Energy Use '!O55/B58*1000000</f>
        <v>33.686441968555258</v>
      </c>
      <c r="F58">
        <f>'EIA Energy Use '!M55/B58*1000000</f>
        <v>11.11713500770585</v>
      </c>
      <c r="G58">
        <f>'EIA Energy Use '!L55/B58*1000000</f>
        <v>1.7208715833846042</v>
      </c>
      <c r="H58" s="158">
        <v>3993691307</v>
      </c>
      <c r="I58" s="153">
        <f>'EIA Energy Use '!N55/$H58*1000000000</f>
        <v>76.495646888013226</v>
      </c>
      <c r="J58" s="153">
        <f>'EIA Energy Use '!O55/$H58*1000000000</f>
        <v>55.387355455412511</v>
      </c>
      <c r="K58" s="153">
        <f>'EIA Energy Use '!M55/$H58*1000000000</f>
        <v>18.278828879950783</v>
      </c>
      <c r="L58" s="153">
        <f>'EIA Energy Use '!L55/$H58*1000000000</f>
        <v>2.8294625526499164</v>
      </c>
    </row>
    <row r="59" spans="1:12">
      <c r="A59">
        <v>2011</v>
      </c>
      <c r="B59" s="1">
        <v>6614218</v>
      </c>
      <c r="C59" s="2">
        <v>7.3000000000000001E-3</v>
      </c>
      <c r="D59">
        <f>'EIA Energy Use '!N56/B59*1000000</f>
        <v>45.931355755132358</v>
      </c>
      <c r="E59">
        <f>'EIA Energy Use '!O56/B59*1000000</f>
        <v>33.685010079800819</v>
      </c>
      <c r="F59">
        <f>'EIA Energy Use '!M56/B59*1000000</f>
        <v>10.568142749452772</v>
      </c>
      <c r="G59">
        <f>'EIA Energy Use '!L56/B59*1000000</f>
        <v>1.6782029258787661</v>
      </c>
      <c r="H59" s="158">
        <v>4013034205</v>
      </c>
      <c r="I59" s="153">
        <f>'EIA Energy Use '!N56/$H59*1000000000</f>
        <v>75.703316862209505</v>
      </c>
      <c r="J59" s="153">
        <f>'EIA Energy Use '!O56/$H59*1000000000</f>
        <v>55.519088205728366</v>
      </c>
      <c r="K59" s="153">
        <f>'EIA Energy Use '!M56/$H59*1000000000</f>
        <v>17.418241766518911</v>
      </c>
      <c r="L59" s="153">
        <f>'EIA Energy Use '!L56/$H59*1000000000</f>
        <v>2.76598688996223</v>
      </c>
    </row>
    <row r="60" spans="1:12">
      <c r="A60">
        <v>2012</v>
      </c>
      <c r="B60" s="1">
        <v>6664269</v>
      </c>
      <c r="C60" s="2">
        <v>7.6E-3</v>
      </c>
      <c r="D60">
        <f>'EIA Energy Use '!N57/B60*1000000</f>
        <v>40.949727569520377</v>
      </c>
      <c r="E60">
        <f>'EIA Energy Use '!O57/B60*1000000</f>
        <v>29.110469580384581</v>
      </c>
      <c r="F60">
        <f>'EIA Energy Use '!M57/B60*1000000</f>
        <v>10.398739906807482</v>
      </c>
      <c r="G60">
        <f>'EIA Energy Use '!L57/B60*1000000</f>
        <v>1.4405180823283092</v>
      </c>
      <c r="H60" s="158">
        <v>4030985589</v>
      </c>
      <c r="I60" s="153">
        <f>'EIA Energy Use '!N57/$H60*1000000000</f>
        <v>67.700564533077511</v>
      </c>
      <c r="J60" s="153">
        <f>'EIA Energy Use '!O57/$H60*1000000000</f>
        <v>48.127187685661553</v>
      </c>
      <c r="K60" s="153">
        <f>'EIA Energy Use '!M57/$H60*1000000000</f>
        <v>17.191825291836835</v>
      </c>
      <c r="L60" s="153">
        <f>'EIA Energy Use '!L57/$H60*1000000000</f>
        <v>2.3815515555791285</v>
      </c>
    </row>
    <row r="61" spans="1:12">
      <c r="A61">
        <v>2013</v>
      </c>
      <c r="B61" s="1">
        <v>6715158</v>
      </c>
      <c r="C61" s="2">
        <v>7.6E-3</v>
      </c>
      <c r="D61">
        <f>'EIA Energy Use '!N58/B61*1000000</f>
        <v>42.485969801455155</v>
      </c>
      <c r="E61">
        <f>'EIA Energy Use '!O58/B61*1000000</f>
        <v>30.096090069660317</v>
      </c>
      <c r="F61">
        <f>'EIA Energy Use '!M58/B61*1000000</f>
        <v>10.528419435551628</v>
      </c>
      <c r="G61">
        <f>'EIA Energy Use '!L58/B61*1000000</f>
        <v>1.8614602962432156</v>
      </c>
      <c r="H61" s="158">
        <v>4054164722</v>
      </c>
      <c r="I61" s="153">
        <f>'EIA Energy Use '!N58/$H61*1000000000</f>
        <v>70.372078976420042</v>
      </c>
      <c r="J61" s="153">
        <f>'EIA Energy Use '!O58/$H61*1000000000</f>
        <v>49.849972524130713</v>
      </c>
      <c r="K61" s="153">
        <f>'EIA Energy Use '!M58/$H61*1000000000</f>
        <v>17.43885728577952</v>
      </c>
      <c r="L61" s="153">
        <f>'EIA Energy Use '!L58/$H61*1000000000</f>
        <v>3.0832491665098161</v>
      </c>
    </row>
    <row r="62" spans="1:12">
      <c r="A62">
        <v>2014</v>
      </c>
      <c r="B62" s="1">
        <v>6764864</v>
      </c>
      <c r="C62" s="2">
        <v>7.4000000000000003E-3</v>
      </c>
      <c r="D62">
        <f>'EIA Energy Use '!N59/B62*1000000</f>
        <v>44.95286231918336</v>
      </c>
      <c r="E62">
        <f>'EIA Energy Use '!O59/B62*1000000</f>
        <v>32.86097104095515</v>
      </c>
      <c r="F62">
        <f>'EIA Energy Use '!M59/B62*1000000</f>
        <v>10.125850275777902</v>
      </c>
      <c r="G62">
        <f>'EIA Energy Use '!L59/B62*1000000</f>
        <v>1.9660410024503079</v>
      </c>
      <c r="H62" s="158">
        <v>4085028001</v>
      </c>
      <c r="I62" s="153">
        <f>'EIA Energy Use '!N59/$H62*1000000000</f>
        <v>74.442574182002531</v>
      </c>
      <c r="J62" s="153">
        <f>'EIA Energy Use '!O59/$H62*1000000000</f>
        <v>54.418231636498398</v>
      </c>
      <c r="K62" s="153">
        <f>'EIA Energy Use '!M59/$H62*1000000000</f>
        <v>16.768550909132436</v>
      </c>
      <c r="L62" s="153">
        <f>'EIA Energy Use '!L59/$H62*1000000000</f>
        <v>3.2557916363716988</v>
      </c>
    </row>
    <row r="63" spans="1:12">
      <c r="A63">
        <v>2015</v>
      </c>
      <c r="B63" s="1">
        <v>6797484</v>
      </c>
      <c r="C63" s="2">
        <v>4.7999999999999996E-3</v>
      </c>
      <c r="D63">
        <f>'EIA Energy Use '!N60/B63*1000000</f>
        <v>44.604739047565246</v>
      </c>
      <c r="E63">
        <f>'EIA Energy Use '!O60/B63*1000000</f>
        <v>32.585586078613787</v>
      </c>
      <c r="F63">
        <f>'EIA Energy Use '!M60/B63*1000000</f>
        <v>10.121391973853855</v>
      </c>
      <c r="G63">
        <f>'EIA Energy Use '!L60/B63*1000000</f>
        <v>1.8977609950975975</v>
      </c>
      <c r="H63" s="158">
        <v>4112614485</v>
      </c>
      <c r="I63" s="153">
        <f>'EIA Energy Use '!N60/$H63*1000000000</f>
        <v>73.724391407428513</v>
      </c>
      <c r="J63" s="153">
        <f>'EIA Energy Use '!O60/$H63*1000000000</f>
        <v>53.858683036759274</v>
      </c>
      <c r="K63" s="153">
        <f>'EIA Energy Use '!M60/$H63*1000000000</f>
        <v>16.7290175753004</v>
      </c>
      <c r="L63" s="153">
        <f>'EIA Energy Use '!L60/$H63*1000000000</f>
        <v>3.1366907953688243</v>
      </c>
    </row>
    <row r="64" spans="1:12">
      <c r="A64">
        <v>2016</v>
      </c>
      <c r="B64" s="1">
        <v>6827280</v>
      </c>
      <c r="C64" s="2">
        <v>4.4000000000000003E-3</v>
      </c>
      <c r="D64">
        <f>'EIA Energy Use '!N61/B64*1000000</f>
        <v>39.210344383121821</v>
      </c>
      <c r="E64">
        <f>'EIA Energy Use '!O61/B64*1000000</f>
        <v>27.521941388078414</v>
      </c>
      <c r="F64">
        <f>'EIA Energy Use '!M61/B64*1000000</f>
        <v>9.8428656800365584</v>
      </c>
      <c r="G64">
        <f>'EIA Energy Use '!L61/B64*1000000</f>
        <v>1.8455373150068548</v>
      </c>
      <c r="H64" s="158">
        <v>4141449763</v>
      </c>
      <c r="I64" s="153">
        <f>'EIA Energy Use '!N61/$H64*1000000000</f>
        <v>64.639200115778394</v>
      </c>
      <c r="J64" s="153">
        <f>'EIA Energy Use '!O61/$H64*1000000000</f>
        <v>45.370585363297572</v>
      </c>
      <c r="K64" s="153">
        <f>'EIA Energy Use '!M61/$H64*1000000000</f>
        <v>16.226201896825955</v>
      </c>
      <c r="L64" s="153">
        <f>'EIA Energy Use '!L61/$H64*1000000000</f>
        <v>3.0424128556548666</v>
      </c>
    </row>
    <row r="65" spans="1:17">
      <c r="A65">
        <v>2017</v>
      </c>
      <c r="B65" s="1">
        <v>6863560</v>
      </c>
      <c r="C65" s="2">
        <v>5.3E-3</v>
      </c>
      <c r="D65">
        <f>'EIA Energy Use '!N62/B65*1000000</f>
        <v>41.305095314967744</v>
      </c>
      <c r="E65">
        <f>'EIA Energy Use '!O62/B65*1000000</f>
        <v>29.693045591500621</v>
      </c>
      <c r="F65">
        <f>'EIA Energy Use '!M62/B65*1000000</f>
        <v>9.6160010257067761</v>
      </c>
      <c r="G65">
        <f>'EIA Energy Use '!L62/B65*1000000</f>
        <v>1.9960486977603458</v>
      </c>
      <c r="H65" s="158">
        <v>4174038285</v>
      </c>
      <c r="I65" s="153">
        <f>'EIA Energy Use '!N62/$H65*1000000000</f>
        <v>67.919837012228072</v>
      </c>
      <c r="J65" s="153">
        <f>'EIA Energy Use '!O62/$H65*1000000000</f>
        <v>48.825618282511755</v>
      </c>
      <c r="K65" s="153">
        <f>'EIA Energy Use '!M62/$H65*1000000000</f>
        <v>15.812025547820292</v>
      </c>
      <c r="L65" s="153">
        <f>'EIA Energy Use '!L62/$H65*1000000000</f>
        <v>3.2821931818960302</v>
      </c>
    </row>
    <row r="66" spans="1:17">
      <c r="A66">
        <v>2018</v>
      </c>
      <c r="B66" s="1">
        <v>6885720</v>
      </c>
      <c r="C66" s="2">
        <v>3.2000000000000002E-3</v>
      </c>
      <c r="D66">
        <f>'EIA Energy Use '!N63/B66*1000000</f>
        <v>44.178386573953048</v>
      </c>
      <c r="E66">
        <f>'EIA Energy Use '!O63/B66*1000000</f>
        <v>31.906612525632756</v>
      </c>
      <c r="F66">
        <f>'EIA Energy Use '!M63/B66*1000000</f>
        <v>10.049784191050465</v>
      </c>
      <c r="G66">
        <f>'EIA Energy Use '!L63/B66*1000000</f>
        <v>2.2219898572698282</v>
      </c>
      <c r="H66" s="158">
        <v>4206682104</v>
      </c>
      <c r="I66" s="153">
        <f>'EIA Energy Use '!N63/$H66*1000000000</f>
        <v>72.313522267524306</v>
      </c>
      <c r="J66" s="153">
        <f>'EIA Energy Use '!O63/$H66*1000000000</f>
        <v>52.22643274876755</v>
      </c>
      <c r="K66" s="153">
        <f>'EIA Energy Use '!M63/$H66*1000000000</f>
        <v>16.450018872165291</v>
      </c>
      <c r="L66" s="153">
        <f>'EIA Energy Use '!L63/$H66*1000000000</f>
        <v>3.6370706465914595</v>
      </c>
    </row>
    <row r="67" spans="1:17">
      <c r="A67">
        <v>2019</v>
      </c>
      <c r="B67" s="1">
        <v>6894883</v>
      </c>
      <c r="C67" s="2">
        <v>1.2999999999999999E-3</v>
      </c>
      <c r="D67">
        <f>'EIA Energy Use '!N64/B67*1000000</f>
        <v>44.801340356319315</v>
      </c>
      <c r="E67">
        <f>'EIA Energy Use '!O64/B67*1000000</f>
        <v>32.71991707473498</v>
      </c>
      <c r="F67">
        <f>'EIA Energy Use '!M64/B67*1000000</f>
        <v>9.5578126561393439</v>
      </c>
      <c r="G67">
        <f>'EIA Energy Use '!L64/B67*1000000</f>
        <v>2.5236106254449857</v>
      </c>
      <c r="H67" s="158">
        <v>4241828588</v>
      </c>
      <c r="I67" s="153">
        <f>'EIA Energy Use '!N64/$H67*1000000000</f>
        <v>72.822367427544904</v>
      </c>
      <c r="J67" s="153">
        <f>'EIA Energy Use '!O64/$H67*1000000000</f>
        <v>53.184610202829809</v>
      </c>
      <c r="K67" s="153">
        <f>'EIA Energy Use '!M64/$H67*1000000000</f>
        <v>15.535752714390448</v>
      </c>
      <c r="L67" s="153">
        <f>'EIA Energy Use '!L64/$H67*1000000000</f>
        <v>4.1020045103246403</v>
      </c>
    </row>
    <row r="68" spans="1:17">
      <c r="A68">
        <v>2020</v>
      </c>
      <c r="B68" s="1">
        <v>6995729</v>
      </c>
      <c r="C68" s="2">
        <v>1.46E-2</v>
      </c>
      <c r="D68">
        <f>'EIA Energy Use '!N65/B68*1000000</f>
        <v>40.853497898503505</v>
      </c>
      <c r="E68">
        <f>'EIA Energy Use '!O65/B68*1000000</f>
        <v>28.717521790795502</v>
      </c>
      <c r="F68">
        <f>'EIA Energy Use '!M65/B68*1000000</f>
        <v>9.9203385379851046</v>
      </c>
      <c r="G68">
        <f>'EIA Energy Use '!L65/B68*1000000</f>
        <v>2.2156375697228978</v>
      </c>
      <c r="H68" s="158">
        <v>4273970976</v>
      </c>
      <c r="I68" s="153">
        <f>'EIA Energy Use '!N65/$H68*1000000000</f>
        <v>66.869897246583449</v>
      </c>
      <c r="J68" s="153">
        <f>'EIA Energy Use '!O65/$H68*1000000000</f>
        <v>47.005466608952474</v>
      </c>
      <c r="K68" s="153">
        <f>'EIA Energy Use '!M65/$H68*1000000000</f>
        <v>16.237826693187166</v>
      </c>
      <c r="L68" s="153">
        <f>'EIA Energy Use '!L65/$H68*1000000000</f>
        <v>3.6266039444438194</v>
      </c>
    </row>
    <row r="69" spans="1:17">
      <c r="A69">
        <v>2021</v>
      </c>
      <c r="B69" s="1">
        <v>6989690</v>
      </c>
      <c r="C69" s="2">
        <v>-8.9999999999999998E-4</v>
      </c>
      <c r="D69">
        <f>'EIA Energy Use '!N66/B69*1000000</f>
        <v>41.818735880990431</v>
      </c>
      <c r="E69">
        <f>'EIA Energy Use '!O66/B69*1000000</f>
        <v>29.543513374699021</v>
      </c>
      <c r="F69">
        <f>'EIA Energy Use '!M66/B69*1000000</f>
        <v>9.914602793543061</v>
      </c>
      <c r="G69">
        <f>'EIA Energy Use '!L66/B69*1000000</f>
        <v>2.3606197127483481</v>
      </c>
      <c r="H69" s="158">
        <v>4306631530</v>
      </c>
      <c r="I69" s="153">
        <f>'EIA Energy Use '!N66/$H69*1000000000</f>
        <v>67.872070773605273</v>
      </c>
      <c r="J69" s="153">
        <f>'EIA Energy Use '!O66/$H69*1000000000</f>
        <v>47.949307611185397</v>
      </c>
      <c r="K69" s="153">
        <f>'EIA Energy Use '!M66/$H69*1000000000</f>
        <v>16.091462554262215</v>
      </c>
      <c r="L69" s="153">
        <f>'EIA Energy Use '!L66/$H69*1000000000</f>
        <v>3.8313006081576706</v>
      </c>
    </row>
    <row r="70" spans="1:17">
      <c r="A70">
        <v>2022</v>
      </c>
      <c r="B70" s="1">
        <v>6981974</v>
      </c>
      <c r="C70" s="2">
        <v>-1.1000000000000001E-3</v>
      </c>
      <c r="D70">
        <f>'EIA Energy Use '!N67/B70*1000000</f>
        <v>0</v>
      </c>
      <c r="I70" s="153"/>
      <c r="J70" s="153"/>
      <c r="K70" s="153"/>
      <c r="L70" s="153"/>
    </row>
    <row r="73" spans="1:17">
      <c r="M73" t="s">
        <v>469</v>
      </c>
      <c r="P73" t="s">
        <v>107</v>
      </c>
    </row>
    <row r="74" spans="1:17" ht="15.75" thickBot="1">
      <c r="M74" s="158">
        <v>2009</v>
      </c>
      <c r="N74">
        <v>76.399513226748681</v>
      </c>
    </row>
    <row r="75" spans="1:17">
      <c r="M75" s="158">
        <v>2010</v>
      </c>
      <c r="N75">
        <v>76.495646888013226</v>
      </c>
      <c r="P75" s="137" t="s">
        <v>108</v>
      </c>
      <c r="Q75" s="137"/>
    </row>
    <row r="76" spans="1:17">
      <c r="M76" s="158">
        <v>2011</v>
      </c>
      <c r="N76">
        <v>75.703316862209505</v>
      </c>
      <c r="P76" s="134" t="s">
        <v>109</v>
      </c>
      <c r="Q76" s="134">
        <v>0.5967489007849256</v>
      </c>
    </row>
    <row r="77" spans="1:17">
      <c r="M77" s="158">
        <v>2012</v>
      </c>
      <c r="N77">
        <v>67.700564533077511</v>
      </c>
      <c r="P77" s="134" t="s">
        <v>110</v>
      </c>
      <c r="Q77" s="134">
        <v>0.35610925058801701</v>
      </c>
    </row>
    <row r="78" spans="1:17">
      <c r="M78" s="158">
        <v>2013</v>
      </c>
      <c r="N78">
        <v>70.372078976420042</v>
      </c>
      <c r="P78" s="134" t="s">
        <v>111</v>
      </c>
      <c r="Q78" s="134">
        <v>0.29757372791420039</v>
      </c>
    </row>
    <row r="79" spans="1:17">
      <c r="M79" s="158">
        <v>2014</v>
      </c>
      <c r="N79">
        <v>74.442574182002531</v>
      </c>
      <c r="P79" s="134" t="s">
        <v>112</v>
      </c>
      <c r="Q79" s="134">
        <v>3.3564631757839458</v>
      </c>
    </row>
    <row r="80" spans="1:17" ht="15.75" thickBot="1">
      <c r="M80" s="158">
        <v>2015</v>
      </c>
      <c r="N80">
        <v>73.724391407428513</v>
      </c>
      <c r="P80" s="135" t="s">
        <v>113</v>
      </c>
      <c r="Q80" s="135">
        <v>13</v>
      </c>
    </row>
    <row r="81" spans="13:24">
      <c r="M81" s="158">
        <v>2016</v>
      </c>
      <c r="N81">
        <v>64.639200115778394</v>
      </c>
    </row>
    <row r="82" spans="13:24" ht="15.75" thickBot="1">
      <c r="M82" s="158">
        <v>2017</v>
      </c>
      <c r="N82">
        <v>67.919837012228072</v>
      </c>
      <c r="P82" t="s">
        <v>114</v>
      </c>
    </row>
    <row r="83" spans="13:24">
      <c r="M83" s="158">
        <v>2018</v>
      </c>
      <c r="N83">
        <v>72.313522267524306</v>
      </c>
      <c r="P83" s="136"/>
      <c r="Q83" s="136" t="s">
        <v>115</v>
      </c>
      <c r="R83" s="136" t="s">
        <v>116</v>
      </c>
      <c r="S83" s="136" t="s">
        <v>117</v>
      </c>
      <c r="T83" s="136" t="s">
        <v>118</v>
      </c>
      <c r="U83" s="136" t="s">
        <v>119</v>
      </c>
    </row>
    <row r="84" spans="13:24">
      <c r="M84" s="158">
        <v>2019</v>
      </c>
      <c r="N84">
        <v>72.822367427544904</v>
      </c>
      <c r="P84" s="134" t="s">
        <v>120</v>
      </c>
      <c r="Q84" s="134">
        <v>1</v>
      </c>
      <c r="R84" s="134">
        <v>68.537384734602256</v>
      </c>
      <c r="S84" s="134">
        <v>68.537384734602256</v>
      </c>
      <c r="T84" s="134">
        <v>6.0836434753030275</v>
      </c>
      <c r="U84" s="134">
        <v>3.1315166386825945E-2</v>
      </c>
    </row>
    <row r="85" spans="13:24">
      <c r="M85" s="158">
        <v>2020</v>
      </c>
      <c r="N85">
        <v>66.869897246583449</v>
      </c>
      <c r="P85" s="134" t="s">
        <v>121</v>
      </c>
      <c r="Q85" s="134">
        <v>11</v>
      </c>
      <c r="R85" s="134">
        <v>123.92429555433017</v>
      </c>
      <c r="S85" s="134">
        <v>11.265845050393652</v>
      </c>
      <c r="T85" s="134"/>
      <c r="U85" s="134"/>
    </row>
    <row r="86" spans="13:24" ht="15.75" thickBot="1">
      <c r="M86" s="158">
        <v>2021</v>
      </c>
      <c r="N86">
        <v>67.872070773605273</v>
      </c>
      <c r="P86" s="135" t="s">
        <v>10</v>
      </c>
      <c r="Q86" s="135">
        <v>12</v>
      </c>
      <c r="R86" s="135">
        <v>192.46168028893243</v>
      </c>
      <c r="S86" s="135"/>
      <c r="T86" s="135"/>
      <c r="U86" s="135"/>
    </row>
    <row r="87" spans="13:24" ht="15.75" thickBot="1">
      <c r="M87" s="158"/>
    </row>
    <row r="88" spans="13:24">
      <c r="P88" s="136"/>
      <c r="Q88" s="136" t="s">
        <v>122</v>
      </c>
      <c r="R88" s="136" t="s">
        <v>112</v>
      </c>
      <c r="S88" s="136" t="s">
        <v>123</v>
      </c>
      <c r="T88" s="136" t="s">
        <v>124</v>
      </c>
      <c r="U88" s="136" t="s">
        <v>125</v>
      </c>
      <c r="V88" s="136" t="s">
        <v>126</v>
      </c>
      <c r="W88" s="136" t="s">
        <v>127</v>
      </c>
      <c r="X88" s="136" t="s">
        <v>128</v>
      </c>
    </row>
    <row r="89" spans="13:24">
      <c r="P89" s="134" t="s">
        <v>129</v>
      </c>
      <c r="Q89" s="134">
        <v>1307.8544693768029</v>
      </c>
      <c r="R89" s="134">
        <v>501.32803545131947</v>
      </c>
      <c r="S89" s="134">
        <v>2.6087798345436832</v>
      </c>
      <c r="T89" s="134">
        <v>2.4310357015562785E-2</v>
      </c>
      <c r="U89" s="134">
        <v>204.43890301055399</v>
      </c>
      <c r="V89" s="134">
        <v>2411.2700357430517</v>
      </c>
      <c r="W89" s="134">
        <v>204.43890301055399</v>
      </c>
      <c r="X89" s="134">
        <v>2411.2700357430517</v>
      </c>
    </row>
    <row r="90" spans="13:24" ht="15.75" thickBot="1">
      <c r="P90" s="135" t="s">
        <v>130</v>
      </c>
      <c r="Q90" s="135">
        <v>-0.6136603596479967</v>
      </c>
      <c r="R90" s="135">
        <v>0.24879760354479993</v>
      </c>
      <c r="S90" s="135">
        <v>-2.4665043027132594</v>
      </c>
      <c r="T90" s="135">
        <v>3.1315166386826E-2</v>
      </c>
      <c r="U90" s="135">
        <v>-1.1612601929164641</v>
      </c>
      <c r="V90" s="135">
        <v>-6.6060526379529194E-2</v>
      </c>
      <c r="W90" s="135">
        <v>-1.1612601929164641</v>
      </c>
      <c r="X90" s="135">
        <v>-6.6060526379529194E-2</v>
      </c>
    </row>
    <row r="91" spans="13:24">
      <c r="Q91" s="62">
        <f>+Q90/N74</f>
        <v>-8.0322548368429187E-3</v>
      </c>
    </row>
  </sheetData>
  <sortState xmlns:xlrd2="http://schemas.microsoft.com/office/spreadsheetml/2017/richdata2" ref="M27:R77">
    <sortCondition descending="1" ref="M27:M77"/>
  </sortState>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21825-A5B1-4523-935B-F294EF100A3F}">
  <dimension ref="A3:E30"/>
  <sheetViews>
    <sheetView workbookViewId="0"/>
  </sheetViews>
  <sheetFormatPr defaultRowHeight="15"/>
  <cols>
    <col min="1" max="1" width="31.85546875" customWidth="1"/>
    <col min="2" max="2" width="13.85546875" customWidth="1"/>
    <col min="3" max="3" width="16.85546875" customWidth="1"/>
    <col min="4" max="5" width="12.5703125" bestFit="1" customWidth="1"/>
    <col min="9" max="12" width="10" bestFit="1" customWidth="1"/>
  </cols>
  <sheetData>
    <row r="3" spans="1:5">
      <c r="A3" s="129" t="s">
        <v>249</v>
      </c>
      <c r="B3" s="129"/>
      <c r="C3" s="129"/>
      <c r="D3" s="129"/>
      <c r="E3" s="129"/>
    </row>
    <row r="4" spans="1:5">
      <c r="A4" s="61"/>
      <c r="B4" s="61"/>
      <c r="C4" s="61"/>
      <c r="D4" s="61"/>
      <c r="E4" s="61"/>
    </row>
    <row r="5" spans="1:5">
      <c r="A5" s="61" t="s">
        <v>250</v>
      </c>
      <c r="B5" s="130" t="s">
        <v>239</v>
      </c>
      <c r="C5" s="130"/>
      <c r="D5" s="130"/>
      <c r="E5" s="130"/>
    </row>
    <row r="6" spans="1:5">
      <c r="A6" s="92" t="s">
        <v>240</v>
      </c>
      <c r="B6" s="92" t="s">
        <v>241</v>
      </c>
      <c r="C6" s="92" t="s">
        <v>242</v>
      </c>
      <c r="D6" s="92" t="s">
        <v>243</v>
      </c>
      <c r="E6" s="92" t="s">
        <v>244</v>
      </c>
    </row>
    <row r="7" spans="1:5">
      <c r="A7" s="93" t="s">
        <v>245</v>
      </c>
      <c r="B7" s="94">
        <v>461837</v>
      </c>
      <c r="C7" s="94">
        <v>552628</v>
      </c>
      <c r="D7" s="94">
        <v>280229</v>
      </c>
      <c r="E7" s="94">
        <v>157754</v>
      </c>
    </row>
    <row r="8" spans="1:5">
      <c r="A8" s="93" t="s">
        <v>246</v>
      </c>
      <c r="B8" s="94">
        <v>514149</v>
      </c>
      <c r="C8" s="94">
        <v>44865</v>
      </c>
      <c r="D8" s="94">
        <v>30944</v>
      </c>
      <c r="E8" s="94">
        <v>26847</v>
      </c>
    </row>
    <row r="9" spans="1:5">
      <c r="A9" s="93" t="s">
        <v>247</v>
      </c>
      <c r="B9" s="94">
        <v>169843</v>
      </c>
      <c r="C9" s="94">
        <v>29557</v>
      </c>
      <c r="D9" s="94">
        <v>20100</v>
      </c>
      <c r="E9" s="94">
        <v>22423</v>
      </c>
    </row>
    <row r="10" spans="1:5">
      <c r="A10" s="93" t="s">
        <v>248</v>
      </c>
      <c r="B10" s="94">
        <v>118207</v>
      </c>
      <c r="C10" s="94">
        <v>142055</v>
      </c>
      <c r="D10" s="94">
        <v>102030</v>
      </c>
      <c r="E10" s="94">
        <v>189435</v>
      </c>
    </row>
    <row r="11" spans="1:5" ht="15.75" thickBot="1">
      <c r="A11" s="99" t="s">
        <v>250</v>
      </c>
      <c r="B11" s="100">
        <f>SUM(B7:B10)</f>
        <v>1264036</v>
      </c>
      <c r="C11" s="100">
        <f>SUM(C7:C10)</f>
        <v>769105</v>
      </c>
      <c r="D11" s="100">
        <f>SUM(D7:D10)</f>
        <v>433303</v>
      </c>
      <c r="E11" s="100">
        <f>SUM(E7:E10)</f>
        <v>396459</v>
      </c>
    </row>
    <row r="12" spans="1:5">
      <c r="A12" s="93" t="s">
        <v>245</v>
      </c>
      <c r="B12" s="98">
        <f t="shared" ref="B12:E16" si="0">B7/B$11</f>
        <v>0.36536696739649821</v>
      </c>
      <c r="C12" s="98">
        <f t="shared" si="0"/>
        <v>0.71853388028942733</v>
      </c>
      <c r="D12" s="98">
        <f t="shared" si="0"/>
        <v>0.64672757862281127</v>
      </c>
      <c r="E12" s="98">
        <f t="shared" si="0"/>
        <v>0.39790747593067632</v>
      </c>
    </row>
    <row r="13" spans="1:5">
      <c r="A13" s="93" t="s">
        <v>246</v>
      </c>
      <c r="B13" s="98">
        <f t="shared" si="0"/>
        <v>0.40675186466208241</v>
      </c>
      <c r="C13" s="98">
        <f t="shared" si="0"/>
        <v>5.8334037615150075E-2</v>
      </c>
      <c r="D13" s="98">
        <f t="shared" si="0"/>
        <v>7.1414229765314335E-2</v>
      </c>
      <c r="E13" s="98">
        <f t="shared" si="0"/>
        <v>6.7716964427595283E-2</v>
      </c>
    </row>
    <row r="14" spans="1:5">
      <c r="A14" s="93" t="s">
        <v>247</v>
      </c>
      <c r="B14" s="98">
        <f t="shared" si="0"/>
        <v>0.13436563515596076</v>
      </c>
      <c r="C14" s="98">
        <f t="shared" si="0"/>
        <v>3.8430383367680614E-2</v>
      </c>
      <c r="D14" s="98">
        <f t="shared" si="0"/>
        <v>4.6387862534992837E-2</v>
      </c>
      <c r="E14" s="98">
        <f t="shared" si="0"/>
        <v>5.6558181299957877E-2</v>
      </c>
    </row>
    <row r="15" spans="1:5">
      <c r="A15" s="95" t="s">
        <v>248</v>
      </c>
      <c r="B15" s="98">
        <f t="shared" si="0"/>
        <v>9.3515532785458641E-2</v>
      </c>
      <c r="C15" s="98">
        <f t="shared" si="0"/>
        <v>0.18470169872774198</v>
      </c>
      <c r="D15" s="98">
        <f t="shared" si="0"/>
        <v>0.23547032907688153</v>
      </c>
      <c r="E15" s="98">
        <f t="shared" si="0"/>
        <v>0.47781737834177052</v>
      </c>
    </row>
    <row r="16" spans="1:5">
      <c r="A16" s="97" t="s">
        <v>251</v>
      </c>
      <c r="B16" s="98">
        <f t="shared" si="0"/>
        <v>1</v>
      </c>
      <c r="C16" s="98">
        <f t="shared" si="0"/>
        <v>1</v>
      </c>
      <c r="D16" s="98">
        <f t="shared" si="0"/>
        <v>1</v>
      </c>
      <c r="E16" s="98">
        <f t="shared" si="0"/>
        <v>1</v>
      </c>
    </row>
    <row r="19" spans="1:5">
      <c r="A19" s="129" t="s">
        <v>252</v>
      </c>
      <c r="B19" s="129"/>
      <c r="C19" s="129"/>
      <c r="D19" s="129"/>
      <c r="E19" s="129"/>
    </row>
    <row r="20" spans="1:5">
      <c r="A20" s="92" t="s">
        <v>240</v>
      </c>
      <c r="B20" s="92" t="s">
        <v>241</v>
      </c>
      <c r="C20" s="92" t="s">
        <v>242</v>
      </c>
      <c r="D20" s="92" t="s">
        <v>243</v>
      </c>
      <c r="E20" s="92" t="s">
        <v>244</v>
      </c>
    </row>
    <row r="21" spans="1:5">
      <c r="A21" s="93" t="s">
        <v>245</v>
      </c>
      <c r="B21" s="94">
        <v>838812900</v>
      </c>
      <c r="C21" s="94">
        <v>925676633</v>
      </c>
      <c r="D21" s="94">
        <v>628665739</v>
      </c>
      <c r="E21" s="94">
        <v>434868137</v>
      </c>
    </row>
    <row r="22" spans="1:5">
      <c r="A22" s="93" t="s">
        <v>246</v>
      </c>
      <c r="B22" s="94">
        <v>630342391</v>
      </c>
      <c r="C22" s="94">
        <v>52315724</v>
      </c>
      <c r="D22" s="94">
        <v>41440948</v>
      </c>
      <c r="E22" s="94">
        <v>44999931</v>
      </c>
    </row>
    <row r="23" spans="1:5">
      <c r="A23" s="93" t="s">
        <v>247</v>
      </c>
      <c r="B23" s="94">
        <v>133905274</v>
      </c>
      <c r="C23" s="94">
        <v>23764194</v>
      </c>
      <c r="D23" s="94">
        <v>23360132</v>
      </c>
      <c r="E23" s="94">
        <v>29256628</v>
      </c>
    </row>
    <row r="24" spans="1:5">
      <c r="A24" s="95" t="s">
        <v>248</v>
      </c>
      <c r="B24" s="96">
        <v>91507720</v>
      </c>
      <c r="C24" s="96">
        <v>117476202</v>
      </c>
      <c r="D24" s="96">
        <v>118519644</v>
      </c>
      <c r="E24" s="96">
        <v>203752852</v>
      </c>
    </row>
    <row r="25" spans="1:5" ht="15.75" thickBot="1">
      <c r="A25" s="99" t="s">
        <v>250</v>
      </c>
      <c r="B25" s="100">
        <f>SUM(B21:B24)</f>
        <v>1694568285</v>
      </c>
      <c r="C25" s="100">
        <f>SUM(C21:C24)</f>
        <v>1119232753</v>
      </c>
      <c r="D25" s="100">
        <f>SUM(D21:D24)</f>
        <v>811986463</v>
      </c>
      <c r="E25" s="100">
        <f>SUM(E21:E24)</f>
        <v>712877548</v>
      </c>
    </row>
    <row r="26" spans="1:5">
      <c r="A26" s="101" t="s">
        <v>245</v>
      </c>
      <c r="B26" s="102">
        <f t="shared" ref="B26:E30" si="1">B21/B$25</f>
        <v>0.49500094355890767</v>
      </c>
      <c r="C26" s="102">
        <f t="shared" si="1"/>
        <v>0.82706356700052719</v>
      </c>
      <c r="D26" s="102">
        <f t="shared" si="1"/>
        <v>0.77423179775350515</v>
      </c>
      <c r="E26" s="102">
        <f t="shared" si="1"/>
        <v>0.61001800129634609</v>
      </c>
    </row>
    <row r="27" spans="1:5">
      <c r="A27" s="93" t="s">
        <v>246</v>
      </c>
      <c r="B27" s="98">
        <f t="shared" si="1"/>
        <v>0.37197815902709402</v>
      </c>
      <c r="C27" s="98">
        <f t="shared" si="1"/>
        <v>4.674248842322791E-2</v>
      </c>
      <c r="D27" s="98">
        <f t="shared" si="1"/>
        <v>5.1036501085117231E-2</v>
      </c>
      <c r="E27" s="98">
        <f t="shared" si="1"/>
        <v>6.3124348811726072E-2</v>
      </c>
    </row>
    <row r="28" spans="1:5">
      <c r="A28" s="93" t="s">
        <v>247</v>
      </c>
      <c r="B28" s="98">
        <f t="shared" si="1"/>
        <v>7.9020288049354112E-2</v>
      </c>
      <c r="C28" s="98">
        <f t="shared" si="1"/>
        <v>2.1232575562412977E-2</v>
      </c>
      <c r="D28" s="98">
        <f t="shared" si="1"/>
        <v>2.8769115083141478E-2</v>
      </c>
      <c r="E28" s="98">
        <f t="shared" si="1"/>
        <v>4.1040187171107259E-2</v>
      </c>
    </row>
    <row r="29" spans="1:5">
      <c r="A29" s="95" t="s">
        <v>248</v>
      </c>
      <c r="B29" s="98">
        <f t="shared" si="1"/>
        <v>5.4000609364644167E-2</v>
      </c>
      <c r="C29" s="98">
        <f t="shared" si="1"/>
        <v>0.10496136901383192</v>
      </c>
      <c r="D29" s="98">
        <f t="shared" si="1"/>
        <v>0.14596258607823615</v>
      </c>
      <c r="E29" s="98">
        <f t="shared" si="1"/>
        <v>0.28581746272082059</v>
      </c>
    </row>
    <row r="30" spans="1:5">
      <c r="A30" s="97" t="s">
        <v>251</v>
      </c>
      <c r="B30" s="98">
        <f t="shared" si="1"/>
        <v>1</v>
      </c>
      <c r="C30" s="98">
        <f t="shared" si="1"/>
        <v>1</v>
      </c>
      <c r="D30" s="98">
        <f t="shared" si="1"/>
        <v>1</v>
      </c>
      <c r="E30" s="98">
        <f t="shared" si="1"/>
        <v>1</v>
      </c>
    </row>
  </sheetData>
  <mergeCells count="3">
    <mergeCell ref="A19:E19"/>
    <mergeCell ref="A3:E3"/>
    <mergeCell ref="B5:E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407935E43F4149BD27F899D609E5A1" ma:contentTypeVersion="13" ma:contentTypeDescription="Create a new document." ma:contentTypeScope="" ma:versionID="a139dc54b7b3223375323edc0a1e653c">
  <xsd:schema xmlns:xsd="http://www.w3.org/2001/XMLSchema" xmlns:xs="http://www.w3.org/2001/XMLSchema" xmlns:p="http://schemas.microsoft.com/office/2006/metadata/properties" xmlns:ns3="e857edc0-520f-4533-8f0e-2471aabd30f4" xmlns:ns4="f3cc449e-d972-460a-b378-179ab45bd9c2" targetNamespace="http://schemas.microsoft.com/office/2006/metadata/properties" ma:root="true" ma:fieldsID="f2eb62f303b484f0f734a115bc47a910" ns3:_="" ns4:_="">
    <xsd:import namespace="e857edc0-520f-4533-8f0e-2471aabd30f4"/>
    <xsd:import namespace="f3cc449e-d972-460a-b378-179ab45bd9c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57edc0-520f-4533-8f0e-2471aabd30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cc449e-d972-460a-b378-179ab45bd9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857edc0-520f-4533-8f0e-2471aabd30f4" xsi:nil="true"/>
  </documentManagement>
</p:properties>
</file>

<file path=customXml/itemProps1.xml><?xml version="1.0" encoding="utf-8"?>
<ds:datastoreItem xmlns:ds="http://schemas.openxmlformats.org/officeDocument/2006/customXml" ds:itemID="{E735B6B7-01C2-4A67-B6AA-D2653A760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57edc0-520f-4533-8f0e-2471aabd30f4"/>
    <ds:schemaRef ds:uri="f3cc449e-d972-460a-b378-179ab45bd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1EFDA0-73E3-4381-9C8E-B7ADF443E531}">
  <ds:schemaRefs>
    <ds:schemaRef ds:uri="http://schemas.microsoft.com/sharepoint/v3/contenttype/forms"/>
  </ds:schemaRefs>
</ds:datastoreItem>
</file>

<file path=customXml/itemProps3.xml><?xml version="1.0" encoding="utf-8"?>
<ds:datastoreItem xmlns:ds="http://schemas.openxmlformats.org/officeDocument/2006/customXml" ds:itemID="{B57D991D-41DA-40C2-A43F-BA5EDC5F5560}">
  <ds:schemaRefs>
    <ds:schemaRef ds:uri="f3cc449e-d972-460a-b378-179ab45bd9c2"/>
    <ds:schemaRef ds:uri="e857edc0-520f-4533-8f0e-2471aabd30f4"/>
    <ds:schemaRef ds:uri="http://www.w3.org/XML/1998/namespace"/>
    <ds:schemaRef ds:uri="http://schemas.microsoft.com/office/2006/documentManagement/type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RECS Consumption</vt:lpstr>
      <vt:lpstr>DEP Emissions</vt:lpstr>
      <vt:lpstr>EIA Emissions</vt:lpstr>
      <vt:lpstr>EIA Energy Use </vt:lpstr>
      <vt:lpstr>Double Count of SGF</vt:lpstr>
      <vt:lpstr>EoER 1987</vt:lpstr>
      <vt:lpstr>Energy Use Ratios</vt:lpstr>
      <vt:lpstr>Vintage vs Units</vt:lpstr>
      <vt:lpstr>Vintage vs Energy</vt:lpstr>
      <vt:lpstr>kbtu-sqft-year</vt:lpstr>
      <vt:lpstr>Logan Data</vt:lpstr>
      <vt:lpstr>Logan Pivot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Brownsberger</dc:creator>
  <cp:keywords/>
  <dc:description/>
  <cp:lastModifiedBy>Brownsberger Family Family Microsoft Account</cp:lastModifiedBy>
  <cp:revision/>
  <dcterms:created xsi:type="dcterms:W3CDTF">2023-06-24T18:32:30Z</dcterms:created>
  <dcterms:modified xsi:type="dcterms:W3CDTF">2023-09-02T19:07:13Z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5d5e2a3b-9441-485d-9025-357f8e98ab22</vt:lpwstr>
  </property>
  <property fmtid="{D5CDD505-2E9C-101B-9397-08002B2CF9AE}" pid="3" name="ContentTypeId">
    <vt:lpwstr>0x010100FD407935E43F4149BD27F899D609E5A1</vt:lpwstr>
  </property>
</Properties>
</file>