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e House Work\"/>
    </mc:Choice>
  </mc:AlternateContent>
  <xr:revisionPtr revIDLastSave="0" documentId="13_ncr:1_{C2025543-15C1-4CB0-ABE3-7D7B23EF4008}" xr6:coauthVersionLast="47" xr6:coauthVersionMax="47" xr10:uidLastSave="{00000000-0000-0000-0000-000000000000}"/>
  <bookViews>
    <workbookView xWindow="14895" yWindow="3345" windowWidth="25770" windowHeight="12750" xr2:uid="{590220B1-F293-47DC-9DBB-E35D9507BDE8}"/>
  </bookViews>
  <sheets>
    <sheet name="Cover Sheet" sheetId="6" r:id="rId1"/>
    <sheet name="All Original" sheetId="1" state="hidden" r:id="rId2"/>
    <sheet name="Electric" sheetId="3" r:id="rId3"/>
    <sheet name="Electric -- Fuel Sort" sheetId="5" state="hidden" r:id="rId4"/>
    <sheet name="Other Rows Removed" sheetId="4" state="hidden" r:id="rId5"/>
    <sheet name="Ga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5" i="3" l="1"/>
  <c r="AG44" i="3"/>
  <c r="AG43" i="3"/>
  <c r="AM10" i="3" s="1"/>
  <c r="AG27" i="3"/>
  <c r="AG26" i="3"/>
  <c r="AG25" i="3"/>
  <c r="AG18" i="3"/>
  <c r="AG17" i="3"/>
  <c r="AG16" i="3"/>
  <c r="AG3" i="3"/>
  <c r="AM5" i="3" s="1"/>
  <c r="E11" i="6" s="1"/>
  <c r="G11" i="6" s="1"/>
  <c r="F21" i="6"/>
  <c r="E21" i="6"/>
  <c r="F20" i="6"/>
  <c r="E20" i="6"/>
  <c r="F14" i="6"/>
  <c r="F17" i="6" s="1"/>
  <c r="E14" i="6"/>
  <c r="B14" i="6"/>
  <c r="D14" i="6" s="1"/>
  <c r="C2" i="3"/>
  <c r="C14" i="6"/>
  <c r="C17" i="6" s="1"/>
  <c r="C13" i="6"/>
  <c r="B13" i="6"/>
  <c r="AL12" i="3"/>
  <c r="AL5" i="3"/>
  <c r="F13" i="6"/>
  <c r="AM11" i="3"/>
  <c r="AL11" i="3"/>
  <c r="AL10" i="3"/>
  <c r="E16" i="6"/>
  <c r="AV6" i="2"/>
  <c r="AV4" i="2"/>
  <c r="AV3" i="2"/>
  <c r="E19" i="6"/>
  <c r="F19" i="6"/>
  <c r="G19" i="6"/>
  <c r="E18" i="6"/>
  <c r="G18" i="6" s="1"/>
  <c r="F12" i="6"/>
  <c r="G23" i="6"/>
  <c r="G22" i="6"/>
  <c r="G20" i="6"/>
  <c r="G15" i="6"/>
  <c r="F24" i="6"/>
  <c r="E22" i="6"/>
  <c r="E15" i="6"/>
  <c r="D24" i="6"/>
  <c r="C24" i="6"/>
  <c r="B24" i="6"/>
  <c r="D23" i="6"/>
  <c r="D22" i="6"/>
  <c r="D21" i="6"/>
  <c r="D20" i="6"/>
  <c r="D19" i="6"/>
  <c r="D18" i="6"/>
  <c r="D16" i="6"/>
  <c r="D15" i="6"/>
  <c r="B22" i="6"/>
  <c r="C21" i="6"/>
  <c r="B21" i="6"/>
  <c r="C20" i="6"/>
  <c r="B20" i="6"/>
  <c r="B18" i="6"/>
  <c r="B16" i="6"/>
  <c r="AT15" i="2"/>
  <c r="AT17" i="2"/>
  <c r="B11" i="6"/>
  <c r="D11" i="6" s="1"/>
  <c r="AT14" i="2"/>
  <c r="B15" i="6"/>
  <c r="C12" i="6"/>
  <c r="B12" i="6"/>
  <c r="G12" i="6"/>
  <c r="E12" i="6"/>
  <c r="AV5" i="2"/>
  <c r="D12" i="6"/>
  <c r="AP6" i="5"/>
  <c r="AP5" i="5"/>
  <c r="AF13" i="5"/>
  <c r="AP4" i="5"/>
  <c r="AP3" i="5"/>
  <c r="E13" i="6" l="1"/>
  <c r="G21" i="6"/>
  <c r="B17" i="6"/>
  <c r="B25" i="6" s="1"/>
  <c r="C25" i="6"/>
  <c r="G14" i="6"/>
  <c r="G13" i="6"/>
  <c r="E17" i="6"/>
  <c r="G17" i="6" s="1"/>
  <c r="G16" i="6"/>
  <c r="E24" i="6"/>
  <c r="G24" i="6" s="1"/>
  <c r="F25" i="6"/>
  <c r="D13" i="6"/>
  <c r="AF63" i="5"/>
  <c r="AG63" i="5" s="1"/>
  <c r="AF62" i="5"/>
  <c r="AG62" i="5" s="1"/>
  <c r="AF37" i="5"/>
  <c r="AG37" i="5" s="1"/>
  <c r="AF36" i="5"/>
  <c r="AG36" i="5" s="1"/>
  <c r="AF12" i="5"/>
  <c r="AG12" i="5" s="1"/>
  <c r="AF11" i="5"/>
  <c r="AG11" i="5" s="1"/>
  <c r="AF54" i="5"/>
  <c r="AG54" i="5" s="1"/>
  <c r="AF53" i="5"/>
  <c r="AG53" i="5" s="1"/>
  <c r="AF29" i="5"/>
  <c r="AG29" i="5" s="1"/>
  <c r="AF28" i="5"/>
  <c r="AG28" i="5" s="1"/>
  <c r="AF9" i="5"/>
  <c r="AG9" i="5" s="1"/>
  <c r="AF8" i="5"/>
  <c r="AG8" i="5" s="1"/>
  <c r="AJ54" i="5"/>
  <c r="AI54" i="5"/>
  <c r="AH54" i="5"/>
  <c r="AF66" i="5"/>
  <c r="AG66" i="5" s="1"/>
  <c r="AJ53" i="5"/>
  <c r="AI53" i="5"/>
  <c r="AH53" i="5"/>
  <c r="AF65" i="5"/>
  <c r="AG65" i="5" s="1"/>
  <c r="AJ52" i="5"/>
  <c r="AI52" i="5"/>
  <c r="AH52" i="5"/>
  <c r="AF40" i="5"/>
  <c r="AG40" i="5" s="1"/>
  <c r="AJ51" i="5"/>
  <c r="AI51" i="5"/>
  <c r="AH51" i="5"/>
  <c r="AF39" i="5"/>
  <c r="AG39" i="5" s="1"/>
  <c r="AJ50" i="5"/>
  <c r="AI50" i="5"/>
  <c r="AH50" i="5"/>
  <c r="AF61" i="5"/>
  <c r="AG61" i="5" s="1"/>
  <c r="AJ49" i="5"/>
  <c r="AI49" i="5"/>
  <c r="AH49" i="5"/>
  <c r="AF60" i="5"/>
  <c r="AG60" i="5" s="1"/>
  <c r="AJ48" i="5"/>
  <c r="AI48" i="5"/>
  <c r="AH48" i="5"/>
  <c r="AF59" i="5"/>
  <c r="AG59" i="5" s="1"/>
  <c r="AJ47" i="5"/>
  <c r="AI47" i="5"/>
  <c r="AH47" i="5"/>
  <c r="AF35" i="5"/>
  <c r="AG35" i="5" s="1"/>
  <c r="AJ46" i="5"/>
  <c r="AI46" i="5"/>
  <c r="AH46" i="5"/>
  <c r="AF34" i="5"/>
  <c r="AG34" i="5" s="1"/>
  <c r="AJ45" i="5"/>
  <c r="AI45" i="5"/>
  <c r="AH45" i="5"/>
  <c r="AF52" i="5"/>
  <c r="AG52" i="5" s="1"/>
  <c r="AJ44" i="5"/>
  <c r="AI44" i="5"/>
  <c r="AH44" i="5"/>
  <c r="AF51" i="5"/>
  <c r="AG51" i="5" s="1"/>
  <c r="AJ43" i="5"/>
  <c r="AI43" i="5"/>
  <c r="AH43" i="5"/>
  <c r="AF27" i="5"/>
  <c r="AG27" i="5" s="1"/>
  <c r="AJ42" i="5"/>
  <c r="AI42" i="5"/>
  <c r="AH42" i="5"/>
  <c r="AF26" i="5"/>
  <c r="AG26" i="5" s="1"/>
  <c r="AJ41" i="5"/>
  <c r="AI41" i="5"/>
  <c r="AH41" i="5"/>
  <c r="AF25" i="5"/>
  <c r="AG25" i="5" s="1"/>
  <c r="AJ40" i="5"/>
  <c r="AI40" i="5"/>
  <c r="AH40" i="5"/>
  <c r="AF10" i="5"/>
  <c r="AG10" i="5" s="1"/>
  <c r="AJ39" i="5"/>
  <c r="AI39" i="5"/>
  <c r="AH39" i="5"/>
  <c r="AF7" i="5"/>
  <c r="AG7" i="5" s="1"/>
  <c r="AJ38" i="5"/>
  <c r="AI38" i="5"/>
  <c r="AH38" i="5"/>
  <c r="AF6" i="5"/>
  <c r="AG6" i="5" s="1"/>
  <c r="AJ37" i="5"/>
  <c r="AI37" i="5"/>
  <c r="AH37" i="5"/>
  <c r="AF64" i="5"/>
  <c r="AG64" i="5" s="1"/>
  <c r="AJ36" i="5"/>
  <c r="AI36" i="5"/>
  <c r="AH36" i="5"/>
  <c r="AF38" i="5"/>
  <c r="AG38" i="5" s="1"/>
  <c r="AJ35" i="5"/>
  <c r="AI35" i="5"/>
  <c r="AH35" i="5"/>
  <c r="AF58" i="5"/>
  <c r="AG58" i="5" s="1"/>
  <c r="AJ34" i="5"/>
  <c r="AI34" i="5"/>
  <c r="AH34" i="5"/>
  <c r="AG57" i="5"/>
  <c r="AF57" i="5"/>
  <c r="AJ33" i="5"/>
  <c r="AI33" i="5"/>
  <c r="AH33" i="5"/>
  <c r="AF56" i="5"/>
  <c r="AG56" i="5" s="1"/>
  <c r="AJ32" i="5"/>
  <c r="AI32" i="5"/>
  <c r="AH32" i="5"/>
  <c r="AF55" i="5"/>
  <c r="AG55" i="5" s="1"/>
  <c r="AJ31" i="5"/>
  <c r="AI31" i="5"/>
  <c r="AH31" i="5"/>
  <c r="AF33" i="5"/>
  <c r="AG33" i="5" s="1"/>
  <c r="AJ30" i="5"/>
  <c r="AI30" i="5"/>
  <c r="AH30" i="5"/>
  <c r="AF32" i="5"/>
  <c r="AG32" i="5" s="1"/>
  <c r="AJ29" i="5"/>
  <c r="AI29" i="5"/>
  <c r="AH29" i="5"/>
  <c r="AF31" i="5"/>
  <c r="AG31" i="5" s="1"/>
  <c r="AJ28" i="5"/>
  <c r="AI28" i="5"/>
  <c r="AH28" i="5"/>
  <c r="AF30" i="5"/>
  <c r="AG30" i="5" s="1"/>
  <c r="AJ27" i="5"/>
  <c r="AI27" i="5"/>
  <c r="AH27" i="5"/>
  <c r="AF50" i="5"/>
  <c r="AG50" i="5" s="1"/>
  <c r="AJ26" i="5"/>
  <c r="AI26" i="5"/>
  <c r="AH26" i="5"/>
  <c r="AF49" i="5"/>
  <c r="AG49" i="5" s="1"/>
  <c r="AJ25" i="5"/>
  <c r="AI25" i="5"/>
  <c r="AH25" i="5"/>
  <c r="AF48" i="5"/>
  <c r="AG48" i="5" s="1"/>
  <c r="AJ24" i="5"/>
  <c r="AI24" i="5"/>
  <c r="AH24" i="5"/>
  <c r="AG47" i="5"/>
  <c r="AF47" i="5"/>
  <c r="AJ23" i="5"/>
  <c r="AI23" i="5"/>
  <c r="AH23" i="5"/>
  <c r="AF46" i="5"/>
  <c r="AG46" i="5" s="1"/>
  <c r="AJ22" i="5"/>
  <c r="AI22" i="5"/>
  <c r="AH22" i="5"/>
  <c r="AF45" i="5"/>
  <c r="AG45" i="5" s="1"/>
  <c r="AJ21" i="5"/>
  <c r="AI21" i="5"/>
  <c r="AH21" i="5"/>
  <c r="AF44" i="5"/>
  <c r="AG44" i="5" s="1"/>
  <c r="AJ20" i="5"/>
  <c r="AI20" i="5"/>
  <c r="AH20" i="5"/>
  <c r="AF43" i="5"/>
  <c r="AG43" i="5" s="1"/>
  <c r="AJ19" i="5"/>
  <c r="AI19" i="5"/>
  <c r="AH19" i="5"/>
  <c r="AF42" i="5"/>
  <c r="AG42" i="5" s="1"/>
  <c r="AJ18" i="5"/>
  <c r="AI18" i="5"/>
  <c r="AH18" i="5"/>
  <c r="AF24" i="5"/>
  <c r="AG24" i="5" s="1"/>
  <c r="AJ17" i="5"/>
  <c r="AI17" i="5"/>
  <c r="AH17" i="5"/>
  <c r="AF23" i="5"/>
  <c r="AG23" i="5" s="1"/>
  <c r="AJ16" i="5"/>
  <c r="AI16" i="5"/>
  <c r="AH16" i="5"/>
  <c r="AF22" i="5"/>
  <c r="AG22" i="5" s="1"/>
  <c r="AJ15" i="5"/>
  <c r="AI15" i="5"/>
  <c r="AH15" i="5"/>
  <c r="AF21" i="5"/>
  <c r="AG21" i="5" s="1"/>
  <c r="AJ14" i="5"/>
  <c r="AI14" i="5"/>
  <c r="AH14" i="5"/>
  <c r="AF20" i="5"/>
  <c r="AG20" i="5" s="1"/>
  <c r="AJ13" i="5"/>
  <c r="AI13" i="5"/>
  <c r="AH13" i="5"/>
  <c r="AG19" i="5"/>
  <c r="AF19" i="5"/>
  <c r="AJ12" i="5"/>
  <c r="AI12" i="5"/>
  <c r="AH12" i="5"/>
  <c r="AF18" i="5"/>
  <c r="AG18" i="5" s="1"/>
  <c r="AJ11" i="5"/>
  <c r="AI11" i="5"/>
  <c r="AH11" i="5"/>
  <c r="AF17" i="5"/>
  <c r="AG17" i="5" s="1"/>
  <c r="AJ10" i="5"/>
  <c r="AI10" i="5"/>
  <c r="AH10" i="5"/>
  <c r="AF16" i="5"/>
  <c r="AG16" i="5" s="1"/>
  <c r="AJ9" i="5"/>
  <c r="AI9" i="5"/>
  <c r="AH9" i="5"/>
  <c r="AF15" i="5"/>
  <c r="AG15" i="5" s="1"/>
  <c r="AJ8" i="5"/>
  <c r="AI8" i="5"/>
  <c r="AH8" i="5"/>
  <c r="AG14" i="5"/>
  <c r="AF14" i="5"/>
  <c r="AJ7" i="5"/>
  <c r="AI7" i="5"/>
  <c r="AH7" i="5"/>
  <c r="AF5" i="5"/>
  <c r="AG5" i="5" s="1"/>
  <c r="AJ6" i="5"/>
  <c r="AI6" i="5"/>
  <c r="AH6" i="5"/>
  <c r="AF4" i="5"/>
  <c r="AG4" i="5" s="1"/>
  <c r="AJ5" i="5"/>
  <c r="AI5" i="5"/>
  <c r="AH5" i="5"/>
  <c r="AG41" i="5"/>
  <c r="AF41" i="5"/>
  <c r="AJ4" i="5"/>
  <c r="AI4" i="5"/>
  <c r="AH4" i="5"/>
  <c r="AG13" i="5"/>
  <c r="AJ3" i="5"/>
  <c r="AI3" i="5"/>
  <c r="AH3" i="5"/>
  <c r="AF3" i="5"/>
  <c r="AG3" i="5" s="1"/>
  <c r="AM13" i="3"/>
  <c r="AM12" i="3"/>
  <c r="AM6" i="3"/>
  <c r="AM4" i="3"/>
  <c r="AL6" i="3"/>
  <c r="AM3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4" i="3"/>
  <c r="AG23" i="3"/>
  <c r="AG22" i="3"/>
  <c r="AG21" i="3"/>
  <c r="AG20" i="3"/>
  <c r="AG19" i="3"/>
  <c r="AG15" i="3"/>
  <c r="AG14" i="3"/>
  <c r="AG13" i="3"/>
  <c r="AG12" i="3"/>
  <c r="AG11" i="3"/>
  <c r="AG10" i="3"/>
  <c r="AG9" i="3"/>
  <c r="AG8" i="3"/>
  <c r="AG7" i="3"/>
  <c r="AG6" i="3"/>
  <c r="AG5" i="3"/>
  <c r="AG4" i="3"/>
  <c r="D25" i="6" l="1"/>
  <c r="D17" i="6"/>
  <c r="E25" i="6"/>
  <c r="G25" i="6" s="1"/>
  <c r="AQ9" i="3"/>
  <c r="AQ8" i="3"/>
  <c r="AQ7" i="3"/>
  <c r="AH12" i="3"/>
  <c r="AJ54" i="3"/>
  <c r="AI54" i="3"/>
  <c r="AH54" i="3"/>
  <c r="AJ53" i="3"/>
  <c r="AI53" i="3"/>
  <c r="AH53" i="3"/>
  <c r="AJ52" i="3"/>
  <c r="AI52" i="3"/>
  <c r="AH52" i="3"/>
  <c r="AJ51" i="3"/>
  <c r="AP13" i="3" s="1"/>
  <c r="AI51" i="3"/>
  <c r="AH51" i="3"/>
  <c r="AN13" i="3" s="1"/>
  <c r="AJ50" i="3"/>
  <c r="AI50" i="3"/>
  <c r="AH50" i="3"/>
  <c r="AJ49" i="3"/>
  <c r="AI49" i="3"/>
  <c r="AH49" i="3"/>
  <c r="AJ48" i="3"/>
  <c r="AI48" i="3"/>
  <c r="AH48" i="3"/>
  <c r="AN11" i="3" s="1"/>
  <c r="AJ47" i="3"/>
  <c r="AI47" i="3"/>
  <c r="AH47" i="3"/>
  <c r="AJ46" i="3"/>
  <c r="AI46" i="3"/>
  <c r="AH46" i="3"/>
  <c r="AJ45" i="3"/>
  <c r="AI45" i="3"/>
  <c r="AH45" i="3"/>
  <c r="AJ44" i="3"/>
  <c r="AI44" i="3"/>
  <c r="AH44" i="3"/>
  <c r="AJ43" i="3"/>
  <c r="AI43" i="3"/>
  <c r="AH43" i="3"/>
  <c r="AJ42" i="3"/>
  <c r="AI42" i="3"/>
  <c r="AH42" i="3"/>
  <c r="AJ41" i="3"/>
  <c r="AI41" i="3"/>
  <c r="AH41" i="3"/>
  <c r="AJ40" i="3"/>
  <c r="AI40" i="3"/>
  <c r="AH40" i="3"/>
  <c r="AJ39" i="3"/>
  <c r="AI39" i="3"/>
  <c r="AH39" i="3"/>
  <c r="AJ38" i="3"/>
  <c r="AP12" i="3" s="1"/>
  <c r="AI38" i="3"/>
  <c r="AO12" i="3" s="1"/>
  <c r="AH38" i="3"/>
  <c r="AN12" i="3" s="1"/>
  <c r="AJ37" i="3"/>
  <c r="AI37" i="3"/>
  <c r="AH37" i="3"/>
  <c r="AJ36" i="3"/>
  <c r="AP6" i="3" s="1"/>
  <c r="AI36" i="3"/>
  <c r="AO6" i="3" s="1"/>
  <c r="AH36" i="3"/>
  <c r="AN6" i="3" s="1"/>
  <c r="AJ35" i="3"/>
  <c r="AI35" i="3"/>
  <c r="AH35" i="3"/>
  <c r="AJ34" i="3"/>
  <c r="AI34" i="3"/>
  <c r="AH34" i="3"/>
  <c r="AJ33" i="3"/>
  <c r="AI33" i="3"/>
  <c r="AH33" i="3"/>
  <c r="AJ32" i="3"/>
  <c r="AI32" i="3"/>
  <c r="AH32" i="3"/>
  <c r="AJ31" i="3"/>
  <c r="AI31" i="3"/>
  <c r="AH31" i="3"/>
  <c r="AJ30" i="3"/>
  <c r="AI30" i="3"/>
  <c r="AH30" i="3"/>
  <c r="AJ29" i="3"/>
  <c r="AI29" i="3"/>
  <c r="AH29" i="3"/>
  <c r="AJ28" i="3"/>
  <c r="AI28" i="3"/>
  <c r="AO4" i="3" s="1"/>
  <c r="AH28" i="3"/>
  <c r="AJ27" i="3"/>
  <c r="AI27" i="3"/>
  <c r="AH27" i="3"/>
  <c r="AJ26" i="3"/>
  <c r="AI26" i="3"/>
  <c r="AH26" i="3"/>
  <c r="AJ25" i="3"/>
  <c r="AI25" i="3"/>
  <c r="AH25" i="3"/>
  <c r="AJ24" i="3"/>
  <c r="AI24" i="3"/>
  <c r="AH24" i="3"/>
  <c r="AJ23" i="3"/>
  <c r="AI23" i="3"/>
  <c r="AH23" i="3"/>
  <c r="AJ22" i="3"/>
  <c r="AI22" i="3"/>
  <c r="AH22" i="3"/>
  <c r="AJ21" i="3"/>
  <c r="AI21" i="3"/>
  <c r="AH21" i="3"/>
  <c r="AJ20" i="3"/>
  <c r="AI20" i="3"/>
  <c r="AH20" i="3"/>
  <c r="AJ19" i="3"/>
  <c r="AI19" i="3"/>
  <c r="AH19" i="3"/>
  <c r="AJ18" i="3"/>
  <c r="AI18" i="3"/>
  <c r="AH18" i="3"/>
  <c r="AJ17" i="3"/>
  <c r="AI17" i="3"/>
  <c r="AH17" i="3"/>
  <c r="AJ16" i="3"/>
  <c r="AI16" i="3"/>
  <c r="AH16" i="3"/>
  <c r="AJ15" i="3"/>
  <c r="AI15" i="3"/>
  <c r="AH15" i="3"/>
  <c r="AJ14" i="3"/>
  <c r="AI14" i="3"/>
  <c r="AH14" i="3"/>
  <c r="AJ13" i="3"/>
  <c r="AI13" i="3"/>
  <c r="AH13" i="3"/>
  <c r="AJ12" i="3"/>
  <c r="AI12" i="3"/>
  <c r="AJ11" i="3"/>
  <c r="AI11" i="3"/>
  <c r="AH11" i="3"/>
  <c r="AJ10" i="3"/>
  <c r="AI10" i="3"/>
  <c r="AH10" i="3"/>
  <c r="AJ9" i="3"/>
  <c r="AI9" i="3"/>
  <c r="AH9" i="3"/>
  <c r="AJ8" i="3"/>
  <c r="AI8" i="3"/>
  <c r="AH8" i="3"/>
  <c r="AJ7" i="3"/>
  <c r="AI7" i="3"/>
  <c r="AH7" i="3"/>
  <c r="AJ6" i="3"/>
  <c r="AI6" i="3"/>
  <c r="AH6" i="3"/>
  <c r="AJ5" i="3"/>
  <c r="AI5" i="3"/>
  <c r="AH5" i="3"/>
  <c r="AJ4" i="3"/>
  <c r="AP3" i="3" s="1"/>
  <c r="AI4" i="3"/>
  <c r="AO3" i="3" s="1"/>
  <c r="AH4" i="3"/>
  <c r="AN3" i="3" s="1"/>
  <c r="AJ3" i="3"/>
  <c r="AP5" i="3" s="1"/>
  <c r="AI3" i="3"/>
  <c r="AO5" i="3" s="1"/>
  <c r="AH3" i="3"/>
  <c r="AN5" i="3" s="1"/>
  <c r="AF12" i="4"/>
  <c r="AF11" i="4"/>
  <c r="AF18" i="4"/>
  <c r="AF19" i="4"/>
  <c r="AF17" i="4"/>
  <c r="AF16" i="4"/>
  <c r="AF14" i="4"/>
  <c r="AF15" i="4"/>
  <c r="AF13" i="4"/>
  <c r="AF7" i="4"/>
  <c r="AF5" i="4"/>
  <c r="AF6" i="4"/>
  <c r="AF4" i="4"/>
  <c r="AF10" i="4"/>
  <c r="AF9" i="4"/>
  <c r="AF8" i="4"/>
  <c r="AF3" i="4"/>
  <c r="AF2" i="4"/>
  <c r="AF39" i="3"/>
  <c r="AF31" i="3"/>
  <c r="AF38" i="3"/>
  <c r="AT12" i="3" s="1"/>
  <c r="AU12" i="3" s="1"/>
  <c r="AF6" i="3"/>
  <c r="AF54" i="3"/>
  <c r="AF53" i="3"/>
  <c r="AF37" i="3"/>
  <c r="AF52" i="3"/>
  <c r="AF51" i="3"/>
  <c r="AF36" i="3"/>
  <c r="AF66" i="3"/>
  <c r="AF65" i="3"/>
  <c r="AF50" i="3"/>
  <c r="AF49" i="3"/>
  <c r="AF48" i="3"/>
  <c r="AF35" i="3"/>
  <c r="AF34" i="3"/>
  <c r="AF33" i="3"/>
  <c r="AF32" i="3"/>
  <c r="AF64" i="3"/>
  <c r="AF63" i="3"/>
  <c r="AF47" i="3"/>
  <c r="AF46" i="3"/>
  <c r="AF30" i="3"/>
  <c r="AF29" i="3"/>
  <c r="AF28" i="3"/>
  <c r="AF62" i="3"/>
  <c r="AF61" i="3"/>
  <c r="AF56" i="3"/>
  <c r="AF60" i="3"/>
  <c r="AF59" i="3"/>
  <c r="AF45" i="3"/>
  <c r="AF44" i="3"/>
  <c r="AF27" i="3"/>
  <c r="AF26" i="3"/>
  <c r="AF25" i="3"/>
  <c r="AF24" i="3"/>
  <c r="AF23" i="3"/>
  <c r="AF22" i="3"/>
  <c r="AF21" i="3"/>
  <c r="AF20" i="3"/>
  <c r="AF19" i="3"/>
  <c r="AF5" i="3"/>
  <c r="AF58" i="3"/>
  <c r="AF57" i="3"/>
  <c r="AF43" i="3"/>
  <c r="AF42" i="3"/>
  <c r="AF41" i="3"/>
  <c r="AF18" i="3"/>
  <c r="AF17" i="3"/>
  <c r="AF16" i="3"/>
  <c r="AF15" i="3"/>
  <c r="AF14" i="3"/>
  <c r="AF13" i="3"/>
  <c r="AF12" i="3"/>
  <c r="AF11" i="3"/>
  <c r="AF10" i="3"/>
  <c r="AF9" i="3"/>
  <c r="AF8" i="3"/>
  <c r="AF4" i="3"/>
  <c r="AF40" i="3"/>
  <c r="AF55" i="3"/>
  <c r="AF7" i="3"/>
  <c r="AF3" i="3"/>
  <c r="AU3" i="2"/>
  <c r="AU4" i="2"/>
  <c r="AO3" i="2"/>
  <c r="AO4" i="2"/>
  <c r="AO5" i="2"/>
  <c r="AO6" i="2"/>
  <c r="AO7" i="2"/>
  <c r="AO8" i="2"/>
  <c r="AO9" i="2"/>
  <c r="AO10" i="2"/>
  <c r="AQ14" i="2"/>
  <c r="AQ13" i="2"/>
  <c r="AQ11" i="2"/>
  <c r="AQ3" i="2"/>
  <c r="AP14" i="2"/>
  <c r="AP13" i="2"/>
  <c r="AP12" i="2"/>
  <c r="AP11" i="2"/>
  <c r="AU6" i="2" s="1"/>
  <c r="AP10" i="2"/>
  <c r="AU5" i="2" s="1"/>
  <c r="AP9" i="2"/>
  <c r="AQ9" i="2" s="1"/>
  <c r="AP8" i="2"/>
  <c r="AQ8" i="2" s="1"/>
  <c r="AP7" i="2"/>
  <c r="AQ7" i="2" s="1"/>
  <c r="AP6" i="2"/>
  <c r="AQ6" i="2" s="1"/>
  <c r="AP5" i="2"/>
  <c r="AQ5" i="2" s="1"/>
  <c r="AP4" i="2"/>
  <c r="AP3" i="2"/>
  <c r="AN4" i="3" l="1"/>
  <c r="AN14" i="3" s="1"/>
  <c r="AO13" i="3"/>
  <c r="AP4" i="3"/>
  <c r="AP14" i="3" s="1"/>
  <c r="AP11" i="3"/>
  <c r="AN10" i="3"/>
  <c r="AO10" i="3"/>
  <c r="AO14" i="3" s="1"/>
  <c r="AO11" i="3"/>
  <c r="AP10" i="3"/>
  <c r="AT10" i="3"/>
  <c r="AU10" i="3" s="1"/>
  <c r="AQ10" i="3"/>
  <c r="AQ12" i="3"/>
  <c r="AL4" i="3"/>
  <c r="AL13" i="3"/>
  <c r="AL3" i="3"/>
  <c r="AQ4" i="2"/>
  <c r="AQ10" i="2"/>
  <c r="E11" i="1"/>
  <c r="E16" i="1"/>
  <c r="AT6" i="3" l="1"/>
  <c r="AQ6" i="3"/>
  <c r="AQ3" i="3"/>
  <c r="AT3" i="3"/>
  <c r="AU3" i="3" s="1"/>
  <c r="AQ4" i="3"/>
  <c r="AT4" i="3"/>
  <c r="AU4" i="3" s="1"/>
  <c r="AT13" i="3"/>
  <c r="AQ13" i="3"/>
  <c r="AT5" i="3"/>
  <c r="AU5" i="3" s="1"/>
  <c r="AQ5" i="3"/>
  <c r="AT11" i="3"/>
  <c r="AU11" i="3" s="1"/>
  <c r="AQ11" i="3"/>
  <c r="AL14" i="3"/>
</calcChain>
</file>

<file path=xl/sharedStrings.xml><?xml version="1.0" encoding="utf-8"?>
<sst xmlns="http://schemas.openxmlformats.org/spreadsheetml/2006/main" count="1731" uniqueCount="278">
  <si>
    <t>Central Ducted Heat Pump Partially Displacing Existing Furnace, Gas</t>
  </si>
  <si>
    <t>GA2c070</t>
  </si>
  <si>
    <t>Central Ducted Heat Pump Fully Displacing Existing Furnace, Gas</t>
  </si>
  <si>
    <t>GA2c071</t>
  </si>
  <si>
    <t>DMSHP with Integrated Controls Partially Displacing Existing Boiler, Gas</t>
  </si>
  <si>
    <t>GA2c072</t>
  </si>
  <si>
    <t>DMSHP with Integrated Controls Fully Displacing Existing Boiler, Gas</t>
  </si>
  <si>
    <t>GA2c073</t>
  </si>
  <si>
    <t>Air-to-Water Heat Pump displacing Existing Boiler, Gas</t>
  </si>
  <si>
    <t>GA2c074</t>
  </si>
  <si>
    <t>Closed Loop GSHP Replacing Furnace, Gas</t>
  </si>
  <si>
    <t>GA2c075</t>
  </si>
  <si>
    <t>Open Loop GSHP Replacing Furnace, Gas</t>
  </si>
  <si>
    <t>GA2c076</t>
  </si>
  <si>
    <t>Total Resource Cost</t>
  </si>
  <si>
    <t>Incentive</t>
  </si>
  <si>
    <t>Customer Cost</t>
  </si>
  <si>
    <t>Berkshire Gas</t>
  </si>
  <si>
    <t>Checksum</t>
  </si>
  <si>
    <t/>
  </si>
  <si>
    <t>Gas</t>
  </si>
  <si>
    <t>Ducted Heat Pump displacing Gas Heating</t>
  </si>
  <si>
    <t>GC2b052</t>
  </si>
  <si>
    <t>Ductless Heat Pump displacing Gas Heating</t>
  </si>
  <si>
    <t>GC2b053</t>
  </si>
  <si>
    <t>Ducted Heat Pump replacing Gas Heating</t>
  </si>
  <si>
    <t>GC2b054</t>
  </si>
  <si>
    <t>Ductless Heat Pump replacing Gas Heating</t>
  </si>
  <si>
    <t>GC2b055</t>
  </si>
  <si>
    <t>C2b - C&amp;I New &amp; Replacement Equipment</t>
  </si>
  <si>
    <t>A2c - Residential Retail</t>
  </si>
  <si>
    <t>Heat Pump Water Heater displacing Existing Water Heater, Gas</t>
  </si>
  <si>
    <t>GA2c077</t>
  </si>
  <si>
    <t>Eversource Gas</t>
  </si>
  <si>
    <t>Fitchburg Gas and Electric</t>
  </si>
  <si>
    <t>Liberty Utilities</t>
  </si>
  <si>
    <t>National Grid Gas</t>
  </si>
  <si>
    <t>NStar Gas (d/b/a Eversource Energy)</t>
  </si>
  <si>
    <t>Cape Compact</t>
  </si>
  <si>
    <t>Electric</t>
  </si>
  <si>
    <t>A2a - Residential Coordinated Delivery</t>
  </si>
  <si>
    <t>Custom - Heat Pumps displacing Electric Heat</t>
  </si>
  <si>
    <t>EA2a248</t>
  </si>
  <si>
    <t>Custom - Heat Pumps displacing Oil</t>
  </si>
  <si>
    <t>EA2a276</t>
  </si>
  <si>
    <t>Custom - Heat Pumps displacing Propane</t>
  </si>
  <si>
    <t>EA2a277</t>
  </si>
  <si>
    <t>Midstream - Central Heat Pump, No Integrated Controls</t>
  </si>
  <si>
    <t>EA2c003</t>
  </si>
  <si>
    <t>Midstream - MSHP, No Integrated Controls</t>
  </si>
  <si>
    <t>EA2c004</t>
  </si>
  <si>
    <t>MSHP displacing Electric Heat</t>
  </si>
  <si>
    <t>EA2c256</t>
  </si>
  <si>
    <t>MSHP Integrated Controls Retrofit Oil</t>
  </si>
  <si>
    <t>EA2c270</t>
  </si>
  <si>
    <t>MSHP Integrated Controls Retrofit, Propane</t>
  </si>
  <si>
    <t>EA2c269</t>
  </si>
  <si>
    <t>Central Heat Pump partially displacing Oil Heat</t>
  </si>
  <si>
    <t>EA2c266</t>
  </si>
  <si>
    <t>Central Heat Pump partially displacing Propane Heat</t>
  </si>
  <si>
    <t>EA2c265</t>
  </si>
  <si>
    <t>Central Heat Pump fully displacing Oil Heat</t>
  </si>
  <si>
    <t>EA2c272</t>
  </si>
  <si>
    <t>Central Heat Pump fully displacing Propane Heat</t>
  </si>
  <si>
    <t>EA2c271</t>
  </si>
  <si>
    <t>MSHP partially displacing Oil Heat</t>
  </si>
  <si>
    <t>EA2c268</t>
  </si>
  <si>
    <t>MSHP partially displacing Propane Heat</t>
  </si>
  <si>
    <t>EA2c267</t>
  </si>
  <si>
    <t>MSHP fully displacing Oil Heat</t>
  </si>
  <si>
    <t>EA2c273</t>
  </si>
  <si>
    <t>MSHP fully displacing Propane Heat</t>
  </si>
  <si>
    <t>EA2c274</t>
  </si>
  <si>
    <t>Air-to-Water Heat Pump displacing Oil Heat</t>
  </si>
  <si>
    <t>EA2c290</t>
  </si>
  <si>
    <t>Air-to-Water Heat Pump displacing Propane Heat</t>
  </si>
  <si>
    <t>EA2c291</t>
  </si>
  <si>
    <t>Closed Loop GSHP replacing Oil Heat</t>
  </si>
  <si>
    <t>EA2c292</t>
  </si>
  <si>
    <t>Closed Loop GSHP replacing Propane Heat</t>
  </si>
  <si>
    <t>EA2c293</t>
  </si>
  <si>
    <t>Open Loop GSHP replacing Oil Heat</t>
  </si>
  <si>
    <t>EA2c294</t>
  </si>
  <si>
    <t>Open Loop GSHP replacing Propane Heat</t>
  </si>
  <si>
    <t>EA2c295</t>
  </si>
  <si>
    <t>Moderate Income Qualified - MSHP displacing Electric Heat</t>
  </si>
  <si>
    <t>EA2c315</t>
  </si>
  <si>
    <t>Moderate Income Qualified - MSHP Integrated Controls Retrofit Oil</t>
  </si>
  <si>
    <t>EA2c317</t>
  </si>
  <si>
    <t>Moderate Income Qualified - MSHP Integrated Controls Retrofit, Propane</t>
  </si>
  <si>
    <t>EA2c318</t>
  </si>
  <si>
    <t>Moderate Income Qualified - Central Heat Pump partially displacing Oil Heat</t>
  </si>
  <si>
    <t>EA2c319</t>
  </si>
  <si>
    <t>Moderate Income Qualified - Central Heat Pump partially displacing Propane Heat</t>
  </si>
  <si>
    <t>EA2c320</t>
  </si>
  <si>
    <t>Moderate Income Qualified - Central Heat Pump fully displacing Oil Heat</t>
  </si>
  <si>
    <t>EA2c321</t>
  </si>
  <si>
    <t>Moderate Income Qualified - Central Heat Pump fully displacing Propane Heat</t>
  </si>
  <si>
    <t>EA2c322</t>
  </si>
  <si>
    <t>Moderate Income Qualified - MSHP partially displacing Oil Heat</t>
  </si>
  <si>
    <t>EA2c323</t>
  </si>
  <si>
    <t>Moderate Income Qualified - MSHP partially displacing Propane Heat</t>
  </si>
  <si>
    <t>EA2c324</t>
  </si>
  <si>
    <t>Moderate Income Qualified - MSHP fully displacing Oil Heat</t>
  </si>
  <si>
    <t>EA2c325</t>
  </si>
  <si>
    <t>Moderate Income Qualified - MSHP fully displacing Propane Heat</t>
  </si>
  <si>
    <t>EA2c326</t>
  </si>
  <si>
    <t>Moderate Income Qualified - Air-to-Water Heat Pump displacing Oil Heat</t>
  </si>
  <si>
    <t>EA2c327</t>
  </si>
  <si>
    <t>Moderate Income Qualified - Air-to-Water Heat Pump displacing Propane Heat</t>
  </si>
  <si>
    <t>EA2c328</t>
  </si>
  <si>
    <t>Moderate Income Qualified - Closed Loop GSHP replacing Oil Heat</t>
  </si>
  <si>
    <t>EA2c329</t>
  </si>
  <si>
    <t>Moderate Income Qualified - Closed Loop GSHP replacing Propane Heat</t>
  </si>
  <si>
    <t>EA2c330</t>
  </si>
  <si>
    <t>Moderate Income Qualified - Open Loop GSHP replacing Oil Heat</t>
  </si>
  <si>
    <t>EA2c331</t>
  </si>
  <si>
    <t>Moderate Income Qualified - Open Loop GSHP replacing Propane Heat</t>
  </si>
  <si>
    <t>EA2c332</t>
  </si>
  <si>
    <t xml:space="preserve"> -   </t>
  </si>
  <si>
    <t>Heat Pump QIV</t>
  </si>
  <si>
    <t>EA2c105</t>
  </si>
  <si>
    <t>MSHP QIV</t>
  </si>
  <si>
    <t>EA2c106</t>
  </si>
  <si>
    <t>Heat Pump plus Weatherization Added Incentive</t>
  </si>
  <si>
    <t>EA2c348</t>
  </si>
  <si>
    <t>Heat Pump Water Heater, &lt;55 gallon</t>
  </si>
  <si>
    <t>EA2c018</t>
  </si>
  <si>
    <t>Heat Pump Water Heater, &gt;55 gallon</t>
  </si>
  <si>
    <t>EA2c019</t>
  </si>
  <si>
    <t>Heat Pump Water Heater displacing Oil</t>
  </si>
  <si>
    <t>EA2c286</t>
  </si>
  <si>
    <t>Heat Pump Water Heater displacing Propane</t>
  </si>
  <si>
    <t>EA2c287</t>
  </si>
  <si>
    <t>B1a - Income Eligible Coordinated Delivery</t>
  </si>
  <si>
    <t>MSHP displacing Electric Heat (Single Family)</t>
  </si>
  <si>
    <t>EB1a266</t>
  </si>
  <si>
    <t>Central Heat Pump partially displacing Oil Heat (Single Family)</t>
  </si>
  <si>
    <t>EB1a269</t>
  </si>
  <si>
    <t>Central Heat Pump partially displacing Propane Heat (Single Family)</t>
  </si>
  <si>
    <t>EB1a268</t>
  </si>
  <si>
    <t>Central Heat Pump fully displacing Oil Heat (Single Family)</t>
  </si>
  <si>
    <t>EB1a273</t>
  </si>
  <si>
    <t>Central Heat Pump fully displacing Propane Heat (Single Family)</t>
  </si>
  <si>
    <t>EB1a272</t>
  </si>
  <si>
    <t>MSHP partially displacing Oil Heat (Single Family)</t>
  </si>
  <si>
    <t>EB1a271</t>
  </si>
  <si>
    <t>MSHP partially displacing Propane Heat (Single Family)</t>
  </si>
  <si>
    <t>EB1a270</t>
  </si>
  <si>
    <t>MSHP fully displacing Oil Heat (Single Family)</t>
  </si>
  <si>
    <t>EB1a286</t>
  </si>
  <si>
    <t>MSHP fully displacing Propane Heat (Single Family)</t>
  </si>
  <si>
    <t>EB1a287</t>
  </si>
  <si>
    <t>Heat Pump Water Heater, &lt;55 gallon (Single Family)</t>
  </si>
  <si>
    <t>EB1a017</t>
  </si>
  <si>
    <t>Heat Pump Water Heater, &gt;55 gallon (Single Family)</t>
  </si>
  <si>
    <t>EB1a280</t>
  </si>
  <si>
    <t>Heat Pump Water Heater displacing Oil (Single Family)</t>
  </si>
  <si>
    <t>EB1a281</t>
  </si>
  <si>
    <t>Heat Pump Water Heater displacing Propane (Single Family)</t>
  </si>
  <si>
    <t>EB1a282</t>
  </si>
  <si>
    <t>Heating System Retrofit, Heat Pump (Single Family)</t>
  </si>
  <si>
    <t>EB1a015</t>
  </si>
  <si>
    <t>Heat Pump Water Heater, &lt;55 gallon (Multifamily)</t>
  </si>
  <si>
    <t>EB1a079</t>
  </si>
  <si>
    <t>Heat Pump Water Heater, &gt;55 gallon (Multifamily)</t>
  </si>
  <si>
    <t>EB1a283</t>
  </si>
  <si>
    <t>Heat Pump Water Heater displacing Oil (Multifamily)</t>
  </si>
  <si>
    <t>EB1a284</t>
  </si>
  <si>
    <t>Heat Pump Water Heater displacing Propane (Multifamily)</t>
  </si>
  <si>
    <t>EB1a285</t>
  </si>
  <si>
    <t>Custom - Heat Pumps displacing Electric Heat (Multifamily)</t>
  </si>
  <si>
    <t>EB1a274</t>
  </si>
  <si>
    <t>Custom - Heat Pumps displacing Oil (Multifamily)</t>
  </si>
  <si>
    <t>EB1a275</t>
  </si>
  <si>
    <t>Custom - Heat Pumps displacing Propane (Multifamily)</t>
  </si>
  <si>
    <t>EB1a276</t>
  </si>
  <si>
    <t>C2a - C&amp;I Existing Building Retrofit</t>
  </si>
  <si>
    <t>Custom - Heat Pumps displacing Electric Heat (Residential End Use)</t>
  </si>
  <si>
    <t>EC2a108</t>
  </si>
  <si>
    <t>Ducted Heat Pump, &lt;5.4 Tons</t>
  </si>
  <si>
    <t>EC2b101</t>
  </si>
  <si>
    <t>Ductless Heat Pump, &lt;5.4 Tons</t>
  </si>
  <si>
    <t>EC2b102</t>
  </si>
  <si>
    <t>Ductless Heat Pump displacing Electric Resistance</t>
  </si>
  <si>
    <t>EC2b103</t>
  </si>
  <si>
    <t>Ducted Heat Pump displacing Oil Heating</t>
  </si>
  <si>
    <t>EC2b104</t>
  </si>
  <si>
    <t>Ductless Heat Pump displacing Oil Heating</t>
  </si>
  <si>
    <t>EC2b105</t>
  </si>
  <si>
    <t>Ducted Heat Pump displacing Propane Heating</t>
  </si>
  <si>
    <t>EC2b106</t>
  </si>
  <si>
    <t>Ductless Heat Pump displacing Propane Heating</t>
  </si>
  <si>
    <t>EC2b107</t>
  </si>
  <si>
    <t>Ducted Heat Pump replacing Oil Heating</t>
  </si>
  <si>
    <t>EC2b115</t>
  </si>
  <si>
    <t>Ductless Heat Pump replacing Oil Heating</t>
  </si>
  <si>
    <t>EC2b116</t>
  </si>
  <si>
    <t>Ducted Heat Pump replacing Propane Heating</t>
  </si>
  <si>
    <t>EC2b117</t>
  </si>
  <si>
    <t>Ductless Heat Pump replacing Propane Heating</t>
  </si>
  <si>
    <t>EC2b118</t>
  </si>
  <si>
    <t>Midstream - Water Source Heat Pump Systems</t>
  </si>
  <si>
    <t>EC2b064</t>
  </si>
  <si>
    <t>Midstream - MSHP Systems</t>
  </si>
  <si>
    <t>EC2b053</t>
  </si>
  <si>
    <t>CVEO Heat Pumps, Electric Heat</t>
  </si>
  <si>
    <t>CVEO1</t>
  </si>
  <si>
    <t>CVEO Heat Pumps, Oil</t>
  </si>
  <si>
    <t>CVEO2</t>
  </si>
  <si>
    <t>CVEO Heat Pumps, Propane</t>
  </si>
  <si>
    <t>CVEO3</t>
  </si>
  <si>
    <t>CVEO9</t>
  </si>
  <si>
    <t>CVEO10</t>
  </si>
  <si>
    <t>CVEO11</t>
  </si>
  <si>
    <t>Midstream - Heat Pump Systems</t>
  </si>
  <si>
    <t>EC2b052</t>
  </si>
  <si>
    <t>Unitil Electric</t>
  </si>
  <si>
    <t>National Grid Electric</t>
  </si>
  <si>
    <t>NSTAR Electric</t>
  </si>
  <si>
    <t>s</t>
  </si>
  <si>
    <t>Total Quantity</t>
  </si>
  <si>
    <t>Incentive Spend</t>
  </si>
  <si>
    <t>Three Years</t>
  </si>
  <si>
    <t>Full Replacement</t>
  </si>
  <si>
    <t>Partial Replacement</t>
  </si>
  <si>
    <t>Hot Water</t>
  </si>
  <si>
    <t>Commercial</t>
  </si>
  <si>
    <t>Incentive Test Equality</t>
  </si>
  <si>
    <t>Foots to Term Sheet!</t>
  </si>
  <si>
    <t xml:space="preserve">  </t>
  </si>
  <si>
    <t>Original Sort Order</t>
  </si>
  <si>
    <t>Oil</t>
  </si>
  <si>
    <t>Propane</t>
  </si>
  <si>
    <t>Other</t>
  </si>
  <si>
    <t>Type: Full/ Partial/ Water/ Other</t>
  </si>
  <si>
    <t>Full</t>
  </si>
  <si>
    <t>Partial</t>
  </si>
  <si>
    <t>Fuel: Oil/ Electric/ Propane/ Multiple</t>
  </si>
  <si>
    <t>Multiple</t>
  </si>
  <si>
    <t>Water</t>
  </si>
  <si>
    <t>Residential</t>
  </si>
  <si>
    <t>All Three Years, All Utilities</t>
  </si>
  <si>
    <t>Income Eligible</t>
  </si>
  <si>
    <t xml:space="preserve">   Full</t>
  </si>
  <si>
    <t xml:space="preserve">   Partial</t>
  </si>
  <si>
    <t xml:space="preserve">   Water</t>
  </si>
  <si>
    <t>Term Sheet</t>
  </si>
  <si>
    <t xml:space="preserve">   Electric</t>
  </si>
  <si>
    <t xml:space="preserve">  Full Replacements</t>
  </si>
  <si>
    <t xml:space="preserve">  Partial Replacements</t>
  </si>
  <si>
    <t xml:space="preserve">  Water</t>
  </si>
  <si>
    <t xml:space="preserve">  Electric</t>
  </si>
  <si>
    <t>Total</t>
  </si>
  <si>
    <t>Total Showing</t>
  </si>
  <si>
    <t>Type: Full/ Partial/ Water/ Electric</t>
  </si>
  <si>
    <t>All Three Quantity</t>
  </si>
  <si>
    <t>All Three Years, All Utilities Quantity</t>
  </si>
  <si>
    <t>All Three Years, All Utilities Incentives</t>
  </si>
  <si>
    <t xml:space="preserve">The data in this worbook are extracted from the responses of each utility to common DPU question 3-15 in the </t>
  </si>
  <si>
    <t>2022-24 plan approval process, Dockets 21-120 through 21-129</t>
  </si>
  <si>
    <t>All three Q</t>
  </si>
  <si>
    <t>For electric, the electric replacement lines are higher in these data than in the term sheet, while the other lines are a little lower.</t>
  </si>
  <si>
    <t>The data foot to the term sheet perfectly for Gas.</t>
  </si>
  <si>
    <t>Summary</t>
  </si>
  <si>
    <t>Gas replacements</t>
  </si>
  <si>
    <t>Oil replacements</t>
  </si>
  <si>
    <t>Propane replacements</t>
  </si>
  <si>
    <t>All heat pump replacement rows in the spreadsheets were extracted.</t>
  </si>
  <si>
    <t>Electric replacements</t>
  </si>
  <si>
    <t>Hot water (all fuels)</t>
  </si>
  <si>
    <t xml:space="preserve"> Count</t>
  </si>
  <si>
    <t>Incentives</t>
  </si>
  <si>
    <t>Subtotal Residential</t>
  </si>
  <si>
    <t>Other/Mixed/Unclear</t>
  </si>
  <si>
    <t>Subtotal Commecial</t>
  </si>
  <si>
    <t>Plan less Term Sheet (low)/high</t>
  </si>
  <si>
    <t xml:space="preserve">Electric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</si>
</sst>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2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7" borderId="0" applyNumberFormat="0" applyBorder="0" applyAlignment="0" applyProtection="0"/>
    <xf numFmtId="0" fontId="8" fillId="14" borderId="3" applyNumberFormat="0" applyAlignment="0" applyProtection="0"/>
    <xf numFmtId="0" fontId="9" fillId="26" borderId="4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2" borderId="3" applyNumberFormat="0" applyAlignment="0" applyProtection="0"/>
    <xf numFmtId="0" fontId="16" fillId="0" borderId="8" applyNumberFormat="0" applyFill="0" applyAlignment="0" applyProtection="0"/>
    <xf numFmtId="0" fontId="17" fillId="16" borderId="0" applyNumberFormat="0" applyBorder="0" applyAlignment="0" applyProtection="0"/>
    <xf numFmtId="0" fontId="3" fillId="11" borderId="9" applyNumberFormat="0" applyFont="0" applyAlignment="0" applyProtection="0"/>
    <xf numFmtId="0" fontId="18" fillId="14" borderId="10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15" fillId="12" borderId="14" applyNumberFormat="0" applyAlignment="0" applyProtection="0"/>
    <xf numFmtId="0" fontId="8" fillId="14" borderId="46" applyNumberFormat="0" applyAlignment="0" applyProtection="0"/>
    <xf numFmtId="0" fontId="20" fillId="0" borderId="21" applyNumberFormat="0" applyFill="0" applyAlignment="0" applyProtection="0"/>
    <xf numFmtId="0" fontId="18" fillId="14" borderId="24" applyNumberFormat="0" applyAlignment="0" applyProtection="0"/>
    <xf numFmtId="0" fontId="18" fillId="14" borderId="20" applyNumberFormat="0" applyAlignment="0" applyProtection="0"/>
    <xf numFmtId="0" fontId="3" fillId="11" borderId="19" applyNumberFormat="0" applyFont="0" applyAlignment="0" applyProtection="0"/>
    <xf numFmtId="0" fontId="20" fillId="0" borderId="29" applyNumberFormat="0" applyFill="0" applyAlignment="0" applyProtection="0"/>
    <xf numFmtId="0" fontId="20" fillId="0" borderId="37" applyNumberFormat="0" applyFill="0" applyAlignment="0" applyProtection="0"/>
    <xf numFmtId="0" fontId="20" fillId="0" borderId="65" applyNumberFormat="0" applyFill="0" applyAlignment="0" applyProtection="0"/>
    <xf numFmtId="0" fontId="18" fillId="14" borderId="36" applyNumberFormat="0" applyAlignment="0" applyProtection="0"/>
    <xf numFmtId="0" fontId="3" fillId="11" borderId="35" applyNumberFormat="0" applyFont="0" applyAlignment="0" applyProtection="0"/>
    <xf numFmtId="0" fontId="8" fillId="14" borderId="30" applyNumberFormat="0" applyAlignment="0" applyProtection="0"/>
    <xf numFmtId="0" fontId="18" fillId="14" borderId="52" applyNumberFormat="0" applyAlignment="0" applyProtection="0"/>
    <xf numFmtId="0" fontId="8" fillId="14" borderId="18" applyNumberFormat="0" applyAlignment="0" applyProtection="0"/>
    <xf numFmtId="0" fontId="3" fillId="11" borderId="39" applyNumberFormat="0" applyFont="0" applyAlignment="0" applyProtection="0"/>
    <xf numFmtId="0" fontId="3" fillId="11" borderId="43" applyNumberFormat="0" applyFont="0" applyAlignment="0" applyProtection="0"/>
    <xf numFmtId="0" fontId="20" fillId="0" borderId="57" applyNumberFormat="0" applyFill="0" applyAlignment="0" applyProtection="0"/>
    <xf numFmtId="0" fontId="3" fillId="11" borderId="47" applyNumberFormat="0" applyFont="0" applyAlignment="0" applyProtection="0"/>
    <xf numFmtId="0" fontId="8" fillId="14" borderId="26" applyNumberFormat="0" applyAlignment="0" applyProtection="0"/>
    <xf numFmtId="0" fontId="8" fillId="14" borderId="14" applyNumberFormat="0" applyAlignment="0" applyProtection="0"/>
    <xf numFmtId="0" fontId="8" fillId="14" borderId="22" applyNumberFormat="0" applyAlignment="0" applyProtection="0"/>
    <xf numFmtId="0" fontId="3" fillId="11" borderId="59" applyNumberFormat="0" applyFont="0" applyAlignment="0" applyProtection="0"/>
    <xf numFmtId="0" fontId="3" fillId="11" borderId="63" applyNumberFormat="0" applyFont="0" applyAlignment="0" applyProtection="0"/>
    <xf numFmtId="0" fontId="8" fillId="14" borderId="34" applyNumberFormat="0" applyAlignment="0" applyProtection="0"/>
    <xf numFmtId="0" fontId="8" fillId="14" borderId="38" applyNumberFormat="0" applyAlignment="0" applyProtection="0"/>
    <xf numFmtId="0" fontId="8" fillId="14" borderId="54" applyNumberFormat="0" applyAlignment="0" applyProtection="0"/>
    <xf numFmtId="0" fontId="3" fillId="11" borderId="15" applyNumberFormat="0" applyFont="0" applyAlignment="0" applyProtection="0"/>
    <xf numFmtId="0" fontId="18" fillId="14" borderId="16" applyNumberFormat="0" applyAlignment="0" applyProtection="0"/>
    <xf numFmtId="0" fontId="15" fillId="12" borderId="30" applyNumberFormat="0" applyAlignment="0" applyProtection="0"/>
    <xf numFmtId="0" fontId="20" fillId="0" borderId="17" applyNumberFormat="0" applyFill="0" applyAlignment="0" applyProtection="0"/>
    <xf numFmtId="0" fontId="3" fillId="11" borderId="23" applyNumberFormat="0" applyFont="0" applyAlignment="0" applyProtection="0"/>
    <xf numFmtId="0" fontId="8" fillId="14" borderId="58" applyNumberFormat="0" applyAlignment="0" applyProtection="0"/>
    <xf numFmtId="0" fontId="18" fillId="14" borderId="32" applyNumberFormat="0" applyAlignment="0" applyProtection="0"/>
    <xf numFmtId="0" fontId="15" fillId="12" borderId="18" applyNumberFormat="0" applyAlignment="0" applyProtection="0"/>
    <xf numFmtId="0" fontId="3" fillId="11" borderId="55" applyNumberFormat="0" applyFont="0" applyAlignment="0" applyProtection="0"/>
    <xf numFmtId="0" fontId="15" fillId="12" borderId="22" applyNumberFormat="0" applyAlignment="0" applyProtection="0"/>
    <xf numFmtId="0" fontId="3" fillId="11" borderId="27" applyNumberFormat="0" applyFont="0" applyAlignment="0" applyProtection="0"/>
    <xf numFmtId="0" fontId="8" fillId="14" borderId="42" applyNumberFormat="0" applyAlignment="0" applyProtection="0"/>
    <xf numFmtId="0" fontId="20" fillId="0" borderId="25" applyNumberFormat="0" applyFill="0" applyAlignment="0" applyProtection="0"/>
    <xf numFmtId="0" fontId="18" fillId="14" borderId="28" applyNumberFormat="0" applyAlignment="0" applyProtection="0"/>
    <xf numFmtId="0" fontId="3" fillId="11" borderId="31" applyNumberFormat="0" applyFont="0" applyAlignment="0" applyProtection="0"/>
    <xf numFmtId="0" fontId="20" fillId="0" borderId="33" applyNumberFormat="0" applyFill="0" applyAlignment="0" applyProtection="0"/>
    <xf numFmtId="0" fontId="15" fillId="12" borderId="26" applyNumberFormat="0" applyAlignment="0" applyProtection="0"/>
    <xf numFmtId="0" fontId="15" fillId="12" borderId="50" applyNumberFormat="0" applyAlignment="0" applyProtection="0"/>
    <xf numFmtId="0" fontId="8" fillId="14" borderId="62" applyNumberFormat="0" applyAlignment="0" applyProtection="0"/>
    <xf numFmtId="0" fontId="20" fillId="0" borderId="61" applyNumberFormat="0" applyFill="0" applyAlignment="0" applyProtection="0"/>
    <xf numFmtId="0" fontId="20" fillId="0" borderId="49" applyNumberFormat="0" applyFill="0" applyAlignment="0" applyProtection="0"/>
    <xf numFmtId="0" fontId="20" fillId="0" borderId="45" applyNumberFormat="0" applyFill="0" applyAlignment="0" applyProtection="0"/>
    <xf numFmtId="0" fontId="20" fillId="0" borderId="41" applyNumberFormat="0" applyFill="0" applyAlignment="0" applyProtection="0"/>
    <xf numFmtId="0" fontId="15" fillId="12" borderId="34" applyNumberFormat="0" applyAlignment="0" applyProtection="0"/>
    <xf numFmtId="0" fontId="18" fillId="14" borderId="40" applyNumberFormat="0" applyAlignment="0" applyProtection="0"/>
    <xf numFmtId="0" fontId="8" fillId="14" borderId="50" applyNumberFormat="0" applyAlignment="0" applyProtection="0"/>
    <xf numFmtId="0" fontId="15" fillId="12" borderId="38" applyNumberFormat="0" applyAlignment="0" applyProtection="0"/>
    <xf numFmtId="0" fontId="18" fillId="14" borderId="44" applyNumberFormat="0" applyAlignment="0" applyProtection="0"/>
    <xf numFmtId="0" fontId="18" fillId="14" borderId="56" applyNumberFormat="0" applyAlignment="0" applyProtection="0"/>
    <xf numFmtId="0" fontId="15" fillId="12" borderId="42" applyNumberFormat="0" applyAlignment="0" applyProtection="0"/>
    <xf numFmtId="0" fontId="18" fillId="14" borderId="48" applyNumberFormat="0" applyAlignment="0" applyProtection="0"/>
    <xf numFmtId="0" fontId="3" fillId="11" borderId="51" applyNumberFormat="0" applyFont="0" applyAlignment="0" applyProtection="0"/>
    <xf numFmtId="0" fontId="20" fillId="0" borderId="53" applyNumberFormat="0" applyFill="0" applyAlignment="0" applyProtection="0"/>
    <xf numFmtId="0" fontId="15" fillId="12" borderId="46" applyNumberFormat="0" applyAlignment="0" applyProtection="0"/>
    <xf numFmtId="0" fontId="15" fillId="12" borderId="54" applyNumberFormat="0" applyAlignment="0" applyProtection="0"/>
    <xf numFmtId="0" fontId="18" fillId="14" borderId="60" applyNumberFormat="0" applyAlignment="0" applyProtection="0"/>
    <xf numFmtId="0" fontId="15" fillId="12" borderId="58" applyNumberFormat="0" applyAlignment="0" applyProtection="0"/>
    <xf numFmtId="0" fontId="18" fillId="14" borderId="64" applyNumberFormat="0" applyAlignment="0" applyProtection="0"/>
    <xf numFmtId="0" fontId="15" fillId="12" borderId="62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8" borderId="0" applyNumberFormat="0" applyBorder="0" applyAlignment="0" applyProtection="0"/>
    <xf numFmtId="0" fontId="24" fillId="29" borderId="0" applyNumberFormat="0" applyBorder="0" applyAlignment="0" applyProtection="0"/>
    <xf numFmtId="0" fontId="20" fillId="0" borderId="83" applyNumberFormat="0" applyFill="0" applyAlignment="0" applyProtection="0"/>
    <xf numFmtId="0" fontId="18" fillId="14" borderId="82" applyNumberFormat="0" applyAlignment="0" applyProtection="0"/>
    <xf numFmtId="0" fontId="3" fillId="11" borderId="81" applyNumberFormat="0" applyFont="0" applyAlignment="0" applyProtection="0"/>
    <xf numFmtId="0" fontId="8" fillId="14" borderId="80" applyNumberFormat="0" applyAlignment="0" applyProtection="0"/>
    <xf numFmtId="0" fontId="15" fillId="12" borderId="80" applyNumberFormat="0" applyAlignment="0" applyProtection="0"/>
  </cellStyleXfs>
  <cellXfs count="147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2" borderId="0" xfId="0" applyFont="1" applyFill="1" applyAlignment="1"/>
    <xf numFmtId="0" fontId="4" fillId="2" borderId="2" xfId="1" applyNumberFormat="1" applyFont="1" applyFill="1" applyBorder="1" applyAlignment="1" applyProtection="1">
      <alignment horizontal="left" vertical="top" wrapText="1"/>
      <protection locked="0"/>
    </xf>
    <xf numFmtId="164" fontId="0" fillId="2" borderId="0" xfId="0" applyNumberFormat="1" applyFill="1"/>
    <xf numFmtId="3" fontId="0" fillId="2" borderId="0" xfId="0" applyNumberFormat="1" applyFill="1"/>
    <xf numFmtId="0" fontId="4" fillId="3" borderId="2" xfId="1" applyNumberFormat="1" applyFont="1" applyFill="1" applyBorder="1" applyAlignment="1" applyProtection="1">
      <alignment horizontal="left" vertical="top" wrapText="1"/>
      <protection locked="0"/>
    </xf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0" fontId="3" fillId="27" borderId="0" xfId="0" applyFont="1" applyFill="1" applyBorder="1" applyAlignment="1">
      <alignment horizontal="left"/>
    </xf>
    <xf numFmtId="0" fontId="3" fillId="27" borderId="12" xfId="48" applyNumberFormat="1" applyFont="1" applyFill="1" applyBorder="1" applyAlignment="1">
      <alignment horizontal="left"/>
    </xf>
    <xf numFmtId="0" fontId="3" fillId="27" borderId="1" xfId="0" applyFont="1" applyFill="1" applyBorder="1" applyAlignment="1" applyProtection="1">
      <alignment horizontal="left"/>
      <protection locked="0"/>
    </xf>
    <xf numFmtId="0" fontId="3" fillId="27" borderId="13" xfId="2" applyNumberFormat="1" applyFont="1" applyFill="1" applyBorder="1" applyAlignment="1" applyProtection="1">
      <alignment horizontal="left"/>
      <protection locked="0"/>
    </xf>
    <xf numFmtId="0" fontId="3" fillId="27" borderId="1" xfId="2" applyNumberFormat="1" applyFont="1" applyFill="1" applyBorder="1" applyAlignment="1" applyProtection="1">
      <alignment horizontal="left"/>
      <protection locked="0"/>
    </xf>
    <xf numFmtId="0" fontId="3" fillId="27" borderId="1" xfId="0" applyFont="1" applyFill="1" applyBorder="1" applyAlignment="1">
      <alignment horizontal="left"/>
    </xf>
    <xf numFmtId="0" fontId="0" fillId="27" borderId="0" xfId="0" applyFill="1"/>
    <xf numFmtId="0" fontId="3" fillId="27" borderId="1" xfId="48" applyNumberFormat="1" applyFont="1" applyFill="1" applyBorder="1" applyAlignment="1">
      <alignment horizontal="left"/>
    </xf>
    <xf numFmtId="0" fontId="3" fillId="27" borderId="1" xfId="48" applyNumberFormat="1" applyFont="1" applyFill="1" applyBorder="1" applyAlignment="1" applyProtection="1">
      <alignment horizontal="left"/>
      <protection locked="0"/>
    </xf>
    <xf numFmtId="165" fontId="3" fillId="4" borderId="1" xfId="3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115" applyNumberFormat="1" applyFont="1" applyAlignment="1">
      <alignment horizontal="center"/>
    </xf>
    <xf numFmtId="165" fontId="0" fillId="0" borderId="0" xfId="0" applyNumberFormat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/>
    <xf numFmtId="165" fontId="0" fillId="2" borderId="0" xfId="115" applyNumberFormat="1" applyFont="1" applyFill="1"/>
    <xf numFmtId="164" fontId="0" fillId="3" borderId="0" xfId="1" applyNumberFormat="1" applyFont="1" applyFill="1" applyAlignment="1">
      <alignment horizontal="center"/>
    </xf>
    <xf numFmtId="164" fontId="0" fillId="3" borderId="0" xfId="1" applyNumberFormat="1" applyFont="1" applyFill="1"/>
    <xf numFmtId="165" fontId="0" fillId="3" borderId="0" xfId="115" applyNumberFormat="1" applyFont="1" applyFill="1"/>
    <xf numFmtId="0" fontId="0" fillId="0" borderId="0" xfId="0" applyAlignment="1">
      <alignment wrapText="1"/>
    </xf>
    <xf numFmtId="0" fontId="0" fillId="27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164" fontId="0" fillId="2" borderId="0" xfId="1" applyNumberFormat="1" applyFont="1" applyFill="1" applyAlignment="1">
      <alignment wrapText="1"/>
    </xf>
    <xf numFmtId="164" fontId="0" fillId="3" borderId="0" xfId="1" applyNumberFormat="1" applyFont="1" applyFill="1" applyAlignment="1">
      <alignment wrapText="1"/>
    </xf>
    <xf numFmtId="0" fontId="0" fillId="3" borderId="0" xfId="115" applyNumberFormat="1" applyFont="1" applyFill="1" applyAlignment="1">
      <alignment wrapText="1"/>
    </xf>
    <xf numFmtId="164" fontId="24" fillId="29" borderId="0" xfId="1" applyNumberFormat="1" applyFont="1" applyFill="1"/>
    <xf numFmtId="0" fontId="3" fillId="27" borderId="1" xfId="48" applyNumberFormat="1" applyFont="1" applyFill="1" applyBorder="1" applyAlignment="1">
      <alignment horizontal="left" vertical="center"/>
    </xf>
    <xf numFmtId="165" fontId="0" fillId="0" borderId="0" xfId="115" applyNumberFormat="1" applyFont="1"/>
    <xf numFmtId="0" fontId="0" fillId="0" borderId="2" xfId="0" applyBorder="1"/>
    <xf numFmtId="164" fontId="0" fillId="0" borderId="2" xfId="1" applyNumberFormat="1" applyFont="1" applyBorder="1"/>
    <xf numFmtId="165" fontId="0" fillId="0" borderId="2" xfId="0" applyNumberFormat="1" applyBorder="1"/>
    <xf numFmtId="0" fontId="0" fillId="27" borderId="0" xfId="0" applyFill="1" applyBorder="1"/>
    <xf numFmtId="0" fontId="0" fillId="2" borderId="0" xfId="0" applyFill="1" applyBorder="1"/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0" fillId="27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1" applyNumberFormat="1" applyFont="1" applyBorder="1" applyAlignment="1">
      <alignment wrapText="1"/>
    </xf>
    <xf numFmtId="164" fontId="0" fillId="2" borderId="0" xfId="0" applyNumberFormat="1" applyFill="1" applyBorder="1"/>
    <xf numFmtId="3" fontId="0" fillId="2" borderId="0" xfId="0" applyNumberFormat="1" applyFill="1" applyBorder="1"/>
    <xf numFmtId="164" fontId="0" fillId="3" borderId="0" xfId="0" applyNumberFormat="1" applyFill="1" applyBorder="1"/>
    <xf numFmtId="3" fontId="0" fillId="3" borderId="0" xfId="0" applyNumberFormat="1" applyFill="1" applyBorder="1"/>
    <xf numFmtId="165" fontId="0" fillId="2" borderId="0" xfId="0" applyNumberFormat="1" applyFill="1" applyBorder="1"/>
    <xf numFmtId="165" fontId="0" fillId="3" borderId="0" xfId="0" applyNumberFormat="1" applyFill="1" applyBorder="1"/>
    <xf numFmtId="164" fontId="0" fillId="0" borderId="0" xfId="0" applyNumberFormat="1" applyBorder="1"/>
    <xf numFmtId="165" fontId="0" fillId="0" borderId="0" xfId="0" applyNumberFormat="1" applyBorder="1"/>
    <xf numFmtId="0" fontId="0" fillId="3" borderId="0" xfId="0" applyFill="1" applyBorder="1"/>
    <xf numFmtId="0" fontId="3" fillId="27" borderId="13" xfId="0" applyFont="1" applyFill="1" applyBorder="1" applyAlignment="1" applyProtection="1">
      <alignment horizontal="left"/>
      <protection locked="0"/>
    </xf>
    <xf numFmtId="0" fontId="3" fillId="27" borderId="13" xfId="0" applyFont="1" applyFill="1" applyBorder="1" applyAlignment="1">
      <alignment horizontal="left"/>
    </xf>
    <xf numFmtId="164" fontId="0" fillId="2" borderId="67" xfId="0" applyNumberFormat="1" applyFill="1" applyBorder="1"/>
    <xf numFmtId="0" fontId="0" fillId="2" borderId="67" xfId="0" applyFill="1" applyBorder="1"/>
    <xf numFmtId="164" fontId="0" fillId="3" borderId="67" xfId="0" applyNumberFormat="1" applyFill="1" applyBorder="1"/>
    <xf numFmtId="3" fontId="0" fillId="3" borderId="67" xfId="0" applyNumberFormat="1" applyFill="1" applyBorder="1"/>
    <xf numFmtId="0" fontId="0" fillId="3" borderId="67" xfId="0" applyFill="1" applyBorder="1"/>
    <xf numFmtId="165" fontId="0" fillId="2" borderId="67" xfId="0" applyNumberFormat="1" applyFill="1" applyBorder="1"/>
    <xf numFmtId="165" fontId="0" fillId="3" borderId="67" xfId="0" applyNumberFormat="1" applyFill="1" applyBorder="1"/>
    <xf numFmtId="0" fontId="0" fillId="0" borderId="67" xfId="0" applyBorder="1"/>
    <xf numFmtId="165" fontId="0" fillId="0" borderId="67" xfId="0" applyNumberFormat="1" applyBorder="1"/>
    <xf numFmtId="164" fontId="0" fillId="0" borderId="67" xfId="1" applyNumberFormat="1" applyFont="1" applyBorder="1"/>
    <xf numFmtId="0" fontId="4" fillId="2" borderId="77" xfId="1" applyNumberFormat="1" applyFont="1" applyFill="1" applyBorder="1" applyAlignment="1" applyProtection="1">
      <alignment horizontal="left" vertical="top" wrapText="1"/>
      <protection locked="0"/>
    </xf>
    <xf numFmtId="0" fontId="4" fillId="3" borderId="77" xfId="1" applyNumberFormat="1" applyFont="1" applyFill="1" applyBorder="1" applyAlignment="1" applyProtection="1">
      <alignment horizontal="left" vertical="top" wrapText="1"/>
      <protection locked="0"/>
    </xf>
    <xf numFmtId="0" fontId="0" fillId="0" borderId="84" xfId="0" applyBorder="1"/>
    <xf numFmtId="0" fontId="3" fillId="27" borderId="77" xfId="0" applyFont="1" applyFill="1" applyBorder="1" applyAlignment="1">
      <alignment horizontal="left"/>
    </xf>
    <xf numFmtId="0" fontId="0" fillId="27" borderId="84" xfId="0" applyFill="1" applyBorder="1"/>
    <xf numFmtId="164" fontId="0" fillId="2" borderId="84" xfId="0" applyNumberFormat="1" applyFill="1" applyBorder="1"/>
    <xf numFmtId="3" fontId="0" fillId="2" borderId="84" xfId="0" applyNumberFormat="1" applyFill="1" applyBorder="1"/>
    <xf numFmtId="0" fontId="0" fillId="2" borderId="84" xfId="0" applyFill="1" applyBorder="1"/>
    <xf numFmtId="164" fontId="0" fillId="3" borderId="84" xfId="0" applyNumberFormat="1" applyFill="1" applyBorder="1"/>
    <xf numFmtId="3" fontId="0" fillId="3" borderId="84" xfId="0" applyNumberFormat="1" applyFill="1" applyBorder="1"/>
    <xf numFmtId="165" fontId="0" fillId="2" borderId="84" xfId="0" applyNumberFormat="1" applyFill="1" applyBorder="1"/>
    <xf numFmtId="165" fontId="0" fillId="3" borderId="84" xfId="0" applyNumberFormat="1" applyFill="1" applyBorder="1"/>
    <xf numFmtId="164" fontId="0" fillId="0" borderId="84" xfId="0" applyNumberFormat="1" applyBorder="1"/>
    <xf numFmtId="165" fontId="0" fillId="0" borderId="84" xfId="0" applyNumberFormat="1" applyBorder="1"/>
    <xf numFmtId="164" fontId="0" fillId="0" borderId="84" xfId="1" applyNumberFormat="1" applyFont="1" applyBorder="1"/>
    <xf numFmtId="0" fontId="23" fillId="28" borderId="0" xfId="117"/>
    <xf numFmtId="165" fontId="23" fillId="28" borderId="0" xfId="117" applyNumberFormat="1"/>
    <xf numFmtId="0" fontId="2" fillId="0" borderId="0" xfId="0" applyFont="1" applyAlignment="1">
      <alignment wrapText="1"/>
    </xf>
    <xf numFmtId="0" fontId="3" fillId="27" borderId="0" xfId="48" applyNumberFormat="1" applyFont="1" applyFill="1" applyBorder="1" applyAlignment="1">
      <alignment horizontal="left"/>
    </xf>
    <xf numFmtId="0" fontId="3" fillId="27" borderId="13" xfId="48" applyNumberFormat="1" applyFont="1" applyFill="1" applyBorder="1" applyAlignment="1" applyProtection="1">
      <alignment horizontal="left"/>
      <protection locked="0"/>
    </xf>
    <xf numFmtId="0" fontId="3" fillId="27" borderId="0" xfId="48" applyNumberFormat="1" applyFont="1" applyFill="1" applyBorder="1" applyAlignment="1" applyProtection="1">
      <alignment horizontal="left"/>
      <protection locked="0"/>
    </xf>
    <xf numFmtId="0" fontId="0" fillId="27" borderId="1" xfId="0" applyFill="1" applyBorder="1"/>
    <xf numFmtId="0" fontId="0" fillId="27" borderId="12" xfId="0" applyFill="1" applyBorder="1"/>
    <xf numFmtId="165" fontId="0" fillId="3" borderId="0" xfId="115" applyNumberFormat="1" applyFont="1" applyFill="1" applyAlignment="1">
      <alignment horizontal="center"/>
    </xf>
    <xf numFmtId="164" fontId="24" fillId="3" borderId="0" xfId="1" applyNumberFormat="1" applyFont="1" applyFill="1"/>
    <xf numFmtId="0" fontId="2" fillId="0" borderId="0" xfId="0" applyFont="1"/>
    <xf numFmtId="165" fontId="2" fillId="0" borderId="0" xfId="0" applyNumberFormat="1" applyFont="1"/>
    <xf numFmtId="0" fontId="0" fillId="0" borderId="72" xfId="0" applyBorder="1"/>
    <xf numFmtId="0" fontId="0" fillId="0" borderId="73" xfId="0" applyBorder="1"/>
    <xf numFmtId="0" fontId="3" fillId="27" borderId="79" xfId="48" applyNumberFormat="1" applyFont="1" applyFill="1" applyBorder="1" applyAlignment="1">
      <alignment horizontal="left"/>
    </xf>
    <xf numFmtId="0" fontId="3" fillId="27" borderId="78" xfId="48" applyNumberFormat="1" applyFont="1" applyFill="1" applyBorder="1" applyAlignment="1">
      <alignment horizontal="left"/>
    </xf>
    <xf numFmtId="0" fontId="3" fillId="27" borderId="73" xfId="48" applyNumberFormat="1" applyFont="1" applyFill="1" applyBorder="1" applyAlignment="1">
      <alignment horizontal="left"/>
    </xf>
    <xf numFmtId="164" fontId="0" fillId="2" borderId="73" xfId="1" applyNumberFormat="1" applyFont="1" applyFill="1" applyBorder="1"/>
    <xf numFmtId="165" fontId="0" fillId="2" borderId="73" xfId="115" applyNumberFormat="1" applyFont="1" applyFill="1" applyBorder="1"/>
    <xf numFmtId="164" fontId="0" fillId="3" borderId="73" xfId="1" applyNumberFormat="1" applyFont="1" applyFill="1" applyBorder="1"/>
    <xf numFmtId="165" fontId="0" fillId="3" borderId="73" xfId="115" applyNumberFormat="1" applyFont="1" applyFill="1" applyBorder="1"/>
    <xf numFmtId="165" fontId="2" fillId="0" borderId="74" xfId="0" applyNumberFormat="1" applyFont="1" applyBorder="1"/>
    <xf numFmtId="0" fontId="0" fillId="0" borderId="68" xfId="0" applyBorder="1"/>
    <xf numFmtId="164" fontId="0" fillId="2" borderId="0" xfId="1" applyNumberFormat="1" applyFont="1" applyFill="1" applyBorder="1"/>
    <xf numFmtId="165" fontId="0" fillId="2" borderId="0" xfId="115" applyNumberFormat="1" applyFont="1" applyFill="1" applyBorder="1"/>
    <xf numFmtId="164" fontId="0" fillId="3" borderId="0" xfId="1" applyNumberFormat="1" applyFont="1" applyFill="1" applyBorder="1"/>
    <xf numFmtId="165" fontId="0" fillId="3" borderId="0" xfId="115" applyNumberFormat="1" applyFont="1" applyFill="1" applyBorder="1"/>
    <xf numFmtId="165" fontId="2" fillId="0" borderId="69" xfId="0" applyNumberFormat="1" applyFont="1" applyBorder="1"/>
    <xf numFmtId="0" fontId="0" fillId="0" borderId="70" xfId="0" applyBorder="1"/>
    <xf numFmtId="0" fontId="0" fillId="0" borderId="66" xfId="0" applyBorder="1"/>
    <xf numFmtId="0" fontId="3" fillId="27" borderId="75" xfId="48" applyNumberFormat="1" applyFont="1" applyFill="1" applyBorder="1" applyAlignment="1">
      <alignment horizontal="left"/>
    </xf>
    <xf numFmtId="0" fontId="3" fillId="27" borderId="75" xfId="48" applyNumberFormat="1" applyFont="1" applyFill="1" applyBorder="1" applyAlignment="1">
      <alignment horizontal="left" vertical="center"/>
    </xf>
    <xf numFmtId="0" fontId="3" fillId="27" borderId="76" xfId="48" applyNumberFormat="1" applyFont="1" applyFill="1" applyBorder="1" applyAlignment="1">
      <alignment horizontal="left"/>
    </xf>
    <xf numFmtId="0" fontId="3" fillId="27" borderId="66" xfId="48" applyNumberFormat="1" applyFont="1" applyFill="1" applyBorder="1" applyAlignment="1">
      <alignment horizontal="left"/>
    </xf>
    <xf numFmtId="164" fontId="0" fillId="2" borderId="66" xfId="1" applyNumberFormat="1" applyFont="1" applyFill="1" applyBorder="1"/>
    <xf numFmtId="165" fontId="0" fillId="2" borderId="66" xfId="115" applyNumberFormat="1" applyFont="1" applyFill="1" applyBorder="1"/>
    <xf numFmtId="164" fontId="0" fillId="3" borderId="66" xfId="1" applyNumberFormat="1" applyFont="1" applyFill="1" applyBorder="1"/>
    <xf numFmtId="165" fontId="0" fillId="3" borderId="66" xfId="115" applyNumberFormat="1" applyFont="1" applyFill="1" applyBorder="1"/>
    <xf numFmtId="165" fontId="2" fillId="0" borderId="71" xfId="0" applyNumberFormat="1" applyFont="1" applyBorder="1"/>
    <xf numFmtId="9" fontId="0" fillId="0" borderId="0" xfId="116" applyFont="1"/>
    <xf numFmtId="165" fontId="2" fillId="0" borderId="0" xfId="0" applyNumberFormat="1" applyFont="1" applyBorder="1"/>
    <xf numFmtId="0" fontId="0" fillId="0" borderId="0" xfId="0" applyFont="1"/>
    <xf numFmtId="0" fontId="0" fillId="0" borderId="0" xfId="0" applyFont="1" applyAlignment="1">
      <alignment wrapText="1"/>
    </xf>
    <xf numFmtId="165" fontId="0" fillId="0" borderId="0" xfId="0" applyNumberFormat="1" applyFont="1"/>
    <xf numFmtId="0" fontId="3" fillId="27" borderId="79" xfId="48" applyNumberFormat="1" applyFont="1" applyFill="1" applyBorder="1" applyAlignment="1" applyProtection="1">
      <alignment horizontal="left"/>
      <protection locked="0"/>
    </xf>
    <xf numFmtId="0" fontId="3" fillId="27" borderId="75" xfId="48" applyNumberFormat="1" applyFont="1" applyFill="1" applyBorder="1" applyAlignment="1" applyProtection="1">
      <alignment horizontal="left"/>
      <protection locked="0"/>
    </xf>
    <xf numFmtId="9" fontId="0" fillId="0" borderId="0" xfId="0" applyNumberFormat="1"/>
    <xf numFmtId="165" fontId="0" fillId="27" borderId="0" xfId="0" applyNumberFormat="1" applyFill="1" applyAlignment="1">
      <alignment wrapText="1"/>
    </xf>
    <xf numFmtId="165" fontId="0" fillId="0" borderId="2" xfId="115" applyNumberFormat="1" applyFont="1" applyBorder="1"/>
    <xf numFmtId="165" fontId="24" fillId="29" borderId="0" xfId="118" applyNumberFormat="1"/>
  </cellXfs>
  <cellStyles count="124">
    <cellStyle name="20% - Accent1 2" xfId="3" xr:uid="{7235D5BA-82EF-46E0-8815-6C69FAB99E78}"/>
    <cellStyle name="20% - Accent2 2" xfId="4" xr:uid="{AC7E6354-9463-440B-BD04-76554D9D7E99}"/>
    <cellStyle name="20% - Accent3 2" xfId="5" xr:uid="{0F160DF7-D4E2-400E-BFF8-DCB67A3B9A4A}"/>
    <cellStyle name="20% - Accent4 2" xfId="6" xr:uid="{E9EC7EF1-32B1-4BF9-862F-78C252D0B786}"/>
    <cellStyle name="20% - Accent5 2" xfId="7" xr:uid="{B50AA406-7113-4F46-8221-7DC1FEC5E47E}"/>
    <cellStyle name="20% - Accent6 2" xfId="8" xr:uid="{FB2412FA-AD05-4AA2-AC21-5147D285816C}"/>
    <cellStyle name="40% - Accent1 2" xfId="9" xr:uid="{8B79A7A2-DB5A-4F74-A984-D008374DF03F}"/>
    <cellStyle name="40% - Accent2 2" xfId="10" xr:uid="{2C953D50-8D78-4936-A33D-D086B07C53A6}"/>
    <cellStyle name="40% - Accent3 2" xfId="11" xr:uid="{474AECB8-E3B3-4680-951F-BE205C5CE6E4}"/>
    <cellStyle name="40% - Accent4 2" xfId="12" xr:uid="{887A564B-B700-4666-B2A3-9D05D332B492}"/>
    <cellStyle name="40% - Accent5 2" xfId="13" xr:uid="{50F25B54-6F18-4B4F-A98F-3992AF2A1281}"/>
    <cellStyle name="40% - Accent6 2" xfId="14" xr:uid="{7B43C995-EDEE-4891-B4AC-C3E2E945A5C0}"/>
    <cellStyle name="60% - Accent1 2" xfId="15" xr:uid="{BF9812F9-23CD-465B-AE2B-9C49DFA610C9}"/>
    <cellStyle name="60% - Accent2 2" xfId="16" xr:uid="{55217B52-364C-4F9A-8130-2809248BBA53}"/>
    <cellStyle name="60% - Accent3 2" xfId="17" xr:uid="{AC31E5AB-EFD3-4CF4-8CAF-2CDB99A074E5}"/>
    <cellStyle name="60% - Accent4 2" xfId="18" xr:uid="{EF2BE2CF-4F4E-4663-A5C5-9BEABC87935D}"/>
    <cellStyle name="60% - Accent5 2" xfId="19" xr:uid="{2E6E71F4-9FCA-4767-91D2-133FBF7572A4}"/>
    <cellStyle name="60% - Accent6 2" xfId="20" xr:uid="{97FABE6A-6304-4867-B320-F127B7159F48}"/>
    <cellStyle name="Accent1 2" xfId="21" xr:uid="{B238368C-40DA-4588-BF28-E26C4F7A54E0}"/>
    <cellStyle name="Accent2 2" xfId="22" xr:uid="{C79C568C-6041-4102-A645-66F1B84ADC18}"/>
    <cellStyle name="Accent3 2" xfId="23" xr:uid="{F0B3D1FE-EED6-4B2E-9DA2-9792737D1B3A}"/>
    <cellStyle name="Accent4 2" xfId="24" xr:uid="{D292ECE3-AADD-41A8-B7D8-FCD2EE460D74}"/>
    <cellStyle name="Accent5 2" xfId="25" xr:uid="{849FFCC5-08DD-444F-89CB-3F356151EC81}"/>
    <cellStyle name="Accent6 2" xfId="26" xr:uid="{4839089E-616E-4F37-856B-D8592CD58EC0}"/>
    <cellStyle name="Bad" xfId="118" builtinId="27"/>
    <cellStyle name="Bad 2" xfId="27" xr:uid="{A0AE6FB2-7829-447C-8744-4FBCD8A571FD}"/>
    <cellStyle name="Calculation 10" xfId="87" xr:uid="{E291F12D-E0BA-4855-96A7-BC51059D38CB}"/>
    <cellStyle name="Calculation 11" xfId="51" xr:uid="{CFC5D2FD-963C-424B-B520-EE0CB2470F60}"/>
    <cellStyle name="Calculation 12" xfId="101" xr:uid="{F2026DEC-5DC9-4B28-8AB2-9E99C10B2156}"/>
    <cellStyle name="Calculation 13" xfId="75" xr:uid="{DBBF0353-724F-4BE0-B866-2D6BDC949680}"/>
    <cellStyle name="Calculation 14" xfId="81" xr:uid="{CD70F1F3-F4E8-445A-A9F8-F1E01D92C075}"/>
    <cellStyle name="Calculation 15" xfId="94" xr:uid="{4B1CAA23-2E2D-4E0D-BCC0-9B1881CE5CA6}"/>
    <cellStyle name="Calculation 16" xfId="122" xr:uid="{5A2FAAC7-39EE-4850-AAC8-000B72AE4752}"/>
    <cellStyle name="Calculation 2" xfId="28" xr:uid="{E5E44883-6450-425C-9DE0-E47173F5741C}"/>
    <cellStyle name="Calculation 3" xfId="69" xr:uid="{D70FA187-D75C-4A59-9157-8AD3A5570FA6}"/>
    <cellStyle name="Calculation 4" xfId="63" xr:uid="{3A573F4E-FCA1-4123-8C4C-67A990D98C4C}"/>
    <cellStyle name="Calculation 5" xfId="70" xr:uid="{9DBA8105-FEEF-4BE1-A7A0-7683992C7705}"/>
    <cellStyle name="Calculation 6" xfId="68" xr:uid="{CE7AF087-28B2-44E6-A852-D1DF37CB18B7}"/>
    <cellStyle name="Calculation 7" xfId="61" xr:uid="{897A7C64-52FE-470C-965B-729C04D52E30}"/>
    <cellStyle name="Calculation 8" xfId="73" xr:uid="{A9B7DA59-1967-4EC5-B01D-822F8758E240}"/>
    <cellStyle name="Calculation 9" xfId="74" xr:uid="{B85EC89B-8E54-4CDB-B82D-AA5A35DBBC1B}"/>
    <cellStyle name="Check Cell 2" xfId="29" xr:uid="{DFD9453B-C26C-47CB-8A69-BA6C616B2617}"/>
    <cellStyle name="Comma" xfId="115" builtinId="3"/>
    <cellStyle name="Comma 2" xfId="30" xr:uid="{2C361735-3400-4F1E-80B5-E1952B38C9A4}"/>
    <cellStyle name="Currency" xfId="1" builtinId="4"/>
    <cellStyle name="Currency 2" xfId="31" xr:uid="{3D58FCE3-ADD9-4878-9E54-663D0D7A1946}"/>
    <cellStyle name="Explanatory Text 2" xfId="32" xr:uid="{CBD0A040-B28E-4C17-BA5F-972023B127EB}"/>
    <cellStyle name="Good" xfId="117" builtinId="26"/>
    <cellStyle name="Good 2" xfId="33" xr:uid="{3698899F-22A4-42E6-AE98-438CF45A4E88}"/>
    <cellStyle name="Heading 1 2" xfId="34" xr:uid="{B379CA8E-409E-4844-BF75-25EB365058D0}"/>
    <cellStyle name="Heading 2 2" xfId="35" xr:uid="{244F1BFB-B7DC-45AE-AD02-9E0781CB61C2}"/>
    <cellStyle name="Heading 3 2" xfId="36" xr:uid="{532BF349-B5A3-4D51-92E3-30C46612A219}"/>
    <cellStyle name="Heading 4 2" xfId="37" xr:uid="{A9802628-4F23-44A8-A1C0-DE6798C9D888}"/>
    <cellStyle name="Hyperlink 2" xfId="47" xr:uid="{C42BE5D0-2DE9-4FC8-B9C3-D8D843E862C7}"/>
    <cellStyle name="Input 2" xfId="50" xr:uid="{6AFC1013-F085-4B27-BA9B-C8DEA5576D9A}"/>
    <cellStyle name="Input 2 10" xfId="93" xr:uid="{9573EDC9-2694-46CE-95CD-289D28D3EA24}"/>
    <cellStyle name="Input 2 11" xfId="110" xr:uid="{A2A825AA-C1E4-4E31-88E0-CC27235DD5B3}"/>
    <cellStyle name="Input 2 12" xfId="112" xr:uid="{765AAEAD-A20B-4C36-899F-1AD9A9A6F89A}"/>
    <cellStyle name="Input 2 13" xfId="114" xr:uid="{EF8E3476-D7EA-4D52-9EBA-2EE822536D18}"/>
    <cellStyle name="Input 2 14" xfId="123" xr:uid="{9202AF96-69C3-4E45-BA62-1421EEA2E6C0}"/>
    <cellStyle name="Input 2 2" xfId="83" xr:uid="{06D52AFD-5D6B-40EF-B297-62D5679A6B3D}"/>
    <cellStyle name="Input 2 3" xfId="85" xr:uid="{9DF9973F-6907-4D76-8610-6FF4B47766AF}"/>
    <cellStyle name="Input 2 4" xfId="92" xr:uid="{79AD26CA-5A49-4205-BD69-8D4E799C08F0}"/>
    <cellStyle name="Input 2 5" xfId="78" xr:uid="{559CFB45-26A6-4872-A4A7-F64826D2848A}"/>
    <cellStyle name="Input 2 6" xfId="99" xr:uid="{429432EF-4AC2-431C-9582-400BDC05F524}"/>
    <cellStyle name="Input 2 7" xfId="102" xr:uid="{130CF3B9-835D-4FA4-9142-F021BB453552}"/>
    <cellStyle name="Input 2 8" xfId="105" xr:uid="{DF1B7960-5C40-428C-B5E1-F62F688390A3}"/>
    <cellStyle name="Input 2 9" xfId="109" xr:uid="{5F73512D-242F-459C-9F82-C9DE9246E87A}"/>
    <cellStyle name="Input 3" xfId="38" xr:uid="{BB8E8DBE-7206-49A5-B302-1D1757CAC86A}"/>
    <cellStyle name="Linked Cell 2" xfId="39" xr:uid="{982F7679-3832-4A5C-A80E-08619C4C246A}"/>
    <cellStyle name="Neutral 2" xfId="40" xr:uid="{068ABDD2-9C11-4F7F-A9DD-F4071091E7DE}"/>
    <cellStyle name="Normal" xfId="0" builtinId="0"/>
    <cellStyle name="Normal 2" xfId="48" xr:uid="{5795614B-4B97-453A-8232-B0CACC2C8C00}"/>
    <cellStyle name="Normal 2 10" xfId="49" xr:uid="{58B282EE-5CE8-4B03-8584-C4EE7C08F939}"/>
    <cellStyle name="Normal 3" xfId="2" xr:uid="{E9857055-1A7D-469C-9B30-D71A7DF500F2}"/>
    <cellStyle name="Note 10" xfId="65" xr:uid="{C7CDE5BF-73D0-428F-84B9-232AD1A188C9}"/>
    <cellStyle name="Note 11" xfId="67" xr:uid="{0DD49D46-11D0-4BD9-AA94-E453AA52D4AE}"/>
    <cellStyle name="Note 12" xfId="107" xr:uid="{6DCCB1FA-5D6A-4F78-BA1C-0D1BBF242664}"/>
    <cellStyle name="Note 13" xfId="84" xr:uid="{5ECD7F1D-7EA5-4A5F-A634-1CE8120EC9E1}"/>
    <cellStyle name="Note 14" xfId="71" xr:uid="{E87A7418-8A88-4B19-88F5-54D1069C1E70}"/>
    <cellStyle name="Note 15" xfId="72" xr:uid="{1E302149-2731-4923-8A13-959484CDD89B}"/>
    <cellStyle name="Note 16" xfId="121" xr:uid="{6F9D164D-B5F7-43D4-985E-8176CA5B4953}"/>
    <cellStyle name="Note 2" xfId="41" xr:uid="{34335ABE-430C-49E5-A3EE-760EB0DFCCBA}"/>
    <cellStyle name="Note 3" xfId="76" xr:uid="{7885CB50-F5BD-4F2D-B306-FFF51ED0FFDA}"/>
    <cellStyle name="Note 4" xfId="55" xr:uid="{289F5DCF-4A34-4503-BC00-9120987F6E1B}"/>
    <cellStyle name="Note 5" xfId="80" xr:uid="{8BEF70E0-3A9A-42B6-A1F0-9A5B7EF69DF1}"/>
    <cellStyle name="Note 6" xfId="86" xr:uid="{75D6084A-FFA7-45F4-83AB-F58481871B5A}"/>
    <cellStyle name="Note 7" xfId="90" xr:uid="{409FB89D-C1E4-4BC6-903D-0005DEA60F12}"/>
    <cellStyle name="Note 8" xfId="60" xr:uid="{38220C76-D029-4539-BFF4-67A0BEAA1AC0}"/>
    <cellStyle name="Note 9" xfId="64" xr:uid="{8D23A9A7-2DC3-4A5E-8AF3-012D614DEB0B}"/>
    <cellStyle name="Output 10" xfId="103" xr:uid="{C0ED94F4-7A16-43A8-A823-151D33013D3D}"/>
    <cellStyle name="Output 11" xfId="106" xr:uid="{7177D701-D955-4D65-B2EB-785448BC8121}"/>
    <cellStyle name="Output 12" xfId="62" xr:uid="{FEE4CE15-F3FA-41C8-BE26-23020A93EA10}"/>
    <cellStyle name="Output 13" xfId="104" xr:uid="{BF5D3B52-502B-428D-BE8A-E51B48C4BF57}"/>
    <cellStyle name="Output 14" xfId="111" xr:uid="{7F0122E5-60CE-4901-9394-6871B888E24A}"/>
    <cellStyle name="Output 15" xfId="113" xr:uid="{27946468-8A80-49EE-AC1F-E81524658709}"/>
    <cellStyle name="Output 16" xfId="120" xr:uid="{6EE6757E-62A8-4546-B1E7-716828CCEDF5}"/>
    <cellStyle name="Output 2" xfId="42" xr:uid="{646E84E7-77E6-4B9E-88EF-6EB917B340CD}"/>
    <cellStyle name="Output 3" xfId="77" xr:uid="{59902C65-EF8A-4F1F-B3F8-6D74F5B05E03}"/>
    <cellStyle name="Output 4" xfId="54" xr:uid="{F4092190-D7AE-4D26-866B-21D44A4A8E92}"/>
    <cellStyle name="Output 5" xfId="53" xr:uid="{E4A24891-623D-4E7C-977A-A5C555D824AF}"/>
    <cellStyle name="Output 6" xfId="89" xr:uid="{12AFECCB-39F4-4CB4-833B-E9617BFED203}"/>
    <cellStyle name="Output 7" xfId="82" xr:uid="{4435922C-EA43-4B96-B26B-5B80F857872E}"/>
    <cellStyle name="Output 8" xfId="59" xr:uid="{18AD3D16-F3E8-42E3-A2E7-FC3499826E9D}"/>
    <cellStyle name="Output 9" xfId="100" xr:uid="{C4572C0B-2B5E-4D07-B008-C3FB13BFBC89}"/>
    <cellStyle name="Percent" xfId="116" builtinId="5"/>
    <cellStyle name="Percent 2" xfId="43" xr:uid="{B07E713A-EC9C-497E-A7DC-A249E6044B40}"/>
    <cellStyle name="Title 2" xfId="44" xr:uid="{0F01C6B8-A681-447E-A9F1-0CD902878764}"/>
    <cellStyle name="Total 10" xfId="97" xr:uid="{FA30265B-C17D-4A1F-8FE9-5C03CE430C6B}"/>
    <cellStyle name="Total 11" xfId="96" xr:uid="{61C5E98C-DBB4-4045-BAF2-6D764049564D}"/>
    <cellStyle name="Total 12" xfId="108" xr:uid="{FB84A110-4BE5-48AC-A5D6-A80B9EA98913}"/>
    <cellStyle name="Total 13" xfId="66" xr:uid="{8C303FD6-E717-45D4-BAC5-D8C504B34D78}"/>
    <cellStyle name="Total 14" xfId="95" xr:uid="{0F644C29-D576-4562-939D-0F905DDD8BCD}"/>
    <cellStyle name="Total 15" xfId="58" xr:uid="{A1D32365-D3CD-4F82-BEC2-411E60AD15C8}"/>
    <cellStyle name="Total 16" xfId="119" xr:uid="{7BD3B704-DA78-4F68-8DA3-7701AB639742}"/>
    <cellStyle name="Total 2" xfId="45" xr:uid="{C2B85271-2C95-455E-844F-87EFD8413374}"/>
    <cellStyle name="Total 3" xfId="79" xr:uid="{C82A35FC-505D-4C79-BC4F-17DD2F7DDAC6}"/>
    <cellStyle name="Total 4" xfId="52" xr:uid="{601D2DE7-AB92-4378-BD3A-3C3995DD5D48}"/>
    <cellStyle name="Total 5" xfId="88" xr:uid="{841EFD4A-3157-476F-B8FC-01DD5E6B2D71}"/>
    <cellStyle name="Total 6" xfId="56" xr:uid="{4178191A-270D-454D-88BF-D99A7B3FC16A}"/>
    <cellStyle name="Total 7" xfId="91" xr:uid="{4B193E7F-DF89-4728-8A30-0E2F9A91574F}"/>
    <cellStyle name="Total 8" xfId="57" xr:uid="{6C9486F1-2306-4876-9E20-ADE55A9B4F9C}"/>
    <cellStyle name="Total 9" xfId="98" xr:uid="{82A4106D-6ABC-4613-890E-524D29081BCA}"/>
    <cellStyle name="Warning Text 2" xfId="46" xr:uid="{FE6C6617-A615-489F-8587-A7FEF1DB6D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FC95-C3D7-4412-86CA-746D3309059F}">
  <dimension ref="A1:G34"/>
  <sheetViews>
    <sheetView tabSelected="1" workbookViewId="0">
      <selection activeCell="G15" sqref="G15"/>
    </sheetView>
  </sheetViews>
  <sheetFormatPr defaultRowHeight="15" x14ac:dyDescent="0.25"/>
  <cols>
    <col min="1" max="1" width="46" customWidth="1"/>
    <col min="2" max="2" width="10.5703125" bestFit="1" customWidth="1"/>
    <col min="3" max="3" width="9.5703125" bestFit="1" customWidth="1"/>
    <col min="4" max="4" width="10.5703125" bestFit="1" customWidth="1"/>
    <col min="5" max="7" width="13.7109375" bestFit="1" customWidth="1"/>
    <col min="9" max="9" width="10" bestFit="1" customWidth="1"/>
  </cols>
  <sheetData>
    <row r="1" spans="1:7" x14ac:dyDescent="0.25">
      <c r="A1" t="s">
        <v>259</v>
      </c>
    </row>
    <row r="2" spans="1:7" x14ac:dyDescent="0.25">
      <c r="A2" t="s">
        <v>260</v>
      </c>
    </row>
    <row r="4" spans="1:7" x14ac:dyDescent="0.25">
      <c r="A4" t="s">
        <v>268</v>
      </c>
    </row>
    <row r="6" spans="1:7" x14ac:dyDescent="0.25">
      <c r="A6" t="s">
        <v>263</v>
      </c>
    </row>
    <row r="7" spans="1:7" x14ac:dyDescent="0.25">
      <c r="A7" t="s">
        <v>262</v>
      </c>
    </row>
    <row r="9" spans="1:7" x14ac:dyDescent="0.25">
      <c r="B9" t="s">
        <v>271</v>
      </c>
      <c r="E9" t="s">
        <v>272</v>
      </c>
    </row>
    <row r="10" spans="1:7" x14ac:dyDescent="0.25">
      <c r="A10" s="45" t="s">
        <v>264</v>
      </c>
      <c r="B10" s="45" t="s">
        <v>236</v>
      </c>
      <c r="C10" s="45" t="s">
        <v>237</v>
      </c>
      <c r="D10" s="45" t="s">
        <v>253</v>
      </c>
      <c r="E10" s="45" t="s">
        <v>236</v>
      </c>
      <c r="F10" s="45" t="s">
        <v>237</v>
      </c>
      <c r="G10" s="45" t="s">
        <v>253</v>
      </c>
    </row>
    <row r="11" spans="1:7" x14ac:dyDescent="0.25">
      <c r="A11" s="45" t="s">
        <v>277</v>
      </c>
      <c r="B11" s="145">
        <f>Electric!AL5+Electric!AL12</f>
        <v>11055.961325</v>
      </c>
      <c r="C11" s="145">
        <v>0</v>
      </c>
      <c r="D11" s="145">
        <f>+B11+C11</f>
        <v>11055.961325</v>
      </c>
      <c r="E11" s="46">
        <f>Electric!AM5+Electric!AM12</f>
        <v>67389272.375</v>
      </c>
      <c r="F11" s="46"/>
      <c r="G11" s="46">
        <f>+E11+F11</f>
        <v>67389272.375</v>
      </c>
    </row>
    <row r="12" spans="1:7" x14ac:dyDescent="0.25">
      <c r="A12" s="45" t="s">
        <v>265</v>
      </c>
      <c r="B12" s="145">
        <f>Gas!AU3</f>
        <v>765</v>
      </c>
      <c r="C12" s="145">
        <f>Gas!AU4</f>
        <v>1039</v>
      </c>
      <c r="D12" s="145">
        <f>+B12+C12</f>
        <v>1804</v>
      </c>
      <c r="E12" s="46">
        <f>Gas!AV3</f>
        <v>6012500</v>
      </c>
      <c r="F12" s="46">
        <f>Gas!AV4</f>
        <v>4156000</v>
      </c>
      <c r="G12" s="46">
        <f>+E12+F12</f>
        <v>10168500</v>
      </c>
    </row>
    <row r="13" spans="1:7" x14ac:dyDescent="0.25">
      <c r="A13" s="45" t="s">
        <v>266</v>
      </c>
      <c r="B13" s="145">
        <f>SUM(Electric!AF8:AF18)+SUM(Electric!AF41:AF43)+Electric!AF4</f>
        <v>6545.4395000000004</v>
      </c>
      <c r="C13" s="145">
        <f>SUM(Electric!AF28:AF31)+SUM(Electric!AF46:AF47)</f>
        <v>27877.170399999999</v>
      </c>
      <c r="D13" s="145">
        <f>+B13+C13</f>
        <v>34422.609899999996</v>
      </c>
      <c r="E13" s="46">
        <f>SUM(Electric!AG8:AG18)+SUM(Electric!AG41:AG43)+Electric!AG4</f>
        <v>142065780</v>
      </c>
      <c r="F13" s="46">
        <f>SUM(Electric!AG28:AG31)+SUM(Electric!AG46:AG47)</f>
        <v>130381965.2</v>
      </c>
      <c r="G13" s="46">
        <f t="shared" ref="G13:G25" si="0">+E13+F13</f>
        <v>272447745.19999999</v>
      </c>
    </row>
    <row r="14" spans="1:7" x14ac:dyDescent="0.25">
      <c r="A14" s="45" t="s">
        <v>267</v>
      </c>
      <c r="B14" s="145">
        <f>Electric!AF5 +SUM(Electric!AF19:AF27)+SUM(Electric!AF44:AF45)+Electric!AF50</f>
        <v>2417.7145</v>
      </c>
      <c r="C14" s="145">
        <f>SUM(Electric!AF32:AF35)+SUM(Electric!AF48:AF49)</f>
        <v>5454.1552000000001</v>
      </c>
      <c r="D14" s="145">
        <f t="shared" ref="D14:D16" si="1">+B14+C14</f>
        <v>7871.8697000000002</v>
      </c>
      <c r="E14" s="46">
        <f>Electric!AG5 +SUM(Electric!AG19:AG27)+SUM(Electric!AG44:AG45)+Electric!AG50</f>
        <v>39180435</v>
      </c>
      <c r="F14" s="46">
        <f>SUM(Electric!AG32:AG35)+SUM(Electric!AG48:AG49)</f>
        <v>27368017.600000001</v>
      </c>
      <c r="G14" s="46">
        <f t="shared" si="0"/>
        <v>66548452.600000001</v>
      </c>
    </row>
    <row r="15" spans="1:7" x14ac:dyDescent="0.25">
      <c r="A15" s="45" t="s">
        <v>274</v>
      </c>
      <c r="B15" s="145">
        <f>+Electric!AF40</f>
        <v>15</v>
      </c>
      <c r="C15" s="145">
        <v>0</v>
      </c>
      <c r="D15" s="145">
        <f t="shared" si="1"/>
        <v>15</v>
      </c>
      <c r="E15" s="46">
        <f>+Electric!AG40</f>
        <v>375000</v>
      </c>
      <c r="F15" s="46">
        <v>0</v>
      </c>
      <c r="G15" s="46">
        <f t="shared" si="0"/>
        <v>375000</v>
      </c>
    </row>
    <row r="16" spans="1:7" x14ac:dyDescent="0.25">
      <c r="A16" s="45" t="s">
        <v>270</v>
      </c>
      <c r="B16" s="145">
        <f>SUM(Gas!AP10,Electric!AF51:AF54,Electric!AF36:AF37)</f>
        <v>5671</v>
      </c>
      <c r="C16" s="145">
        <v>0</v>
      </c>
      <c r="D16" s="145">
        <f t="shared" si="1"/>
        <v>5671</v>
      </c>
      <c r="E16" s="46">
        <f>SUM(Gas!AQ10,Electric!AG51:AG54,Electric!AG36:AG37)</f>
        <v>8923000</v>
      </c>
      <c r="F16" s="46">
        <v>0</v>
      </c>
      <c r="G16" s="46">
        <f t="shared" si="0"/>
        <v>8923000</v>
      </c>
    </row>
    <row r="17" spans="1:7" x14ac:dyDescent="0.25">
      <c r="A17" s="45" t="s">
        <v>273</v>
      </c>
      <c r="B17" s="145">
        <f>SUM(B11:B16)</f>
        <v>26470.115324999999</v>
      </c>
      <c r="C17" s="145">
        <f>SUM(C11:C16)</f>
        <v>34370.325599999996</v>
      </c>
      <c r="D17" s="145">
        <f>+B17+C17</f>
        <v>60840.440924999995</v>
      </c>
      <c r="E17" s="46">
        <f>SUM(E11:E16)</f>
        <v>263945987.375</v>
      </c>
      <c r="F17" s="46">
        <f>SUM(F11:F16)</f>
        <v>161905982.79999998</v>
      </c>
      <c r="G17" s="46">
        <f t="shared" si="0"/>
        <v>425851970.17499995</v>
      </c>
    </row>
    <row r="18" spans="1:7" x14ac:dyDescent="0.25">
      <c r="A18" s="45" t="s">
        <v>269</v>
      </c>
      <c r="B18" s="45">
        <f>SUM(Electric!AF56)</f>
        <v>201</v>
      </c>
      <c r="C18" s="45">
        <v>0</v>
      </c>
      <c r="D18" s="145">
        <f>+B18+C18</f>
        <v>201</v>
      </c>
      <c r="E18" s="46">
        <f>SUM(Electric!AG56)</f>
        <v>3306450</v>
      </c>
      <c r="F18" s="46">
        <v>0</v>
      </c>
      <c r="G18" s="46">
        <f t="shared" si="0"/>
        <v>3306450</v>
      </c>
    </row>
    <row r="19" spans="1:7" x14ac:dyDescent="0.25">
      <c r="A19" s="45" t="s">
        <v>265</v>
      </c>
      <c r="B19" s="145">
        <v>108</v>
      </c>
      <c r="C19" s="145">
        <v>560</v>
      </c>
      <c r="D19" s="145">
        <f>+B19+C19</f>
        <v>668</v>
      </c>
      <c r="E19" s="46">
        <f>+Gas!AQ14+Gas!AQ13</f>
        <v>8400000</v>
      </c>
      <c r="F19" s="46">
        <f>+Gas!AQ11</f>
        <v>1760431.6240000001</v>
      </c>
      <c r="G19" s="46">
        <f t="shared" si="0"/>
        <v>10160431.624</v>
      </c>
    </row>
    <row r="20" spans="1:7" x14ac:dyDescent="0.25">
      <c r="A20" s="45" t="s">
        <v>266</v>
      </c>
      <c r="B20" s="45">
        <f>SUM(Electric!AF57:AF58)</f>
        <v>45</v>
      </c>
      <c r="C20" s="45">
        <f>SUM(Electric!AF63:AF64)</f>
        <v>1171</v>
      </c>
      <c r="D20" s="145">
        <f t="shared" ref="D20:D25" si="2">+B20+C20</f>
        <v>1216</v>
      </c>
      <c r="E20" s="46">
        <f>SUM(Electric!AG57:AG58)</f>
        <v>675000</v>
      </c>
      <c r="F20" s="46">
        <f>SUM(Electric!AG63:AG64)</f>
        <v>19262950</v>
      </c>
      <c r="G20" s="46">
        <f t="shared" si="0"/>
        <v>19937950</v>
      </c>
    </row>
    <row r="21" spans="1:7" x14ac:dyDescent="0.25">
      <c r="A21" s="45" t="s">
        <v>267</v>
      </c>
      <c r="B21" s="45">
        <f>SUM(Electric!AF59:AF60)</f>
        <v>10</v>
      </c>
      <c r="C21" s="45">
        <f>SUM(Electric!AF65:AF66)</f>
        <v>667</v>
      </c>
      <c r="D21" s="145">
        <f t="shared" si="2"/>
        <v>677</v>
      </c>
      <c r="E21" s="46">
        <f>SUM(Electric!AG59:AG60)</f>
        <v>150000</v>
      </c>
      <c r="F21" s="46">
        <f>SUM(Electric!AG65:AG66)</f>
        <v>10972150</v>
      </c>
      <c r="G21" s="46">
        <f t="shared" si="0"/>
        <v>11122150</v>
      </c>
    </row>
    <row r="22" spans="1:7" x14ac:dyDescent="0.25">
      <c r="A22" s="45" t="s">
        <v>274</v>
      </c>
      <c r="B22" s="45">
        <f>SUM(Electric!AF61:AF62)</f>
        <v>1008</v>
      </c>
      <c r="C22" s="45"/>
      <c r="D22" s="145">
        <f t="shared" si="2"/>
        <v>1008</v>
      </c>
      <c r="E22" s="46">
        <f>SUM(Electric!AG61:AG62)</f>
        <v>16581600</v>
      </c>
      <c r="F22" s="46"/>
      <c r="G22" s="46">
        <f t="shared" si="0"/>
        <v>16581600</v>
      </c>
    </row>
    <row r="23" spans="1:7" x14ac:dyDescent="0.25">
      <c r="A23" s="45" t="s">
        <v>270</v>
      </c>
      <c r="B23" s="45">
        <v>0</v>
      </c>
      <c r="C23" s="45">
        <v>0</v>
      </c>
      <c r="D23" s="145">
        <f t="shared" si="2"/>
        <v>0</v>
      </c>
      <c r="E23" s="46">
        <v>0</v>
      </c>
      <c r="F23" s="46">
        <v>0</v>
      </c>
      <c r="G23" s="46">
        <f t="shared" si="0"/>
        <v>0</v>
      </c>
    </row>
    <row r="24" spans="1:7" x14ac:dyDescent="0.25">
      <c r="A24" s="45" t="s">
        <v>275</v>
      </c>
      <c r="B24" s="145">
        <f>SUM(B18:B23)</f>
        <v>1372</v>
      </c>
      <c r="C24" s="145">
        <f>SUM(C18:C23)</f>
        <v>2398</v>
      </c>
      <c r="D24" s="145">
        <f t="shared" si="2"/>
        <v>3770</v>
      </c>
      <c r="E24" s="145">
        <f>SUM(E18:E23)</f>
        <v>29113050</v>
      </c>
      <c r="F24" s="145">
        <f>SUM(F18:F23)</f>
        <v>31995531.624000002</v>
      </c>
      <c r="G24" s="46">
        <f>+E24+F24</f>
        <v>61108581.623999998</v>
      </c>
    </row>
    <row r="25" spans="1:7" x14ac:dyDescent="0.25">
      <c r="A25" s="45" t="s">
        <v>253</v>
      </c>
      <c r="B25" s="47">
        <f>+B24+B17</f>
        <v>27842.115324999999</v>
      </c>
      <c r="C25" s="47">
        <f>+C24+C17</f>
        <v>36768.325599999996</v>
      </c>
      <c r="D25" s="145">
        <f t="shared" si="2"/>
        <v>64610.440924999995</v>
      </c>
      <c r="E25" s="47">
        <f>+E24+E17</f>
        <v>293059037.375</v>
      </c>
      <c r="F25" s="47">
        <f>+F24+F17</f>
        <v>193901514.42399999</v>
      </c>
      <c r="G25" s="46">
        <f t="shared" si="0"/>
        <v>486960551.79900002</v>
      </c>
    </row>
    <row r="28" spans="1:7" x14ac:dyDescent="0.25">
      <c r="G28" s="26"/>
    </row>
    <row r="29" spans="1:7" x14ac:dyDescent="0.25">
      <c r="G29" s="26"/>
    </row>
    <row r="30" spans="1:7" x14ac:dyDescent="0.25">
      <c r="G30" s="1"/>
    </row>
    <row r="34" spans="6:6" x14ac:dyDescent="0.25">
      <c r="F34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B29D-E674-4669-BB4B-45837A705D84}">
  <dimension ref="A1:BL104"/>
  <sheetViews>
    <sheetView workbookViewId="0">
      <selection sqref="A1:XFD1048576"/>
    </sheetView>
  </sheetViews>
  <sheetFormatPr defaultRowHeight="15" x14ac:dyDescent="0.25"/>
  <cols>
    <col min="2" max="2" width="37.42578125" style="19" customWidth="1"/>
    <col min="3" max="3" width="65.5703125" style="19" bestFit="1" customWidth="1"/>
    <col min="4" max="4" width="9.140625" style="19"/>
    <col min="5" max="5" width="10" customWidth="1"/>
    <col min="6" max="6" width="9.140625" customWidth="1"/>
    <col min="7" max="7" width="10" customWidth="1"/>
    <col min="8" max="12" width="9.140625" customWidth="1"/>
    <col min="13" max="13" width="10.140625" customWidth="1"/>
    <col min="14" max="18" width="9.140625" customWidth="1"/>
    <col min="19" max="19" width="9.85546875" customWidth="1"/>
    <col min="20" max="24" width="9.140625" customWidth="1"/>
    <col min="25" max="25" width="10" customWidth="1"/>
    <col min="26" max="30" width="9.140625" customWidth="1"/>
    <col min="31" max="31" width="9.85546875" customWidth="1"/>
    <col min="32" max="36" width="9.140625" customWidth="1"/>
    <col min="37" max="37" width="10.7109375" customWidth="1"/>
    <col min="38" max="40" width="9.140625" customWidth="1"/>
    <col min="41" max="41" width="9.140625" style="30" customWidth="1"/>
    <col min="42" max="42" width="11.5703125" style="30" customWidth="1"/>
    <col min="43" max="43" width="11.7109375" style="30" customWidth="1"/>
    <col min="44" max="46" width="9.5703125" style="31" customWidth="1"/>
    <col min="47" max="49" width="11.5703125" style="33" customWidth="1"/>
    <col min="50" max="52" width="9.5703125" style="34" customWidth="1"/>
    <col min="53" max="54" width="11.5703125" style="30" customWidth="1"/>
    <col min="55" max="55" width="10.85546875" style="30" customWidth="1"/>
    <col min="56" max="57" width="9.5703125" style="2" customWidth="1"/>
    <col min="58" max="58" width="10.5703125" style="2" customWidth="1"/>
    <col min="59" max="60" width="12.5703125" style="26" bestFit="1" customWidth="1"/>
    <col min="61" max="61" width="11.28515625" style="26" customWidth="1"/>
    <col min="62" max="64" width="9.5703125" style="44" bestFit="1" customWidth="1"/>
  </cols>
  <sheetData>
    <row r="1" spans="1:64" x14ac:dyDescent="0.25">
      <c r="E1" s="2"/>
      <c r="F1" s="2"/>
      <c r="G1" s="2"/>
      <c r="H1" s="3" t="s">
        <v>17</v>
      </c>
      <c r="I1" s="3"/>
      <c r="J1" s="3"/>
      <c r="K1" s="24" t="s">
        <v>33</v>
      </c>
      <c r="L1" s="24"/>
      <c r="M1" s="24"/>
      <c r="N1" s="24"/>
      <c r="O1" s="24"/>
      <c r="P1" s="24"/>
      <c r="Q1" s="25" t="s">
        <v>34</v>
      </c>
      <c r="R1" s="25"/>
      <c r="S1" s="25"/>
      <c r="T1" s="25"/>
      <c r="U1" s="25"/>
      <c r="V1" s="25"/>
      <c r="W1" s="24" t="s">
        <v>35</v>
      </c>
      <c r="X1" s="24"/>
      <c r="Y1" s="24"/>
      <c r="Z1" s="24"/>
      <c r="AA1" s="24"/>
      <c r="AB1" s="24"/>
      <c r="AC1" s="23" t="s">
        <v>36</v>
      </c>
      <c r="AD1" s="23"/>
      <c r="AE1" s="23"/>
      <c r="AF1" s="23"/>
      <c r="AG1" s="23"/>
      <c r="AH1" s="23"/>
      <c r="AI1" s="24" t="s">
        <v>37</v>
      </c>
      <c r="AJ1" s="24"/>
      <c r="AK1" s="24"/>
      <c r="AL1" s="24"/>
      <c r="AM1" s="24"/>
      <c r="AN1" s="24"/>
      <c r="AO1" s="29" t="s">
        <v>38</v>
      </c>
      <c r="AP1" s="29"/>
      <c r="AQ1" s="29"/>
      <c r="AR1" s="29"/>
      <c r="AS1" s="29"/>
      <c r="AT1" s="29"/>
      <c r="AU1" s="32" t="s">
        <v>217</v>
      </c>
      <c r="AV1" s="32"/>
      <c r="AW1" s="32"/>
      <c r="AX1" s="32"/>
      <c r="AY1" s="32"/>
      <c r="AZ1" s="32"/>
      <c r="BA1" s="29" t="s">
        <v>218</v>
      </c>
      <c r="BB1" s="29"/>
      <c r="BC1" s="29"/>
      <c r="BD1" s="29"/>
      <c r="BE1" s="29"/>
      <c r="BF1" s="29"/>
      <c r="BG1" s="26" t="s">
        <v>219</v>
      </c>
      <c r="BJ1" s="27"/>
      <c r="BK1" s="27"/>
      <c r="BL1" s="27"/>
    </row>
    <row r="2" spans="1:64" s="35" customFormat="1" ht="45" x14ac:dyDescent="0.25">
      <c r="B2" s="36"/>
      <c r="C2" s="36"/>
      <c r="D2" s="36"/>
      <c r="E2" s="4" t="s">
        <v>14</v>
      </c>
      <c r="F2" s="4" t="s">
        <v>15</v>
      </c>
      <c r="G2" s="4" t="s">
        <v>16</v>
      </c>
      <c r="H2" s="37">
        <v>2022</v>
      </c>
      <c r="I2" s="37">
        <v>2023</v>
      </c>
      <c r="J2" s="37">
        <v>2024</v>
      </c>
      <c r="K2" s="7" t="s">
        <v>14</v>
      </c>
      <c r="L2" s="7" t="s">
        <v>15</v>
      </c>
      <c r="M2" s="7" t="s">
        <v>16</v>
      </c>
      <c r="N2" s="38">
        <v>2022</v>
      </c>
      <c r="O2" s="38">
        <v>2023</v>
      </c>
      <c r="P2" s="38">
        <v>2024</v>
      </c>
      <c r="Q2" s="4" t="s">
        <v>14</v>
      </c>
      <c r="R2" s="4" t="s">
        <v>15</v>
      </c>
      <c r="S2" s="4" t="s">
        <v>16</v>
      </c>
      <c r="T2" s="37">
        <v>2022</v>
      </c>
      <c r="U2" s="37">
        <v>2023</v>
      </c>
      <c r="V2" s="37">
        <v>2024</v>
      </c>
      <c r="W2" s="7" t="s">
        <v>14</v>
      </c>
      <c r="X2" s="7" t="s">
        <v>15</v>
      </c>
      <c r="Y2" s="7" t="s">
        <v>16</v>
      </c>
      <c r="Z2" s="38">
        <v>2022</v>
      </c>
      <c r="AA2" s="38">
        <v>2023</v>
      </c>
      <c r="AB2" s="38">
        <v>2024</v>
      </c>
      <c r="AC2" s="4" t="s">
        <v>14</v>
      </c>
      <c r="AD2" s="4" t="s">
        <v>15</v>
      </c>
      <c r="AE2" s="4" t="s">
        <v>16</v>
      </c>
      <c r="AF2" s="37">
        <v>2022</v>
      </c>
      <c r="AG2" s="37">
        <v>2023</v>
      </c>
      <c r="AH2" s="37">
        <v>2024</v>
      </c>
      <c r="AI2" s="7" t="s">
        <v>14</v>
      </c>
      <c r="AJ2" s="7" t="s">
        <v>15</v>
      </c>
      <c r="AK2" s="7" t="s">
        <v>16</v>
      </c>
      <c r="AL2" s="38">
        <v>2022</v>
      </c>
      <c r="AM2" s="38">
        <v>2023</v>
      </c>
      <c r="AN2" s="38">
        <v>2024</v>
      </c>
      <c r="AO2" s="39" t="s">
        <v>14</v>
      </c>
      <c r="AP2" s="39" t="s">
        <v>15</v>
      </c>
      <c r="AQ2" s="39" t="s">
        <v>16</v>
      </c>
      <c r="AR2" s="37">
        <v>2022</v>
      </c>
      <c r="AS2" s="37">
        <v>2023</v>
      </c>
      <c r="AT2" s="37">
        <v>2024</v>
      </c>
      <c r="AU2" s="40" t="s">
        <v>14</v>
      </c>
      <c r="AV2" s="40" t="s">
        <v>15</v>
      </c>
      <c r="AW2" s="40" t="s">
        <v>16</v>
      </c>
      <c r="AX2" s="41">
        <v>2022</v>
      </c>
      <c r="AY2" s="41">
        <v>2023</v>
      </c>
      <c r="AZ2" s="41">
        <v>2024</v>
      </c>
      <c r="BA2" s="30" t="s">
        <v>14</v>
      </c>
      <c r="BB2" s="30" t="s">
        <v>15</v>
      </c>
      <c r="BC2" s="30" t="s">
        <v>16</v>
      </c>
      <c r="BD2" s="2">
        <v>2022</v>
      </c>
      <c r="BE2" s="2">
        <v>2023</v>
      </c>
      <c r="BF2" s="2">
        <v>2024</v>
      </c>
      <c r="BG2" s="26" t="s">
        <v>14</v>
      </c>
      <c r="BH2" s="26" t="s">
        <v>15</v>
      </c>
      <c r="BI2" s="26" t="s">
        <v>16</v>
      </c>
      <c r="BJ2" s="41">
        <v>2022</v>
      </c>
      <c r="BK2" s="41">
        <v>2023</v>
      </c>
      <c r="BL2" s="41">
        <v>2024</v>
      </c>
    </row>
    <row r="3" spans="1:64" x14ac:dyDescent="0.25">
      <c r="A3" t="s">
        <v>20</v>
      </c>
      <c r="B3" s="18" t="s">
        <v>30</v>
      </c>
      <c r="C3" s="19" t="s">
        <v>0</v>
      </c>
      <c r="D3" s="19" t="s">
        <v>1</v>
      </c>
      <c r="E3" s="5">
        <v>12724</v>
      </c>
      <c r="F3" s="5">
        <v>4000</v>
      </c>
      <c r="G3" s="5">
        <v>8724</v>
      </c>
      <c r="H3" s="6" t="s">
        <v>19</v>
      </c>
      <c r="I3" s="6" t="s">
        <v>19</v>
      </c>
      <c r="J3" s="2"/>
      <c r="K3" s="10">
        <v>12724</v>
      </c>
      <c r="L3" s="10">
        <v>4000</v>
      </c>
      <c r="M3" s="10">
        <v>8724</v>
      </c>
      <c r="N3" s="9" t="s">
        <v>19</v>
      </c>
      <c r="O3" s="9" t="s">
        <v>19</v>
      </c>
      <c r="P3" s="9" t="s">
        <v>19</v>
      </c>
      <c r="Q3" s="5">
        <v>12724</v>
      </c>
      <c r="R3" s="5">
        <v>4000</v>
      </c>
      <c r="S3" s="5">
        <v>8724</v>
      </c>
      <c r="T3" s="2"/>
      <c r="U3" s="6" t="s">
        <v>19</v>
      </c>
      <c r="V3" s="6" t="s">
        <v>19</v>
      </c>
      <c r="W3" s="10">
        <v>12724</v>
      </c>
      <c r="X3" s="10">
        <v>4000</v>
      </c>
      <c r="Y3" s="10">
        <v>8724</v>
      </c>
      <c r="Z3" s="9" t="s">
        <v>19</v>
      </c>
      <c r="AA3" s="9" t="s">
        <v>19</v>
      </c>
      <c r="AB3" s="9" t="s">
        <v>19</v>
      </c>
      <c r="AC3" s="5">
        <v>12724</v>
      </c>
      <c r="AD3" s="5">
        <v>4000</v>
      </c>
      <c r="AE3" s="5">
        <v>8724</v>
      </c>
      <c r="AF3" s="11">
        <v>100</v>
      </c>
      <c r="AG3" s="11">
        <v>210</v>
      </c>
      <c r="AH3" s="11">
        <v>283</v>
      </c>
      <c r="AI3" s="10">
        <v>12724</v>
      </c>
      <c r="AJ3" s="10">
        <v>4000</v>
      </c>
      <c r="AK3" s="10">
        <v>8724</v>
      </c>
      <c r="AL3" s="12">
        <v>0</v>
      </c>
      <c r="AM3" s="12">
        <v>0</v>
      </c>
      <c r="AN3" s="12">
        <v>0</v>
      </c>
      <c r="BD3" s="31"/>
      <c r="BE3" s="31"/>
      <c r="BF3" s="31"/>
    </row>
    <row r="4" spans="1:64" x14ac:dyDescent="0.25">
      <c r="A4" t="s">
        <v>20</v>
      </c>
      <c r="B4" s="18" t="s">
        <v>30</v>
      </c>
      <c r="C4" s="19" t="s">
        <v>2</v>
      </c>
      <c r="D4" s="19" t="s">
        <v>3</v>
      </c>
      <c r="E4" s="5">
        <v>16163</v>
      </c>
      <c r="F4" s="5">
        <v>7500</v>
      </c>
      <c r="G4" s="5">
        <v>8663</v>
      </c>
      <c r="H4" s="6" t="s">
        <v>19</v>
      </c>
      <c r="I4" s="6" t="s">
        <v>19</v>
      </c>
      <c r="J4" s="2"/>
      <c r="K4" s="10">
        <v>16163</v>
      </c>
      <c r="L4" s="10">
        <v>7500</v>
      </c>
      <c r="M4" s="10">
        <v>8663</v>
      </c>
      <c r="N4" s="9">
        <v>10</v>
      </c>
      <c r="O4" s="9">
        <v>10</v>
      </c>
      <c r="P4" s="9">
        <v>10</v>
      </c>
      <c r="Q4" s="5">
        <v>16163</v>
      </c>
      <c r="R4" s="5">
        <v>7500</v>
      </c>
      <c r="S4" s="5">
        <v>8663</v>
      </c>
      <c r="T4" s="2"/>
      <c r="U4" s="6" t="s">
        <v>19</v>
      </c>
      <c r="V4" s="6" t="s">
        <v>19</v>
      </c>
      <c r="W4" s="10">
        <v>16163</v>
      </c>
      <c r="X4" s="10">
        <v>7500</v>
      </c>
      <c r="Y4" s="10">
        <v>8663</v>
      </c>
      <c r="Z4" s="9" t="s">
        <v>19</v>
      </c>
      <c r="AA4" s="9" t="s">
        <v>19</v>
      </c>
      <c r="AB4" s="9" t="s">
        <v>19</v>
      </c>
      <c r="AC4" s="5">
        <v>16163</v>
      </c>
      <c r="AD4" s="5">
        <v>7500</v>
      </c>
      <c r="AE4" s="5">
        <v>8663</v>
      </c>
      <c r="AF4" s="11">
        <v>110</v>
      </c>
      <c r="AG4" s="11">
        <v>125</v>
      </c>
      <c r="AH4" s="11">
        <v>155</v>
      </c>
      <c r="AI4" s="10">
        <v>16163</v>
      </c>
      <c r="AJ4" s="10">
        <v>7500</v>
      </c>
      <c r="AK4" s="10">
        <v>8663</v>
      </c>
      <c r="AL4" s="12">
        <v>55</v>
      </c>
      <c r="AM4" s="12">
        <v>65</v>
      </c>
      <c r="AN4" s="12">
        <v>85</v>
      </c>
      <c r="BD4" s="31"/>
      <c r="BE4" s="31"/>
      <c r="BF4" s="31"/>
    </row>
    <row r="5" spans="1:64" x14ac:dyDescent="0.25">
      <c r="A5" t="s">
        <v>20</v>
      </c>
      <c r="B5" s="18" t="s">
        <v>30</v>
      </c>
      <c r="C5" s="19" t="s">
        <v>4</v>
      </c>
      <c r="D5" s="19" t="s">
        <v>5</v>
      </c>
      <c r="E5" s="5">
        <v>11475</v>
      </c>
      <c r="F5" s="5">
        <v>4000</v>
      </c>
      <c r="G5" s="5">
        <v>7475</v>
      </c>
      <c r="H5" s="6">
        <v>1</v>
      </c>
      <c r="I5" s="6">
        <v>2</v>
      </c>
      <c r="J5" s="6">
        <v>3</v>
      </c>
      <c r="K5" s="10">
        <v>11475</v>
      </c>
      <c r="L5" s="10">
        <v>4000</v>
      </c>
      <c r="M5" s="10">
        <v>7475</v>
      </c>
      <c r="N5" s="9" t="s">
        <v>19</v>
      </c>
      <c r="O5" s="9" t="s">
        <v>19</v>
      </c>
      <c r="P5" s="9" t="s">
        <v>19</v>
      </c>
      <c r="Q5" s="5">
        <v>11475</v>
      </c>
      <c r="R5" s="5">
        <v>4000</v>
      </c>
      <c r="S5" s="5">
        <v>7475</v>
      </c>
      <c r="T5" s="6"/>
      <c r="U5" s="6">
        <v>2</v>
      </c>
      <c r="V5" s="6">
        <v>3</v>
      </c>
      <c r="W5" s="10">
        <v>11475</v>
      </c>
      <c r="X5" s="10">
        <v>4000</v>
      </c>
      <c r="Y5" s="10">
        <v>7475</v>
      </c>
      <c r="Z5" s="9">
        <v>5</v>
      </c>
      <c r="AA5" s="9">
        <v>5</v>
      </c>
      <c r="AB5" s="9">
        <v>5</v>
      </c>
      <c r="AC5" s="5">
        <v>11475</v>
      </c>
      <c r="AD5" s="5">
        <v>4000</v>
      </c>
      <c r="AE5" s="5">
        <v>7475</v>
      </c>
      <c r="AF5" s="11">
        <v>100</v>
      </c>
      <c r="AG5" s="11">
        <v>120</v>
      </c>
      <c r="AH5" s="11">
        <v>200</v>
      </c>
      <c r="AI5" s="10">
        <v>11475</v>
      </c>
      <c r="AJ5" s="10">
        <v>4000</v>
      </c>
      <c r="AK5" s="10">
        <v>7475</v>
      </c>
      <c r="AL5" s="12">
        <v>0</v>
      </c>
      <c r="AM5" s="12">
        <v>0</v>
      </c>
      <c r="AN5" s="12">
        <v>0</v>
      </c>
      <c r="BD5" s="31"/>
      <c r="BE5" s="31"/>
      <c r="BF5" s="31"/>
    </row>
    <row r="6" spans="1:64" x14ac:dyDescent="0.25">
      <c r="A6" t="s">
        <v>20</v>
      </c>
      <c r="B6" s="18" t="s">
        <v>30</v>
      </c>
      <c r="C6" s="19" t="s">
        <v>6</v>
      </c>
      <c r="D6" s="19" t="s">
        <v>7</v>
      </c>
      <c r="E6" s="5">
        <v>15984</v>
      </c>
      <c r="F6" s="5">
        <v>10000</v>
      </c>
      <c r="G6" s="5">
        <v>5984</v>
      </c>
      <c r="H6" s="6" t="s">
        <v>19</v>
      </c>
      <c r="I6" s="6" t="s">
        <v>19</v>
      </c>
      <c r="J6" s="2"/>
      <c r="K6" s="10">
        <v>15984</v>
      </c>
      <c r="L6" s="10">
        <v>10000</v>
      </c>
      <c r="M6" s="10">
        <v>5984</v>
      </c>
      <c r="N6" s="9" t="s">
        <v>19</v>
      </c>
      <c r="O6" s="9" t="s">
        <v>19</v>
      </c>
      <c r="P6" s="9" t="s">
        <v>19</v>
      </c>
      <c r="Q6" s="5">
        <v>15984</v>
      </c>
      <c r="R6" s="5">
        <v>10000</v>
      </c>
      <c r="S6" s="5">
        <v>5984</v>
      </c>
      <c r="T6" s="2"/>
      <c r="U6" s="6" t="s">
        <v>19</v>
      </c>
      <c r="V6" s="6" t="s">
        <v>19</v>
      </c>
      <c r="W6" s="10">
        <v>15984</v>
      </c>
      <c r="X6" s="10">
        <v>10000</v>
      </c>
      <c r="Y6" s="10">
        <v>5984</v>
      </c>
      <c r="Z6" s="9" t="s">
        <v>19</v>
      </c>
      <c r="AA6" s="9" t="s">
        <v>19</v>
      </c>
      <c r="AB6" s="9" t="s">
        <v>19</v>
      </c>
      <c r="AC6" s="5">
        <v>15984</v>
      </c>
      <c r="AD6" s="5">
        <v>10000</v>
      </c>
      <c r="AE6" s="5">
        <v>5984</v>
      </c>
      <c r="AF6" s="11">
        <v>20</v>
      </c>
      <c r="AG6" s="11">
        <v>34</v>
      </c>
      <c r="AH6" s="11">
        <v>44</v>
      </c>
      <c r="AI6" s="10">
        <v>15984</v>
      </c>
      <c r="AJ6" s="10">
        <v>10000</v>
      </c>
      <c r="AK6" s="10">
        <v>5984</v>
      </c>
      <c r="AL6" s="12">
        <v>0</v>
      </c>
      <c r="AM6" s="12">
        <v>0</v>
      </c>
      <c r="AN6" s="12">
        <v>0</v>
      </c>
      <c r="BD6" s="31"/>
      <c r="BE6" s="31"/>
      <c r="BF6" s="31"/>
    </row>
    <row r="7" spans="1:64" x14ac:dyDescent="0.25">
      <c r="A7" t="s">
        <v>20</v>
      </c>
      <c r="B7" s="18" t="s">
        <v>30</v>
      </c>
      <c r="C7" s="19" t="s">
        <v>8</v>
      </c>
      <c r="D7" s="19" t="s">
        <v>9</v>
      </c>
      <c r="E7" s="5">
        <v>18500</v>
      </c>
      <c r="F7" s="5">
        <v>7500</v>
      </c>
      <c r="G7" s="5">
        <v>11000</v>
      </c>
      <c r="H7" s="6" t="s">
        <v>19</v>
      </c>
      <c r="I7" s="6" t="s">
        <v>19</v>
      </c>
      <c r="J7" s="2"/>
      <c r="K7" s="10">
        <v>18500</v>
      </c>
      <c r="L7" s="10">
        <v>7500</v>
      </c>
      <c r="M7" s="10">
        <v>11000</v>
      </c>
      <c r="N7" s="9" t="s">
        <v>19</v>
      </c>
      <c r="O7" s="9" t="s">
        <v>19</v>
      </c>
      <c r="P7" s="9" t="s">
        <v>19</v>
      </c>
      <c r="Q7" s="5">
        <v>18500</v>
      </c>
      <c r="R7" s="5">
        <v>7500</v>
      </c>
      <c r="S7" s="5">
        <v>11000</v>
      </c>
      <c r="T7" s="2"/>
      <c r="U7" s="6" t="s">
        <v>19</v>
      </c>
      <c r="V7" s="6" t="s">
        <v>19</v>
      </c>
      <c r="W7" s="10">
        <v>18500</v>
      </c>
      <c r="X7" s="10">
        <v>7500</v>
      </c>
      <c r="Y7" s="10">
        <v>11000</v>
      </c>
      <c r="Z7" s="9" t="s">
        <v>19</v>
      </c>
      <c r="AA7" s="9" t="s">
        <v>19</v>
      </c>
      <c r="AB7" s="9" t="s">
        <v>19</v>
      </c>
      <c r="AC7" s="5">
        <v>18500</v>
      </c>
      <c r="AD7" s="5">
        <v>7500</v>
      </c>
      <c r="AE7" s="5">
        <v>11000</v>
      </c>
      <c r="AF7" s="11">
        <v>5</v>
      </c>
      <c r="AG7" s="11">
        <v>10</v>
      </c>
      <c r="AH7" s="11">
        <v>15</v>
      </c>
      <c r="AI7" s="10">
        <v>18500</v>
      </c>
      <c r="AJ7" s="10">
        <v>7500</v>
      </c>
      <c r="AK7" s="10">
        <v>11000</v>
      </c>
      <c r="AL7" s="12">
        <v>0</v>
      </c>
      <c r="AM7" s="12">
        <v>0</v>
      </c>
      <c r="AN7" s="12">
        <v>0</v>
      </c>
      <c r="BD7" s="31"/>
      <c r="BE7" s="31"/>
      <c r="BF7" s="31"/>
    </row>
    <row r="8" spans="1:64" x14ac:dyDescent="0.25">
      <c r="A8" t="s">
        <v>20</v>
      </c>
      <c r="B8" s="18" t="s">
        <v>30</v>
      </c>
      <c r="C8" s="19" t="s">
        <v>10</v>
      </c>
      <c r="D8" s="19" t="s">
        <v>11</v>
      </c>
      <c r="E8" s="5">
        <v>32639</v>
      </c>
      <c r="F8" s="5">
        <v>10000</v>
      </c>
      <c r="G8" s="5">
        <v>22639</v>
      </c>
      <c r="H8" s="6" t="s">
        <v>19</v>
      </c>
      <c r="I8" s="6" t="s">
        <v>19</v>
      </c>
      <c r="J8" s="2"/>
      <c r="K8" s="10">
        <v>32639</v>
      </c>
      <c r="L8" s="10">
        <v>10000</v>
      </c>
      <c r="M8" s="10">
        <v>22639</v>
      </c>
      <c r="N8" s="9" t="s">
        <v>19</v>
      </c>
      <c r="O8" s="9" t="s">
        <v>19</v>
      </c>
      <c r="P8" s="9" t="s">
        <v>19</v>
      </c>
      <c r="Q8" s="5">
        <v>32639</v>
      </c>
      <c r="R8" s="5">
        <v>10000</v>
      </c>
      <c r="S8" s="5">
        <v>22639</v>
      </c>
      <c r="T8" s="2"/>
      <c r="U8" s="6" t="s">
        <v>19</v>
      </c>
      <c r="V8" s="6" t="s">
        <v>19</v>
      </c>
      <c r="W8" s="10">
        <v>32639</v>
      </c>
      <c r="X8" s="10">
        <v>10000</v>
      </c>
      <c r="Y8" s="10">
        <v>22639</v>
      </c>
      <c r="Z8" s="9" t="s">
        <v>19</v>
      </c>
      <c r="AA8" s="9" t="s">
        <v>19</v>
      </c>
      <c r="AB8" s="9" t="s">
        <v>19</v>
      </c>
      <c r="AC8" s="5">
        <v>32639</v>
      </c>
      <c r="AD8" s="5">
        <v>10000</v>
      </c>
      <c r="AE8" s="5">
        <v>22639</v>
      </c>
      <c r="AF8" s="11">
        <v>2</v>
      </c>
      <c r="AG8" s="11">
        <v>2</v>
      </c>
      <c r="AH8" s="11">
        <v>2</v>
      </c>
      <c r="AI8" s="10">
        <v>32639</v>
      </c>
      <c r="AJ8" s="10">
        <v>10000</v>
      </c>
      <c r="AK8" s="10">
        <v>22639</v>
      </c>
      <c r="AL8" s="12">
        <v>0</v>
      </c>
      <c r="AM8" s="12">
        <v>0</v>
      </c>
      <c r="AN8" s="12">
        <v>0</v>
      </c>
      <c r="BD8" s="31"/>
      <c r="BE8" s="31"/>
      <c r="BF8" s="31"/>
    </row>
    <row r="9" spans="1:64" ht="14.25" customHeight="1" x14ac:dyDescent="0.25">
      <c r="A9" t="s">
        <v>20</v>
      </c>
      <c r="B9" s="18" t="s">
        <v>30</v>
      </c>
      <c r="C9" s="19" t="s">
        <v>12</v>
      </c>
      <c r="D9" s="19" t="s">
        <v>13</v>
      </c>
      <c r="E9" s="5">
        <v>20197</v>
      </c>
      <c r="F9" s="5">
        <v>10000</v>
      </c>
      <c r="G9" s="5">
        <v>10197</v>
      </c>
      <c r="H9" s="2" t="s">
        <v>19</v>
      </c>
      <c r="I9" s="6" t="s">
        <v>19</v>
      </c>
      <c r="J9" s="2"/>
      <c r="K9" s="10">
        <v>20197</v>
      </c>
      <c r="L9" s="10">
        <v>10000</v>
      </c>
      <c r="M9" s="10">
        <v>10197</v>
      </c>
      <c r="N9" s="9" t="s">
        <v>19</v>
      </c>
      <c r="O9" s="9" t="s">
        <v>19</v>
      </c>
      <c r="P9" s="9" t="s">
        <v>19</v>
      </c>
      <c r="Q9" s="5">
        <v>20197</v>
      </c>
      <c r="R9" s="5">
        <v>10000</v>
      </c>
      <c r="S9" s="5">
        <v>10197</v>
      </c>
      <c r="T9" s="2"/>
      <c r="U9" s="6" t="s">
        <v>19</v>
      </c>
      <c r="V9" s="6" t="s">
        <v>19</v>
      </c>
      <c r="W9" s="10">
        <v>20197</v>
      </c>
      <c r="X9" s="10">
        <v>10000</v>
      </c>
      <c r="Y9" s="10">
        <v>10197</v>
      </c>
      <c r="Z9" s="9" t="s">
        <v>19</v>
      </c>
      <c r="AA9" s="9" t="s">
        <v>19</v>
      </c>
      <c r="AB9" s="9" t="s">
        <v>19</v>
      </c>
      <c r="AC9" s="5">
        <v>20197</v>
      </c>
      <c r="AD9" s="5">
        <v>10000</v>
      </c>
      <c r="AE9" s="5">
        <v>10197</v>
      </c>
      <c r="AF9" s="11">
        <v>2</v>
      </c>
      <c r="AG9" s="11">
        <v>2</v>
      </c>
      <c r="AH9" s="11">
        <v>2</v>
      </c>
      <c r="AI9" s="10">
        <v>20197</v>
      </c>
      <c r="AJ9" s="10">
        <v>10000</v>
      </c>
      <c r="AK9" s="10">
        <v>10197</v>
      </c>
      <c r="AL9" s="12">
        <v>0</v>
      </c>
      <c r="AM9" s="12">
        <v>0</v>
      </c>
      <c r="AN9" s="12">
        <v>0</v>
      </c>
      <c r="BD9" s="31"/>
      <c r="BE9" s="31"/>
      <c r="BF9" s="31"/>
    </row>
    <row r="10" spans="1:64" ht="14.25" customHeight="1" x14ac:dyDescent="0.25">
      <c r="B10" s="13"/>
      <c r="C10" s="19" t="s">
        <v>31</v>
      </c>
      <c r="D10" s="19" t="s">
        <v>32</v>
      </c>
      <c r="E10" s="5">
        <v>457</v>
      </c>
      <c r="F10" s="5">
        <v>200</v>
      </c>
      <c r="G10" s="5">
        <v>257</v>
      </c>
      <c r="H10" s="2"/>
      <c r="I10" s="6" t="s">
        <v>19</v>
      </c>
      <c r="J10" s="2"/>
      <c r="K10" s="10">
        <v>457</v>
      </c>
      <c r="L10" s="10">
        <v>200</v>
      </c>
      <c r="M10" s="10">
        <v>257</v>
      </c>
      <c r="N10" s="9" t="s">
        <v>19</v>
      </c>
      <c r="O10" s="9" t="s">
        <v>19</v>
      </c>
      <c r="P10" s="9" t="s">
        <v>19</v>
      </c>
      <c r="Q10" s="5">
        <v>457</v>
      </c>
      <c r="R10" s="5">
        <v>200</v>
      </c>
      <c r="S10" s="5">
        <v>257</v>
      </c>
      <c r="T10" s="2"/>
      <c r="U10" s="6" t="s">
        <v>19</v>
      </c>
      <c r="V10" s="6" t="s">
        <v>19</v>
      </c>
      <c r="W10" s="10">
        <v>457</v>
      </c>
      <c r="X10" s="10">
        <v>200</v>
      </c>
      <c r="Y10" s="10">
        <v>257</v>
      </c>
      <c r="Z10" s="9" t="s">
        <v>19</v>
      </c>
      <c r="AA10" s="9" t="s">
        <v>19</v>
      </c>
      <c r="AB10" s="9" t="s">
        <v>19</v>
      </c>
      <c r="AC10" s="5">
        <v>457</v>
      </c>
      <c r="AD10" s="5">
        <v>200</v>
      </c>
      <c r="AE10" s="5">
        <v>257</v>
      </c>
      <c r="AF10" s="11">
        <v>30</v>
      </c>
      <c r="AG10" s="11">
        <v>40</v>
      </c>
      <c r="AH10" s="11">
        <v>50</v>
      </c>
      <c r="AI10" s="10">
        <v>457</v>
      </c>
      <c r="AJ10" s="10">
        <v>200</v>
      </c>
      <c r="AK10" s="10">
        <v>257</v>
      </c>
      <c r="AL10" s="12">
        <v>0</v>
      </c>
      <c r="AM10" s="12">
        <v>0</v>
      </c>
      <c r="AN10" s="12">
        <v>0</v>
      </c>
      <c r="BD10" s="31"/>
      <c r="BE10" s="31"/>
      <c r="BF10" s="31"/>
    </row>
    <row r="11" spans="1:64" x14ac:dyDescent="0.25">
      <c r="B11" s="19" t="s">
        <v>18</v>
      </c>
      <c r="E11" s="5">
        <f>SUM(E3:E10)</f>
        <v>128139</v>
      </c>
      <c r="F11" s="2"/>
      <c r="G11" s="2"/>
      <c r="H11" s="2"/>
      <c r="I11" s="2"/>
      <c r="J11" s="2"/>
      <c r="K11" s="8"/>
      <c r="L11" s="8"/>
      <c r="M11" s="8"/>
      <c r="N11" s="8"/>
      <c r="O11" s="8"/>
      <c r="P11" s="8"/>
      <c r="Q11" s="2"/>
      <c r="R11" s="2"/>
      <c r="S11" s="2"/>
      <c r="T11" s="2"/>
      <c r="U11" s="2"/>
      <c r="V11" s="2"/>
      <c r="W11" s="8"/>
      <c r="X11" s="8"/>
      <c r="Y11" s="8"/>
      <c r="Z11" s="8"/>
      <c r="AA11" s="8"/>
      <c r="AB11" s="8"/>
      <c r="AC11" s="2"/>
      <c r="AD11" s="2"/>
      <c r="AE11" s="2"/>
      <c r="AF11" s="2"/>
      <c r="AG11" s="2"/>
      <c r="AH11" s="2"/>
      <c r="AI11" s="8"/>
      <c r="AJ11" s="8"/>
      <c r="AK11" s="8"/>
      <c r="AL11" s="8"/>
      <c r="AM11" s="8"/>
      <c r="AN11" s="8"/>
      <c r="BD11" s="31"/>
      <c r="BE11" s="31"/>
      <c r="BF11" s="31"/>
    </row>
    <row r="12" spans="1:64" x14ac:dyDescent="0.25">
      <c r="A12" t="s">
        <v>20</v>
      </c>
      <c r="B12" s="15" t="s">
        <v>29</v>
      </c>
      <c r="C12" s="18" t="s">
        <v>21</v>
      </c>
      <c r="D12" s="18" t="s">
        <v>22</v>
      </c>
      <c r="E12" s="5">
        <v>17142.857142857145</v>
      </c>
      <c r="F12" s="5">
        <v>12000</v>
      </c>
      <c r="G12" s="5">
        <v>5142.8571428571449</v>
      </c>
      <c r="H12" s="2"/>
      <c r="I12" s="2"/>
      <c r="J12" s="2"/>
      <c r="K12" s="10">
        <v>17142.857142857145</v>
      </c>
      <c r="L12" s="10">
        <v>12000</v>
      </c>
      <c r="M12" s="10">
        <v>5142.8571428571449</v>
      </c>
      <c r="N12" s="9" t="s">
        <v>19</v>
      </c>
      <c r="O12" s="9" t="s">
        <v>19</v>
      </c>
      <c r="P12" s="9" t="s">
        <v>19</v>
      </c>
      <c r="Q12" s="5">
        <v>0</v>
      </c>
      <c r="R12" s="5">
        <v>0</v>
      </c>
      <c r="S12" s="5">
        <v>0</v>
      </c>
      <c r="T12" s="2"/>
      <c r="U12" s="2"/>
      <c r="V12" s="2"/>
      <c r="W12" s="8"/>
      <c r="X12" s="8"/>
      <c r="Y12" s="8"/>
      <c r="Z12" s="8"/>
      <c r="AA12" s="8"/>
      <c r="AB12" s="8"/>
      <c r="AC12" s="5">
        <v>21733.723753086419</v>
      </c>
      <c r="AD12" s="5">
        <v>16300.292814814815</v>
      </c>
      <c r="AE12" s="5">
        <v>5433.4309382716037</v>
      </c>
      <c r="AF12" s="2">
        <v>24</v>
      </c>
      <c r="AG12" s="11">
        <v>36</v>
      </c>
      <c r="AH12" s="2">
        <v>48</v>
      </c>
      <c r="AI12" s="10">
        <v>17142.857142857101</v>
      </c>
      <c r="AJ12" s="10">
        <v>12000</v>
      </c>
      <c r="AK12" s="10">
        <v>5142.8571428571449</v>
      </c>
      <c r="AL12" s="12">
        <v>0</v>
      </c>
      <c r="AM12" s="12">
        <v>0</v>
      </c>
      <c r="AN12" s="12">
        <v>0</v>
      </c>
      <c r="BD12" s="31"/>
      <c r="BE12" s="31"/>
      <c r="BF12" s="31"/>
    </row>
    <row r="13" spans="1:64" x14ac:dyDescent="0.25">
      <c r="A13" t="s">
        <v>20</v>
      </c>
      <c r="B13" s="15" t="s">
        <v>29</v>
      </c>
      <c r="C13" s="18" t="s">
        <v>23</v>
      </c>
      <c r="D13" s="18" t="s">
        <v>24</v>
      </c>
      <c r="E13" s="5">
        <v>17142.857142857145</v>
      </c>
      <c r="F13" s="5">
        <v>12000</v>
      </c>
      <c r="G13" s="5">
        <v>5142.8571428571449</v>
      </c>
      <c r="H13" s="2"/>
      <c r="I13" s="2"/>
      <c r="J13" s="2"/>
      <c r="K13" s="10">
        <v>21428.571428571431</v>
      </c>
      <c r="L13" s="10">
        <v>15000</v>
      </c>
      <c r="M13" s="10">
        <v>6428.5714285714312</v>
      </c>
      <c r="N13" s="9" t="s">
        <v>19</v>
      </c>
      <c r="O13" s="9" t="s">
        <v>19</v>
      </c>
      <c r="P13" s="9" t="s">
        <v>19</v>
      </c>
      <c r="Q13" s="5">
        <v>0</v>
      </c>
      <c r="R13" s="5">
        <v>0</v>
      </c>
      <c r="S13" s="5">
        <v>0</v>
      </c>
      <c r="T13" s="2"/>
      <c r="U13" s="2"/>
      <c r="V13" s="2"/>
      <c r="W13" s="8"/>
      <c r="X13" s="8"/>
      <c r="Y13" s="8"/>
      <c r="Z13" s="8"/>
      <c r="AA13" s="8"/>
      <c r="AB13" s="8"/>
      <c r="AC13" s="5">
        <v>0</v>
      </c>
      <c r="AD13" s="5">
        <v>0</v>
      </c>
      <c r="AE13" s="5">
        <v>0</v>
      </c>
      <c r="AF13" s="2"/>
      <c r="AG13" s="11">
        <v>0</v>
      </c>
      <c r="AH13" s="2"/>
      <c r="AI13" s="10">
        <v>21428.571428571431</v>
      </c>
      <c r="AJ13" s="10">
        <v>15000</v>
      </c>
      <c r="AK13" s="10">
        <v>6428.5714285714312</v>
      </c>
      <c r="AL13" s="12">
        <v>0</v>
      </c>
      <c r="AM13" s="12">
        <v>0</v>
      </c>
      <c r="AN13" s="12">
        <v>0</v>
      </c>
      <c r="BD13" s="31"/>
      <c r="BE13" s="31"/>
      <c r="BF13" s="31"/>
    </row>
    <row r="14" spans="1:64" x14ac:dyDescent="0.25">
      <c r="A14" t="s">
        <v>20</v>
      </c>
      <c r="B14" s="15" t="s">
        <v>29</v>
      </c>
      <c r="C14" s="18" t="s">
        <v>25</v>
      </c>
      <c r="D14" s="18" t="s">
        <v>26</v>
      </c>
      <c r="E14" s="5">
        <v>21428.571428571431</v>
      </c>
      <c r="F14" s="5">
        <v>15000</v>
      </c>
      <c r="G14" s="5">
        <v>6428.5714285714312</v>
      </c>
      <c r="H14" s="2"/>
      <c r="I14" s="2"/>
      <c r="J14" s="2"/>
      <c r="K14" s="10">
        <v>21428.571428571431</v>
      </c>
      <c r="L14" s="10">
        <v>15000</v>
      </c>
      <c r="M14" s="10">
        <v>6428.5714285714312</v>
      </c>
      <c r="N14" s="9">
        <v>20</v>
      </c>
      <c r="O14" s="9">
        <v>40</v>
      </c>
      <c r="P14" s="9">
        <v>80</v>
      </c>
      <c r="Q14" s="5">
        <v>0</v>
      </c>
      <c r="R14" s="5">
        <v>0</v>
      </c>
      <c r="S14" s="5">
        <v>0</v>
      </c>
      <c r="T14" s="2"/>
      <c r="U14" s="2"/>
      <c r="V14" s="2"/>
      <c r="W14" s="8"/>
      <c r="X14" s="8"/>
      <c r="Y14" s="8"/>
      <c r="Z14" s="8"/>
      <c r="AA14" s="8"/>
      <c r="AB14" s="8"/>
      <c r="AC14" s="5">
        <v>0</v>
      </c>
      <c r="AD14" s="5">
        <v>0</v>
      </c>
      <c r="AE14" s="5">
        <v>0</v>
      </c>
      <c r="AF14" s="2"/>
      <c r="AG14" s="11">
        <v>0</v>
      </c>
      <c r="AH14" s="2"/>
      <c r="AI14" s="10">
        <v>21428.571428571431</v>
      </c>
      <c r="AJ14" s="10">
        <v>15000</v>
      </c>
      <c r="AK14" s="10">
        <v>6428.5714285714312</v>
      </c>
      <c r="AL14" s="12">
        <v>20</v>
      </c>
      <c r="AM14" s="12">
        <v>40</v>
      </c>
      <c r="AN14" s="12">
        <v>80</v>
      </c>
      <c r="BD14" s="31"/>
      <c r="BE14" s="31"/>
      <c r="BF14" s="31"/>
    </row>
    <row r="15" spans="1:64" x14ac:dyDescent="0.25">
      <c r="A15" t="s">
        <v>20</v>
      </c>
      <c r="B15" s="15" t="s">
        <v>29</v>
      </c>
      <c r="C15" s="18" t="s">
        <v>27</v>
      </c>
      <c r="D15" s="18" t="s">
        <v>28</v>
      </c>
      <c r="E15" s="5">
        <v>21428.571428571431</v>
      </c>
      <c r="F15" s="5">
        <v>15000</v>
      </c>
      <c r="G15" s="5">
        <v>6428.5714285714312</v>
      </c>
      <c r="H15" s="2"/>
      <c r="I15" s="2"/>
      <c r="J15" s="2"/>
      <c r="K15" s="10">
        <v>21428.571428571431</v>
      </c>
      <c r="L15" s="10">
        <v>15000</v>
      </c>
      <c r="M15" s="10">
        <v>6428.5714285714312</v>
      </c>
      <c r="N15" s="9">
        <v>20</v>
      </c>
      <c r="O15" s="9">
        <v>40</v>
      </c>
      <c r="P15" s="9">
        <v>80</v>
      </c>
      <c r="Q15" s="5">
        <v>0</v>
      </c>
      <c r="R15" s="5">
        <v>0</v>
      </c>
      <c r="S15" s="5">
        <v>0</v>
      </c>
      <c r="T15" s="2"/>
      <c r="U15" s="2"/>
      <c r="V15" s="2"/>
      <c r="W15" s="8"/>
      <c r="X15" s="8"/>
      <c r="Y15" s="8"/>
      <c r="Z15" s="8"/>
      <c r="AA15" s="8"/>
      <c r="AB15" s="8"/>
      <c r="AC15" s="5">
        <v>0</v>
      </c>
      <c r="AD15" s="5">
        <v>0</v>
      </c>
      <c r="AE15" s="5">
        <v>0</v>
      </c>
      <c r="AF15" s="2"/>
      <c r="AG15" s="11">
        <v>0</v>
      </c>
      <c r="AH15" s="2"/>
      <c r="AI15" s="10">
        <v>21428.571428571431</v>
      </c>
      <c r="AJ15" s="10">
        <v>15000</v>
      </c>
      <c r="AK15" s="10">
        <v>6428.5714285714312</v>
      </c>
      <c r="AL15" s="12">
        <v>20</v>
      </c>
      <c r="AM15" s="12">
        <v>40</v>
      </c>
      <c r="AN15" s="12">
        <v>80</v>
      </c>
      <c r="BD15" s="31"/>
      <c r="BE15" s="31"/>
      <c r="BF15" s="31"/>
    </row>
    <row r="16" spans="1:64" x14ac:dyDescent="0.25">
      <c r="B16" s="19" t="s">
        <v>18</v>
      </c>
      <c r="E16" s="1">
        <f>SUM(E12:E15)</f>
        <v>77142.857142857159</v>
      </c>
      <c r="BD16" s="31"/>
      <c r="BE16" s="31"/>
      <c r="BF16" s="31"/>
    </row>
    <row r="17" spans="1:64" x14ac:dyDescent="0.25">
      <c r="A17" t="s">
        <v>39</v>
      </c>
      <c r="B17" s="17" t="s">
        <v>40</v>
      </c>
      <c r="C17" s="19" t="s">
        <v>41</v>
      </c>
      <c r="D17" s="19" t="s">
        <v>42</v>
      </c>
      <c r="AO17" s="30">
        <v>15000</v>
      </c>
      <c r="AP17" s="30">
        <v>11250</v>
      </c>
      <c r="AQ17" s="30">
        <v>3750</v>
      </c>
      <c r="AR17" s="31">
        <v>77</v>
      </c>
      <c r="AS17" s="31">
        <v>77</v>
      </c>
      <c r="AT17" s="31">
        <v>77</v>
      </c>
      <c r="AU17" s="33">
        <v>0</v>
      </c>
      <c r="AV17" s="33">
        <v>0</v>
      </c>
      <c r="AW17" s="33">
        <v>0</v>
      </c>
      <c r="AX17" s="34">
        <v>0</v>
      </c>
      <c r="AY17" s="34">
        <v>0</v>
      </c>
      <c r="AZ17" s="34">
        <v>0</v>
      </c>
      <c r="BA17" s="30">
        <v>0</v>
      </c>
      <c r="BB17" s="30">
        <v>0</v>
      </c>
      <c r="BC17" s="30">
        <v>0</v>
      </c>
      <c r="BD17" s="31">
        <v>0</v>
      </c>
      <c r="BE17" s="31">
        <v>0</v>
      </c>
      <c r="BF17" s="31">
        <v>0</v>
      </c>
      <c r="BG17" s="26">
        <v>20000</v>
      </c>
      <c r="BH17" s="26">
        <v>5000</v>
      </c>
      <c r="BI17" s="26">
        <v>15000</v>
      </c>
      <c r="BJ17" s="44">
        <v>30</v>
      </c>
      <c r="BK17" s="44">
        <v>31.5</v>
      </c>
      <c r="BL17" s="44">
        <v>33.075000000000003</v>
      </c>
    </row>
    <row r="18" spans="1:64" x14ac:dyDescent="0.25">
      <c r="A18" t="s">
        <v>39</v>
      </c>
      <c r="B18" s="17" t="s">
        <v>40</v>
      </c>
      <c r="C18" s="19" t="s">
        <v>43</v>
      </c>
      <c r="D18" s="19" t="s">
        <v>44</v>
      </c>
      <c r="AO18" s="30">
        <v>18000</v>
      </c>
      <c r="AP18" s="30">
        <v>13500</v>
      </c>
      <c r="AQ18" s="30">
        <v>4500</v>
      </c>
      <c r="AR18" s="31">
        <v>6</v>
      </c>
      <c r="AS18" s="31">
        <v>6</v>
      </c>
      <c r="AT18" s="31">
        <v>6</v>
      </c>
      <c r="AU18" s="33">
        <v>0</v>
      </c>
      <c r="AV18" s="33">
        <v>0</v>
      </c>
      <c r="AW18" s="33">
        <v>0</v>
      </c>
      <c r="AX18" s="34">
        <v>0</v>
      </c>
      <c r="AY18" s="34">
        <v>0</v>
      </c>
      <c r="AZ18" s="34">
        <v>0</v>
      </c>
      <c r="BA18" s="30">
        <v>0</v>
      </c>
      <c r="BB18" s="30">
        <v>0</v>
      </c>
      <c r="BC18" s="30">
        <v>0</v>
      </c>
      <c r="BD18" s="31">
        <v>0</v>
      </c>
      <c r="BE18" s="31">
        <v>0</v>
      </c>
      <c r="BF18" s="31">
        <v>0</v>
      </c>
      <c r="BG18" s="26">
        <v>300000</v>
      </c>
      <c r="BH18" s="26">
        <v>300000</v>
      </c>
      <c r="BI18" s="26">
        <v>0</v>
      </c>
      <c r="BJ18" s="44">
        <v>10</v>
      </c>
      <c r="BK18" s="44">
        <v>40</v>
      </c>
      <c r="BL18" s="44">
        <v>100</v>
      </c>
    </row>
    <row r="19" spans="1:64" x14ac:dyDescent="0.25">
      <c r="A19" t="s">
        <v>39</v>
      </c>
      <c r="B19" s="16" t="s">
        <v>40</v>
      </c>
      <c r="C19" s="19" t="s">
        <v>45</v>
      </c>
      <c r="D19" s="19" t="s">
        <v>46</v>
      </c>
      <c r="AO19" s="30">
        <v>18000</v>
      </c>
      <c r="AP19" s="30">
        <v>13500</v>
      </c>
      <c r="AQ19" s="30">
        <v>4500</v>
      </c>
      <c r="AR19" s="31">
        <v>6</v>
      </c>
      <c r="AS19" s="31">
        <v>6</v>
      </c>
      <c r="AT19" s="31">
        <v>6</v>
      </c>
      <c r="AU19" s="33">
        <v>0</v>
      </c>
      <c r="AV19" s="33">
        <v>0</v>
      </c>
      <c r="AW19" s="33">
        <v>0</v>
      </c>
      <c r="AX19" s="34">
        <v>0</v>
      </c>
      <c r="AY19" s="34">
        <v>0</v>
      </c>
      <c r="AZ19" s="34">
        <v>0</v>
      </c>
      <c r="BA19" s="30">
        <v>0</v>
      </c>
      <c r="BB19" s="30">
        <v>0</v>
      </c>
      <c r="BC19" s="30">
        <v>0</v>
      </c>
      <c r="BD19" s="31">
        <v>0</v>
      </c>
      <c r="BE19" s="31">
        <v>0</v>
      </c>
      <c r="BF19" s="31">
        <v>0</v>
      </c>
      <c r="BG19" s="26">
        <v>300000</v>
      </c>
      <c r="BH19" s="26">
        <v>300000</v>
      </c>
      <c r="BI19" s="26">
        <v>0</v>
      </c>
      <c r="BJ19" s="44">
        <v>0</v>
      </c>
      <c r="BK19" s="44">
        <v>5</v>
      </c>
      <c r="BL19" s="44">
        <v>5</v>
      </c>
    </row>
    <row r="20" spans="1:64" x14ac:dyDescent="0.25">
      <c r="A20" t="s">
        <v>39</v>
      </c>
      <c r="B20" s="20" t="s">
        <v>30</v>
      </c>
      <c r="C20" s="21" t="s">
        <v>47</v>
      </c>
      <c r="D20" s="14" t="s">
        <v>48</v>
      </c>
      <c r="AO20" s="30">
        <v>2089</v>
      </c>
      <c r="AP20" s="30">
        <v>250</v>
      </c>
      <c r="AQ20" s="30">
        <v>1839</v>
      </c>
      <c r="AR20" s="31">
        <v>185</v>
      </c>
      <c r="AS20" s="31">
        <v>193</v>
      </c>
      <c r="AT20" s="31">
        <v>209</v>
      </c>
      <c r="AU20" s="33">
        <v>2088.5571047782678</v>
      </c>
      <c r="AV20" s="33">
        <v>1000</v>
      </c>
      <c r="AW20" s="33">
        <v>1088.5571047782678</v>
      </c>
      <c r="AX20" s="34">
        <v>8</v>
      </c>
      <c r="AY20" s="34">
        <v>8</v>
      </c>
      <c r="AZ20" s="34">
        <v>8</v>
      </c>
      <c r="BA20" s="30">
        <v>2088.5571047782678</v>
      </c>
      <c r="BB20" s="30">
        <v>1000</v>
      </c>
      <c r="BC20" s="30">
        <v>1088.5571047782678</v>
      </c>
      <c r="BD20" s="31">
        <v>2104</v>
      </c>
      <c r="BE20" s="31">
        <v>3851</v>
      </c>
      <c r="BF20" s="31">
        <v>5210</v>
      </c>
      <c r="BG20" s="26">
        <v>2088.5571047782678</v>
      </c>
      <c r="BH20" s="26">
        <v>100</v>
      </c>
      <c r="BI20" s="26">
        <v>1988.5571047782678</v>
      </c>
      <c r="BJ20" s="44">
        <v>1625</v>
      </c>
      <c r="BK20" s="44">
        <v>2550</v>
      </c>
      <c r="BL20" s="44">
        <v>4650</v>
      </c>
    </row>
    <row r="21" spans="1:64" x14ac:dyDescent="0.25">
      <c r="A21" t="s">
        <v>39</v>
      </c>
      <c r="B21" s="21" t="s">
        <v>30</v>
      </c>
      <c r="C21" s="21" t="s">
        <v>49</v>
      </c>
      <c r="D21" s="14" t="s">
        <v>50</v>
      </c>
      <c r="AO21" s="30">
        <v>353</v>
      </c>
      <c r="AP21" s="30">
        <v>250</v>
      </c>
      <c r="AQ21" s="30">
        <v>103</v>
      </c>
      <c r="AR21" s="31">
        <v>978</v>
      </c>
      <c r="AS21" s="31">
        <v>854</v>
      </c>
      <c r="AT21" s="31">
        <v>703</v>
      </c>
      <c r="AU21" s="33">
        <v>8196</v>
      </c>
      <c r="AV21" s="33">
        <v>2000</v>
      </c>
      <c r="AW21" s="33">
        <v>6196</v>
      </c>
      <c r="AX21" s="34">
        <v>2</v>
      </c>
      <c r="AY21" s="34">
        <v>2</v>
      </c>
      <c r="AZ21" s="34">
        <v>2</v>
      </c>
      <c r="BA21" s="30">
        <v>353</v>
      </c>
      <c r="BB21" s="30">
        <v>220.00000000000003</v>
      </c>
      <c r="BC21" s="30">
        <v>132.99999999999997</v>
      </c>
      <c r="BD21" s="31">
        <v>7153</v>
      </c>
      <c r="BE21" s="31">
        <v>8692</v>
      </c>
      <c r="BF21" s="31">
        <v>11096</v>
      </c>
      <c r="BG21" s="26">
        <v>353</v>
      </c>
      <c r="BH21" s="26">
        <v>500</v>
      </c>
      <c r="BI21" s="26">
        <v>-147</v>
      </c>
      <c r="BJ21" s="44">
        <v>3670.5</v>
      </c>
      <c r="BK21" s="44">
        <v>4568.8999999999996</v>
      </c>
      <c r="BL21" s="44">
        <v>6106.24</v>
      </c>
    </row>
    <row r="22" spans="1:64" x14ac:dyDescent="0.25">
      <c r="A22" t="s">
        <v>39</v>
      </c>
      <c r="B22" s="21" t="s">
        <v>30</v>
      </c>
      <c r="C22" s="21" t="s">
        <v>51</v>
      </c>
      <c r="D22" s="14" t="s">
        <v>52</v>
      </c>
      <c r="AO22" s="30">
        <v>8196</v>
      </c>
      <c r="AP22" s="30">
        <v>7500</v>
      </c>
      <c r="AQ22" s="30">
        <v>696</v>
      </c>
      <c r="AR22" s="31">
        <v>83</v>
      </c>
      <c r="AS22" s="31">
        <v>76</v>
      </c>
      <c r="AT22" s="31">
        <v>43</v>
      </c>
      <c r="AU22" s="33">
        <v>353</v>
      </c>
      <c r="AV22" s="33">
        <v>500</v>
      </c>
      <c r="AW22" s="33">
        <v>-147</v>
      </c>
      <c r="AX22" s="34">
        <v>82</v>
      </c>
      <c r="AY22" s="34">
        <v>93</v>
      </c>
      <c r="AZ22" s="34">
        <v>106</v>
      </c>
      <c r="BA22" s="30">
        <v>8196</v>
      </c>
      <c r="BB22" s="30">
        <v>2000</v>
      </c>
      <c r="BC22" s="30">
        <v>6196</v>
      </c>
      <c r="BD22" s="31">
        <v>1700</v>
      </c>
      <c r="BE22" s="31">
        <v>1750</v>
      </c>
      <c r="BF22" s="31">
        <v>1800</v>
      </c>
      <c r="BG22" s="26">
        <v>8196</v>
      </c>
      <c r="BH22" s="26">
        <v>2000</v>
      </c>
      <c r="BI22" s="26">
        <v>6196</v>
      </c>
      <c r="BJ22" s="44">
        <v>350</v>
      </c>
      <c r="BK22" s="44">
        <v>420</v>
      </c>
      <c r="BL22" s="44">
        <v>504</v>
      </c>
    </row>
    <row r="23" spans="1:64" x14ac:dyDescent="0.25">
      <c r="A23" t="s">
        <v>39</v>
      </c>
      <c r="B23" s="21" t="s">
        <v>30</v>
      </c>
      <c r="C23" s="21" t="s">
        <v>53</v>
      </c>
      <c r="D23" s="14" t="s">
        <v>54</v>
      </c>
      <c r="AO23" s="30">
        <v>2000</v>
      </c>
      <c r="AP23" s="30">
        <v>2000</v>
      </c>
      <c r="AR23" s="31">
        <v>10</v>
      </c>
      <c r="AS23" s="31">
        <v>20</v>
      </c>
      <c r="AT23" s="31">
        <v>25</v>
      </c>
      <c r="AU23" s="33">
        <v>2000</v>
      </c>
      <c r="AV23" s="33">
        <v>2000</v>
      </c>
      <c r="AW23" s="33">
        <v>0</v>
      </c>
      <c r="AX23" s="34">
        <v>0</v>
      </c>
      <c r="AY23" s="34">
        <v>0</v>
      </c>
      <c r="AZ23" s="34">
        <v>0</v>
      </c>
      <c r="BA23" s="30">
        <v>2000</v>
      </c>
      <c r="BB23" s="30">
        <v>2000</v>
      </c>
      <c r="BC23" s="30">
        <v>0</v>
      </c>
      <c r="BD23" s="31">
        <v>75</v>
      </c>
      <c r="BE23" s="31">
        <v>100</v>
      </c>
      <c r="BF23" s="31">
        <v>125</v>
      </c>
      <c r="BG23" s="26">
        <v>2000</v>
      </c>
      <c r="BH23" s="26">
        <v>1500</v>
      </c>
      <c r="BI23" s="26">
        <v>500</v>
      </c>
      <c r="BJ23" s="44">
        <v>25</v>
      </c>
      <c r="BK23" s="44">
        <v>25</v>
      </c>
      <c r="BL23" s="44">
        <v>25</v>
      </c>
    </row>
    <row r="24" spans="1:64" x14ac:dyDescent="0.25">
      <c r="A24" t="s">
        <v>39</v>
      </c>
      <c r="B24" s="21" t="s">
        <v>30</v>
      </c>
      <c r="C24" s="21" t="s">
        <v>55</v>
      </c>
      <c r="D24" s="14" t="s">
        <v>56</v>
      </c>
      <c r="AO24" s="30">
        <v>2000</v>
      </c>
      <c r="AP24" s="30">
        <v>2000</v>
      </c>
      <c r="AR24" s="31">
        <v>10</v>
      </c>
      <c r="AS24" s="31">
        <v>20</v>
      </c>
      <c r="AT24" s="31">
        <v>25</v>
      </c>
      <c r="AU24" s="33">
        <v>2000</v>
      </c>
      <c r="AV24" s="33">
        <v>2000</v>
      </c>
      <c r="AW24" s="33">
        <v>0</v>
      </c>
      <c r="AX24" s="34">
        <v>0</v>
      </c>
      <c r="AY24" s="34">
        <v>0</v>
      </c>
      <c r="AZ24" s="34">
        <v>0</v>
      </c>
      <c r="BA24" s="30">
        <v>2000</v>
      </c>
      <c r="BB24" s="30">
        <v>2000</v>
      </c>
      <c r="BC24" s="30">
        <v>0</v>
      </c>
      <c r="BD24" s="31">
        <v>20</v>
      </c>
      <c r="BE24" s="31">
        <v>25</v>
      </c>
      <c r="BF24" s="31">
        <v>30</v>
      </c>
      <c r="BG24" s="26">
        <v>2000</v>
      </c>
      <c r="BH24" s="26">
        <v>1500</v>
      </c>
      <c r="BI24" s="26">
        <v>500</v>
      </c>
      <c r="BJ24" s="44">
        <v>5</v>
      </c>
      <c r="BK24" s="44">
        <v>5</v>
      </c>
      <c r="BL24" s="44">
        <v>5</v>
      </c>
    </row>
    <row r="25" spans="1:64" x14ac:dyDescent="0.25">
      <c r="A25" t="s">
        <v>39</v>
      </c>
      <c r="B25" s="21" t="s">
        <v>30</v>
      </c>
      <c r="C25" s="21" t="s">
        <v>57</v>
      </c>
      <c r="D25" s="14" t="s">
        <v>58</v>
      </c>
      <c r="AO25" s="30">
        <v>12724</v>
      </c>
      <c r="AP25" s="30">
        <v>4000</v>
      </c>
      <c r="AQ25" s="30">
        <v>8724</v>
      </c>
      <c r="AR25" s="31">
        <v>40</v>
      </c>
      <c r="AS25" s="31">
        <v>30</v>
      </c>
      <c r="AT25" s="31">
        <v>20</v>
      </c>
      <c r="AU25" s="33">
        <v>12724</v>
      </c>
      <c r="AV25" s="33">
        <v>4000</v>
      </c>
      <c r="AW25" s="33">
        <v>8724</v>
      </c>
      <c r="AX25" s="34">
        <v>4</v>
      </c>
      <c r="AY25" s="34">
        <v>4</v>
      </c>
      <c r="AZ25" s="34">
        <v>4</v>
      </c>
      <c r="BA25" s="30">
        <v>12724</v>
      </c>
      <c r="BB25" s="30">
        <v>4000</v>
      </c>
      <c r="BC25" s="30">
        <v>8724</v>
      </c>
      <c r="BD25" s="31">
        <v>715</v>
      </c>
      <c r="BE25" s="31">
        <v>1206</v>
      </c>
      <c r="BF25" s="31">
        <v>1350</v>
      </c>
      <c r="BG25" s="26">
        <v>12724</v>
      </c>
      <c r="BH25" s="26">
        <v>4000</v>
      </c>
      <c r="BI25" s="26">
        <v>8724</v>
      </c>
      <c r="BJ25" s="44">
        <v>535</v>
      </c>
      <c r="BK25" s="44">
        <v>1070</v>
      </c>
      <c r="BL25" s="44">
        <v>2140</v>
      </c>
    </row>
    <row r="26" spans="1:64" x14ac:dyDescent="0.25">
      <c r="A26" t="s">
        <v>39</v>
      </c>
      <c r="B26" s="21" t="s">
        <v>30</v>
      </c>
      <c r="C26" s="21" t="s">
        <v>59</v>
      </c>
      <c r="D26" s="14" t="s">
        <v>60</v>
      </c>
      <c r="AO26" s="30">
        <v>12724</v>
      </c>
      <c r="AP26" s="30">
        <v>4000</v>
      </c>
      <c r="AQ26" s="30">
        <v>8724</v>
      </c>
      <c r="AR26" s="31">
        <v>35</v>
      </c>
      <c r="AS26" s="31">
        <v>30</v>
      </c>
      <c r="AT26" s="31">
        <v>25</v>
      </c>
      <c r="AU26" s="33">
        <v>12724</v>
      </c>
      <c r="AV26" s="33">
        <v>4000</v>
      </c>
      <c r="AW26" s="33">
        <v>8724</v>
      </c>
      <c r="AX26" s="34">
        <v>3</v>
      </c>
      <c r="AY26" s="34">
        <v>3</v>
      </c>
      <c r="AZ26" s="34">
        <v>3</v>
      </c>
      <c r="BA26" s="30">
        <v>12724</v>
      </c>
      <c r="BB26" s="30">
        <v>4000</v>
      </c>
      <c r="BC26" s="30">
        <v>8724</v>
      </c>
      <c r="BD26" s="31">
        <v>227</v>
      </c>
      <c r="BE26" s="31">
        <v>280</v>
      </c>
      <c r="BF26" s="31">
        <v>343</v>
      </c>
      <c r="BG26" s="26">
        <v>12724</v>
      </c>
      <c r="BH26" s="26">
        <v>4000</v>
      </c>
      <c r="BI26" s="26">
        <v>8724</v>
      </c>
      <c r="BJ26" s="44">
        <v>106</v>
      </c>
      <c r="BK26" s="44">
        <v>212</v>
      </c>
      <c r="BL26" s="44">
        <v>424</v>
      </c>
    </row>
    <row r="27" spans="1:64" x14ac:dyDescent="0.25">
      <c r="A27" t="s">
        <v>39</v>
      </c>
      <c r="B27" s="21" t="s">
        <v>30</v>
      </c>
      <c r="C27" s="21" t="s">
        <v>61</v>
      </c>
      <c r="D27" s="14" t="s">
        <v>62</v>
      </c>
      <c r="AO27" s="30">
        <v>16163</v>
      </c>
      <c r="AP27" s="30">
        <v>7500</v>
      </c>
      <c r="AQ27" s="30">
        <v>8663</v>
      </c>
      <c r="AR27" s="31">
        <v>60</v>
      </c>
      <c r="AS27" s="31">
        <v>75</v>
      </c>
      <c r="AT27" s="31">
        <v>95</v>
      </c>
      <c r="AU27" s="33">
        <v>16163</v>
      </c>
      <c r="AV27" s="33">
        <v>8000</v>
      </c>
      <c r="AW27" s="33">
        <v>8163</v>
      </c>
      <c r="AX27" s="34">
        <v>1</v>
      </c>
      <c r="AY27" s="34">
        <v>1</v>
      </c>
      <c r="AZ27" s="34">
        <v>1</v>
      </c>
      <c r="BA27" s="30">
        <v>16163</v>
      </c>
      <c r="BB27" s="30">
        <v>10000</v>
      </c>
      <c r="BC27" s="30">
        <v>6163</v>
      </c>
      <c r="BD27" s="31">
        <v>150</v>
      </c>
      <c r="BE27" s="31">
        <v>250</v>
      </c>
      <c r="BF27" s="31">
        <v>300</v>
      </c>
      <c r="BG27" s="26">
        <v>16163</v>
      </c>
      <c r="BH27" s="26">
        <v>10000</v>
      </c>
      <c r="BI27" s="26">
        <v>6163</v>
      </c>
      <c r="BJ27" s="44">
        <v>63</v>
      </c>
      <c r="BK27" s="44">
        <v>267.75</v>
      </c>
      <c r="BL27" s="44">
        <v>1071</v>
      </c>
    </row>
    <row r="28" spans="1:64" x14ac:dyDescent="0.25">
      <c r="A28" t="s">
        <v>39</v>
      </c>
      <c r="B28" s="21" t="s">
        <v>30</v>
      </c>
      <c r="C28" s="21" t="s">
        <v>63</v>
      </c>
      <c r="D28" s="14" t="s">
        <v>64</v>
      </c>
      <c r="AO28" s="30">
        <v>16163</v>
      </c>
      <c r="AP28" s="30">
        <v>7500</v>
      </c>
      <c r="AQ28" s="30">
        <v>8663</v>
      </c>
      <c r="AR28" s="31">
        <v>40</v>
      </c>
      <c r="AS28" s="31">
        <v>50</v>
      </c>
      <c r="AT28" s="31">
        <v>65</v>
      </c>
      <c r="AU28" s="33">
        <v>16163</v>
      </c>
      <c r="AV28" s="33">
        <v>8000</v>
      </c>
      <c r="AW28" s="33">
        <v>8163</v>
      </c>
      <c r="AX28" s="34">
        <v>0</v>
      </c>
      <c r="AY28" s="34">
        <v>0</v>
      </c>
      <c r="AZ28" s="34">
        <v>0</v>
      </c>
      <c r="BA28" s="30">
        <v>16163</v>
      </c>
      <c r="BB28" s="30">
        <v>10000</v>
      </c>
      <c r="BC28" s="30">
        <v>6163</v>
      </c>
      <c r="BD28" s="31">
        <v>12</v>
      </c>
      <c r="BE28" s="31">
        <v>15</v>
      </c>
      <c r="BF28" s="31">
        <v>17</v>
      </c>
      <c r="BG28" s="26">
        <v>16163</v>
      </c>
      <c r="BH28" s="26">
        <v>10000</v>
      </c>
      <c r="BI28" s="26">
        <v>6163</v>
      </c>
      <c r="BJ28" s="44">
        <v>25</v>
      </c>
      <c r="BK28" s="44">
        <v>106.25</v>
      </c>
      <c r="BL28" s="44">
        <v>425</v>
      </c>
    </row>
    <row r="29" spans="1:64" x14ac:dyDescent="0.25">
      <c r="A29" t="s">
        <v>39</v>
      </c>
      <c r="B29" s="21" t="s">
        <v>30</v>
      </c>
      <c r="C29" s="21" t="s">
        <v>65</v>
      </c>
      <c r="D29" s="14" t="s">
        <v>66</v>
      </c>
      <c r="AO29" s="30">
        <v>11475</v>
      </c>
      <c r="AP29" s="30">
        <v>4000</v>
      </c>
      <c r="AQ29" s="30">
        <v>7475</v>
      </c>
      <c r="AR29" s="31">
        <v>75</v>
      </c>
      <c r="AS29" s="31">
        <v>55</v>
      </c>
      <c r="AT29" s="31">
        <v>35</v>
      </c>
      <c r="AU29" s="33">
        <v>11475</v>
      </c>
      <c r="AV29" s="33">
        <v>3250</v>
      </c>
      <c r="AW29" s="33">
        <v>8225</v>
      </c>
      <c r="AX29" s="34">
        <v>50</v>
      </c>
      <c r="AY29" s="34">
        <v>60</v>
      </c>
      <c r="AZ29" s="34">
        <v>72</v>
      </c>
      <c r="BA29" s="30">
        <v>11475</v>
      </c>
      <c r="BB29" s="30">
        <v>4000</v>
      </c>
      <c r="BC29" s="30">
        <v>7475</v>
      </c>
      <c r="BD29" s="31">
        <v>2808</v>
      </c>
      <c r="BE29" s="31">
        <v>3992</v>
      </c>
      <c r="BF29" s="31">
        <v>6016</v>
      </c>
      <c r="BG29" s="26">
        <v>11475</v>
      </c>
      <c r="BH29" s="26">
        <v>4000</v>
      </c>
      <c r="BI29" s="26">
        <v>7475</v>
      </c>
      <c r="BJ29" s="44">
        <v>810.25</v>
      </c>
      <c r="BK29" s="44">
        <v>1620.5</v>
      </c>
      <c r="BL29" s="44">
        <v>3241</v>
      </c>
    </row>
    <row r="30" spans="1:64" x14ac:dyDescent="0.25">
      <c r="A30" t="s">
        <v>39</v>
      </c>
      <c r="B30" s="21" t="s">
        <v>30</v>
      </c>
      <c r="C30" s="21" t="s">
        <v>67</v>
      </c>
      <c r="D30" s="14" t="s">
        <v>68</v>
      </c>
      <c r="AO30" s="30">
        <v>11475</v>
      </c>
      <c r="AP30" s="30">
        <v>4000</v>
      </c>
      <c r="AQ30" s="30">
        <v>7475</v>
      </c>
      <c r="AR30" s="31">
        <v>60</v>
      </c>
      <c r="AS30" s="31">
        <v>40</v>
      </c>
      <c r="AT30" s="31">
        <v>20</v>
      </c>
      <c r="AU30" s="33">
        <v>11475</v>
      </c>
      <c r="AV30" s="33">
        <v>3250</v>
      </c>
      <c r="AW30" s="33">
        <v>8225</v>
      </c>
      <c r="AX30" s="34">
        <v>8</v>
      </c>
      <c r="AY30" s="34">
        <v>8</v>
      </c>
      <c r="AZ30" s="34">
        <v>8</v>
      </c>
      <c r="BA30" s="30">
        <v>11475</v>
      </c>
      <c r="BB30" s="30">
        <v>4000</v>
      </c>
      <c r="BC30" s="30">
        <v>7475</v>
      </c>
      <c r="BD30" s="31">
        <v>400</v>
      </c>
      <c r="BE30" s="31">
        <v>660</v>
      </c>
      <c r="BF30" s="31">
        <v>935</v>
      </c>
      <c r="BG30" s="26">
        <v>11475</v>
      </c>
      <c r="BH30" s="26">
        <v>4000</v>
      </c>
      <c r="BI30" s="26">
        <v>7475</v>
      </c>
      <c r="BJ30" s="44">
        <v>147</v>
      </c>
      <c r="BK30" s="44">
        <v>294</v>
      </c>
      <c r="BL30" s="44">
        <v>588</v>
      </c>
    </row>
    <row r="31" spans="1:64" x14ac:dyDescent="0.25">
      <c r="A31" t="s">
        <v>39</v>
      </c>
      <c r="B31" s="21" t="s">
        <v>30</v>
      </c>
      <c r="C31" s="21" t="s">
        <v>69</v>
      </c>
      <c r="D31" s="14" t="s">
        <v>70</v>
      </c>
      <c r="AO31" s="30">
        <v>15984</v>
      </c>
      <c r="AP31" s="30">
        <v>7500</v>
      </c>
      <c r="AQ31" s="30">
        <v>8484</v>
      </c>
      <c r="AR31" s="31">
        <v>191</v>
      </c>
      <c r="AS31" s="31">
        <v>251</v>
      </c>
      <c r="AT31" s="31">
        <v>327</v>
      </c>
      <c r="AU31" s="33">
        <v>15984</v>
      </c>
      <c r="AV31" s="33">
        <v>10000</v>
      </c>
      <c r="AW31" s="33">
        <v>5984</v>
      </c>
      <c r="AX31" s="34">
        <v>8</v>
      </c>
      <c r="AY31" s="34">
        <v>9</v>
      </c>
      <c r="AZ31" s="34">
        <v>10</v>
      </c>
      <c r="BA31" s="30">
        <v>15984</v>
      </c>
      <c r="BB31" s="30">
        <v>10000</v>
      </c>
      <c r="BC31" s="30">
        <v>5984</v>
      </c>
      <c r="BD31" s="31">
        <v>125</v>
      </c>
      <c r="BE31" s="31">
        <v>150</v>
      </c>
      <c r="BF31" s="31">
        <v>200</v>
      </c>
      <c r="BG31" s="26">
        <v>15984</v>
      </c>
      <c r="BH31" s="26">
        <v>10000</v>
      </c>
      <c r="BI31" s="26">
        <v>5984</v>
      </c>
      <c r="BJ31" s="44">
        <v>36</v>
      </c>
      <c r="BK31" s="44">
        <v>72</v>
      </c>
      <c r="BL31" s="44">
        <v>144</v>
      </c>
    </row>
    <row r="32" spans="1:64" x14ac:dyDescent="0.25">
      <c r="A32" t="s">
        <v>39</v>
      </c>
      <c r="B32" s="21" t="s">
        <v>30</v>
      </c>
      <c r="C32" s="21" t="s">
        <v>71</v>
      </c>
      <c r="D32" s="14" t="s">
        <v>72</v>
      </c>
      <c r="AO32" s="30">
        <v>15984</v>
      </c>
      <c r="AP32" s="30">
        <v>7500</v>
      </c>
      <c r="AQ32" s="30">
        <v>8484</v>
      </c>
      <c r="AR32" s="31">
        <v>164</v>
      </c>
      <c r="AS32" s="31">
        <v>201</v>
      </c>
      <c r="AT32" s="31">
        <v>250</v>
      </c>
      <c r="AU32" s="33">
        <v>15984</v>
      </c>
      <c r="AV32" s="33">
        <v>10000</v>
      </c>
      <c r="AW32" s="33">
        <v>5984</v>
      </c>
      <c r="AX32" s="34">
        <v>1</v>
      </c>
      <c r="AY32" s="34">
        <v>1</v>
      </c>
      <c r="AZ32" s="34">
        <v>1</v>
      </c>
      <c r="BA32" s="30">
        <v>15984</v>
      </c>
      <c r="BB32" s="30">
        <v>10000</v>
      </c>
      <c r="BC32" s="30">
        <v>5984</v>
      </c>
      <c r="BD32" s="31">
        <v>20</v>
      </c>
      <c r="BE32" s="31">
        <v>40</v>
      </c>
      <c r="BF32" s="31">
        <v>45</v>
      </c>
      <c r="BG32" s="26">
        <v>15984</v>
      </c>
      <c r="BH32" s="26">
        <v>10000</v>
      </c>
      <c r="BI32" s="26">
        <v>5984</v>
      </c>
      <c r="BJ32" s="44">
        <v>10</v>
      </c>
      <c r="BK32" s="44">
        <v>15</v>
      </c>
      <c r="BL32" s="44">
        <v>22.5</v>
      </c>
    </row>
    <row r="33" spans="1:64" x14ac:dyDescent="0.25">
      <c r="A33" t="s">
        <v>39</v>
      </c>
      <c r="B33" s="21" t="s">
        <v>30</v>
      </c>
      <c r="C33" s="21" t="s">
        <v>73</v>
      </c>
      <c r="D33" s="14" t="s">
        <v>74</v>
      </c>
      <c r="AO33" s="30">
        <v>18500</v>
      </c>
      <c r="AP33" s="30">
        <v>7500</v>
      </c>
      <c r="AQ33" s="30">
        <v>11000</v>
      </c>
      <c r="AR33" s="31">
        <v>5</v>
      </c>
      <c r="AS33" s="31">
        <v>10</v>
      </c>
      <c r="AT33" s="31">
        <v>15</v>
      </c>
      <c r="AU33" s="33">
        <v>18500</v>
      </c>
      <c r="AV33" s="33">
        <v>7500</v>
      </c>
      <c r="AW33" s="33">
        <v>11000</v>
      </c>
      <c r="AX33" s="34">
        <v>0</v>
      </c>
      <c r="AY33" s="34">
        <v>0</v>
      </c>
      <c r="AZ33" s="34">
        <v>0</v>
      </c>
      <c r="BA33" s="30">
        <v>18500</v>
      </c>
      <c r="BB33" s="30">
        <v>7500</v>
      </c>
      <c r="BC33" s="30">
        <v>11000</v>
      </c>
      <c r="BD33" s="31">
        <v>50</v>
      </c>
      <c r="BE33" s="31">
        <v>75</v>
      </c>
      <c r="BF33" s="31">
        <v>100</v>
      </c>
      <c r="BG33" s="26">
        <v>18500</v>
      </c>
      <c r="BH33" s="26">
        <v>7500</v>
      </c>
      <c r="BI33" s="26">
        <v>11000</v>
      </c>
      <c r="BJ33" s="44">
        <v>2</v>
      </c>
      <c r="BK33" s="44">
        <v>2</v>
      </c>
      <c r="BL33" s="44">
        <v>5</v>
      </c>
    </row>
    <row r="34" spans="1:64" x14ac:dyDescent="0.25">
      <c r="A34" t="s">
        <v>39</v>
      </c>
      <c r="B34" s="21" t="s">
        <v>30</v>
      </c>
      <c r="C34" s="21" t="s">
        <v>75</v>
      </c>
      <c r="D34" s="14" t="s">
        <v>76</v>
      </c>
      <c r="AO34" s="30">
        <v>18500</v>
      </c>
      <c r="AP34" s="30">
        <v>7500</v>
      </c>
      <c r="AQ34" s="30">
        <v>11000</v>
      </c>
      <c r="AR34" s="31">
        <v>3</v>
      </c>
      <c r="AS34" s="31">
        <v>7</v>
      </c>
      <c r="AT34" s="31">
        <v>10</v>
      </c>
      <c r="AU34" s="33">
        <v>18500</v>
      </c>
      <c r="AV34" s="33">
        <v>7500</v>
      </c>
      <c r="AW34" s="33">
        <v>11000</v>
      </c>
      <c r="AX34" s="34">
        <v>0</v>
      </c>
      <c r="AY34" s="34">
        <v>0</v>
      </c>
      <c r="AZ34" s="34">
        <v>0</v>
      </c>
      <c r="BA34" s="30">
        <v>18500</v>
      </c>
      <c r="BB34" s="30">
        <v>7500</v>
      </c>
      <c r="BC34" s="30">
        <v>11000</v>
      </c>
      <c r="BD34" s="31">
        <v>25</v>
      </c>
      <c r="BE34" s="31">
        <v>50</v>
      </c>
      <c r="BF34" s="31">
        <v>75</v>
      </c>
      <c r="BG34" s="26">
        <v>18500</v>
      </c>
      <c r="BH34" s="26">
        <v>7500</v>
      </c>
      <c r="BI34" s="26">
        <v>11000</v>
      </c>
      <c r="BJ34" s="44">
        <v>2</v>
      </c>
      <c r="BK34" s="44">
        <v>2</v>
      </c>
      <c r="BL34" s="44">
        <v>5</v>
      </c>
    </row>
    <row r="35" spans="1:64" x14ac:dyDescent="0.25">
      <c r="A35" t="s">
        <v>39</v>
      </c>
      <c r="B35" s="21" t="s">
        <v>30</v>
      </c>
      <c r="C35" s="21" t="s">
        <v>77</v>
      </c>
      <c r="D35" s="14" t="s">
        <v>78</v>
      </c>
      <c r="AO35" s="30">
        <v>32499</v>
      </c>
      <c r="AP35" s="30">
        <v>15000</v>
      </c>
      <c r="AQ35" s="30">
        <v>17499</v>
      </c>
      <c r="AR35" s="31">
        <v>2</v>
      </c>
      <c r="AS35" s="31">
        <v>5</v>
      </c>
      <c r="AT35" s="31">
        <v>7</v>
      </c>
      <c r="AU35" s="33">
        <v>32499</v>
      </c>
      <c r="AV35" s="33">
        <v>0</v>
      </c>
      <c r="AW35" s="33">
        <v>32499</v>
      </c>
      <c r="AX35" s="34">
        <v>0</v>
      </c>
      <c r="AY35" s="34">
        <v>0</v>
      </c>
      <c r="AZ35" s="34">
        <v>0</v>
      </c>
      <c r="BA35" s="30">
        <v>32499</v>
      </c>
      <c r="BB35" s="30">
        <v>15000</v>
      </c>
      <c r="BC35" s="30">
        <v>17499</v>
      </c>
      <c r="BD35" s="31">
        <v>10</v>
      </c>
      <c r="BE35" s="31">
        <v>15</v>
      </c>
      <c r="BF35" s="31">
        <v>20</v>
      </c>
      <c r="BG35" s="26">
        <v>32499</v>
      </c>
      <c r="BH35" s="26">
        <v>15000</v>
      </c>
      <c r="BI35" s="26">
        <v>17499</v>
      </c>
      <c r="BJ35" s="44">
        <v>2</v>
      </c>
      <c r="BK35" s="44">
        <v>2</v>
      </c>
      <c r="BL35" s="44">
        <v>5</v>
      </c>
    </row>
    <row r="36" spans="1:64" x14ac:dyDescent="0.25">
      <c r="A36" t="s">
        <v>39</v>
      </c>
      <c r="B36" s="21" t="s">
        <v>30</v>
      </c>
      <c r="C36" s="21" t="s">
        <v>79</v>
      </c>
      <c r="D36" s="14" t="s">
        <v>80</v>
      </c>
      <c r="AO36" s="30">
        <v>32639</v>
      </c>
      <c r="AP36" s="30">
        <v>15000</v>
      </c>
      <c r="AQ36" s="30">
        <v>17639</v>
      </c>
      <c r="AR36" s="31">
        <v>1</v>
      </c>
      <c r="AS36" s="31">
        <v>2</v>
      </c>
      <c r="AT36" s="31">
        <v>3</v>
      </c>
      <c r="AU36" s="33">
        <v>32639</v>
      </c>
      <c r="AV36" s="33">
        <v>0</v>
      </c>
      <c r="AW36" s="33">
        <v>32639</v>
      </c>
      <c r="AX36" s="34">
        <v>0</v>
      </c>
      <c r="AY36" s="34">
        <v>0</v>
      </c>
      <c r="AZ36" s="34">
        <v>0</v>
      </c>
      <c r="BA36" s="30">
        <v>32639</v>
      </c>
      <c r="BB36" s="30">
        <v>15000</v>
      </c>
      <c r="BC36" s="30">
        <v>17639</v>
      </c>
      <c r="BD36" s="31">
        <v>5</v>
      </c>
      <c r="BE36" s="31">
        <v>10</v>
      </c>
      <c r="BF36" s="31">
        <v>25</v>
      </c>
      <c r="BG36" s="26">
        <v>32639</v>
      </c>
      <c r="BH36" s="26">
        <v>15000</v>
      </c>
      <c r="BI36" s="26">
        <v>17639</v>
      </c>
      <c r="BJ36" s="44">
        <v>2</v>
      </c>
      <c r="BK36" s="44">
        <v>2</v>
      </c>
      <c r="BL36" s="44">
        <v>5</v>
      </c>
    </row>
    <row r="37" spans="1:64" x14ac:dyDescent="0.25">
      <c r="A37" t="s">
        <v>39</v>
      </c>
      <c r="B37" s="21" t="s">
        <v>30</v>
      </c>
      <c r="C37" s="21" t="s">
        <v>81</v>
      </c>
      <c r="D37" s="14" t="s">
        <v>82</v>
      </c>
      <c r="AO37" s="30">
        <v>20057</v>
      </c>
      <c r="AQ37" s="30">
        <v>20057</v>
      </c>
      <c r="AR37" s="31" t="s">
        <v>119</v>
      </c>
      <c r="AS37" s="31" t="s">
        <v>119</v>
      </c>
      <c r="AT37" s="31" t="s">
        <v>119</v>
      </c>
      <c r="AU37" s="33">
        <v>20057</v>
      </c>
      <c r="AV37" s="33">
        <v>0</v>
      </c>
      <c r="AW37" s="33">
        <v>20057</v>
      </c>
      <c r="AX37" s="34">
        <v>0</v>
      </c>
      <c r="AY37" s="34">
        <v>0</v>
      </c>
      <c r="AZ37" s="34">
        <v>0</v>
      </c>
      <c r="BA37" s="30">
        <v>20057</v>
      </c>
      <c r="BB37" s="30">
        <v>15000</v>
      </c>
      <c r="BC37" s="30">
        <v>5057</v>
      </c>
      <c r="BD37" s="31">
        <v>10</v>
      </c>
      <c r="BE37" s="31">
        <v>15</v>
      </c>
      <c r="BF37" s="31">
        <v>20</v>
      </c>
      <c r="BG37" s="26">
        <v>20057</v>
      </c>
      <c r="BH37" s="26">
        <v>15000</v>
      </c>
      <c r="BI37" s="26">
        <v>5057</v>
      </c>
      <c r="BJ37" s="44">
        <v>0</v>
      </c>
      <c r="BK37" s="44">
        <v>0</v>
      </c>
      <c r="BL37" s="44">
        <v>0</v>
      </c>
    </row>
    <row r="38" spans="1:64" x14ac:dyDescent="0.25">
      <c r="A38" t="s">
        <v>39</v>
      </c>
      <c r="B38" s="21" t="s">
        <v>30</v>
      </c>
      <c r="C38" s="21" t="s">
        <v>83</v>
      </c>
      <c r="D38" s="14" t="s">
        <v>84</v>
      </c>
      <c r="AO38" s="30">
        <v>20197</v>
      </c>
      <c r="AQ38" s="30">
        <v>20197</v>
      </c>
      <c r="AR38" s="31" t="s">
        <v>119</v>
      </c>
      <c r="AS38" s="31" t="s">
        <v>119</v>
      </c>
      <c r="AT38" s="31" t="s">
        <v>119</v>
      </c>
      <c r="AU38" s="33">
        <v>20197</v>
      </c>
      <c r="AV38" s="33">
        <v>0</v>
      </c>
      <c r="AW38" s="33">
        <v>20197</v>
      </c>
      <c r="AX38" s="34">
        <v>0</v>
      </c>
      <c r="AY38" s="34">
        <v>0</v>
      </c>
      <c r="AZ38" s="34">
        <v>0</v>
      </c>
      <c r="BA38" s="30">
        <v>20197</v>
      </c>
      <c r="BB38" s="30">
        <v>15000</v>
      </c>
      <c r="BC38" s="30">
        <v>5197</v>
      </c>
      <c r="BD38" s="31">
        <v>5</v>
      </c>
      <c r="BE38" s="31">
        <v>10</v>
      </c>
      <c r="BF38" s="31">
        <v>25</v>
      </c>
      <c r="BG38" s="26">
        <v>20197</v>
      </c>
      <c r="BH38" s="26">
        <v>15000</v>
      </c>
      <c r="BI38" s="26">
        <v>5197</v>
      </c>
      <c r="BJ38" s="44">
        <v>0</v>
      </c>
      <c r="BK38" s="44">
        <v>0</v>
      </c>
      <c r="BL38" s="44">
        <v>0</v>
      </c>
    </row>
    <row r="39" spans="1:64" x14ac:dyDescent="0.25">
      <c r="A39" t="s">
        <v>39</v>
      </c>
      <c r="B39" s="21" t="s">
        <v>30</v>
      </c>
      <c r="C39" s="21" t="s">
        <v>85</v>
      </c>
      <c r="D39" s="14" t="s">
        <v>86</v>
      </c>
      <c r="AO39" s="30">
        <v>6447</v>
      </c>
      <c r="AP39" s="30">
        <v>16000</v>
      </c>
      <c r="AQ39" s="30">
        <v>-9553</v>
      </c>
      <c r="AR39" s="31">
        <v>26</v>
      </c>
      <c r="AS39" s="31">
        <v>36</v>
      </c>
      <c r="AT39" s="31">
        <v>52</v>
      </c>
      <c r="AU39" s="33">
        <v>6447</v>
      </c>
      <c r="AV39" s="33">
        <v>0</v>
      </c>
      <c r="AW39" s="33">
        <v>6447</v>
      </c>
      <c r="AX39" s="34">
        <v>0</v>
      </c>
      <c r="AY39" s="34">
        <v>1</v>
      </c>
      <c r="AZ39" s="34">
        <v>1</v>
      </c>
      <c r="BA39" s="30">
        <v>6447</v>
      </c>
      <c r="BB39" s="30">
        <v>8000</v>
      </c>
      <c r="BC39" s="30">
        <v>-1553</v>
      </c>
      <c r="BD39" s="31">
        <v>30</v>
      </c>
      <c r="BE39" s="31">
        <v>60</v>
      </c>
      <c r="BF39" s="31">
        <v>100</v>
      </c>
      <c r="BG39" s="26">
        <v>6447</v>
      </c>
      <c r="BH39" s="26">
        <v>8000</v>
      </c>
      <c r="BI39" s="26">
        <v>-1553</v>
      </c>
      <c r="BJ39" s="44">
        <v>74</v>
      </c>
      <c r="BK39" s="44">
        <v>148</v>
      </c>
      <c r="BL39" s="44">
        <v>296</v>
      </c>
    </row>
    <row r="40" spans="1:64" x14ac:dyDescent="0.25">
      <c r="A40" t="s">
        <v>39</v>
      </c>
      <c r="B40" s="21" t="s">
        <v>30</v>
      </c>
      <c r="C40" s="21" t="s">
        <v>87</v>
      </c>
      <c r="D40" s="14" t="s">
        <v>88</v>
      </c>
      <c r="AO40" s="30">
        <v>2000</v>
      </c>
      <c r="AQ40" s="30">
        <v>2000</v>
      </c>
      <c r="AR40" s="31" t="s">
        <v>119</v>
      </c>
      <c r="AS40" s="31" t="s">
        <v>119</v>
      </c>
      <c r="AT40" s="31" t="s">
        <v>119</v>
      </c>
      <c r="AU40" s="33">
        <v>2000</v>
      </c>
      <c r="AV40" s="33">
        <v>0</v>
      </c>
      <c r="AW40" s="33">
        <v>2000</v>
      </c>
      <c r="AX40" s="34">
        <v>0</v>
      </c>
      <c r="AY40" s="34">
        <v>0</v>
      </c>
      <c r="AZ40" s="34">
        <v>0</v>
      </c>
      <c r="BA40" s="30">
        <v>2000</v>
      </c>
      <c r="BB40" s="30">
        <v>0</v>
      </c>
      <c r="BC40" s="30">
        <v>2000</v>
      </c>
      <c r="BD40" s="31">
        <v>0</v>
      </c>
      <c r="BE40" s="31">
        <v>0</v>
      </c>
      <c r="BF40" s="31">
        <v>0</v>
      </c>
      <c r="BG40" s="26">
        <v>2000</v>
      </c>
      <c r="BH40" s="26">
        <v>0</v>
      </c>
      <c r="BI40" s="26">
        <v>2000</v>
      </c>
      <c r="BJ40" s="44">
        <v>0</v>
      </c>
      <c r="BK40" s="44">
        <v>0</v>
      </c>
      <c r="BL40" s="44">
        <v>0</v>
      </c>
    </row>
    <row r="41" spans="1:64" x14ac:dyDescent="0.25">
      <c r="A41" t="s">
        <v>39</v>
      </c>
      <c r="B41" s="21" t="s">
        <v>30</v>
      </c>
      <c r="C41" s="21" t="s">
        <v>89</v>
      </c>
      <c r="D41" s="14" t="s">
        <v>90</v>
      </c>
      <c r="AO41" s="30">
        <v>2000</v>
      </c>
      <c r="AQ41" s="30">
        <v>2000</v>
      </c>
      <c r="AR41" s="31" t="s">
        <v>119</v>
      </c>
      <c r="AS41" s="31" t="s">
        <v>119</v>
      </c>
      <c r="AT41" s="31" t="s">
        <v>119</v>
      </c>
      <c r="AU41" s="33">
        <v>2000</v>
      </c>
      <c r="AV41" s="33">
        <v>0</v>
      </c>
      <c r="AW41" s="33">
        <v>2000</v>
      </c>
      <c r="AX41" s="34">
        <v>0</v>
      </c>
      <c r="AY41" s="34">
        <v>0</v>
      </c>
      <c r="AZ41" s="34">
        <v>0</v>
      </c>
      <c r="BA41" s="30">
        <v>2000</v>
      </c>
      <c r="BB41" s="30">
        <v>0</v>
      </c>
      <c r="BC41" s="30">
        <v>2000</v>
      </c>
      <c r="BD41" s="31">
        <v>0</v>
      </c>
      <c r="BE41" s="31">
        <v>0</v>
      </c>
      <c r="BF41" s="31">
        <v>0</v>
      </c>
      <c r="BG41" s="26">
        <v>2000</v>
      </c>
      <c r="BH41" s="26">
        <v>0</v>
      </c>
      <c r="BI41" s="26">
        <v>2000</v>
      </c>
      <c r="BJ41" s="44">
        <v>0</v>
      </c>
      <c r="BK41" s="44">
        <v>0</v>
      </c>
      <c r="BL41" s="44">
        <v>0</v>
      </c>
    </row>
    <row r="42" spans="1:64" x14ac:dyDescent="0.25">
      <c r="A42" t="s">
        <v>39</v>
      </c>
      <c r="B42" s="21" t="s">
        <v>30</v>
      </c>
      <c r="C42" s="21" t="s">
        <v>91</v>
      </c>
      <c r="D42" s="14" t="s">
        <v>92</v>
      </c>
      <c r="AO42" s="30">
        <v>12388</v>
      </c>
      <c r="AP42" s="30">
        <v>16000</v>
      </c>
      <c r="AQ42" s="30">
        <v>-3612</v>
      </c>
      <c r="AR42" s="31">
        <v>6</v>
      </c>
      <c r="AS42" s="31">
        <v>4</v>
      </c>
      <c r="AT42" s="31">
        <v>3</v>
      </c>
      <c r="AU42" s="33">
        <v>12388</v>
      </c>
      <c r="AV42" s="33">
        <v>0</v>
      </c>
      <c r="AW42" s="33">
        <v>12388</v>
      </c>
      <c r="AX42" s="34">
        <v>0</v>
      </c>
      <c r="AY42" s="34">
        <v>0</v>
      </c>
      <c r="AZ42" s="34">
        <v>0</v>
      </c>
      <c r="BA42" s="30">
        <v>12388</v>
      </c>
      <c r="BB42" s="30">
        <v>8000</v>
      </c>
      <c r="BC42" s="30">
        <v>4388</v>
      </c>
      <c r="BD42" s="31">
        <v>30</v>
      </c>
      <c r="BE42" s="31">
        <v>60</v>
      </c>
      <c r="BF42" s="31">
        <v>117</v>
      </c>
      <c r="BG42" s="26">
        <v>12388</v>
      </c>
      <c r="BH42" s="26">
        <v>0</v>
      </c>
      <c r="BI42" s="26">
        <v>12388</v>
      </c>
      <c r="BJ42" s="44">
        <v>0</v>
      </c>
      <c r="BK42" s="44">
        <v>0</v>
      </c>
      <c r="BL42" s="44">
        <v>0</v>
      </c>
    </row>
    <row r="43" spans="1:64" x14ac:dyDescent="0.25">
      <c r="A43" t="s">
        <v>39</v>
      </c>
      <c r="B43" s="21" t="s">
        <v>30</v>
      </c>
      <c r="C43" s="21" t="s">
        <v>93</v>
      </c>
      <c r="D43" s="14" t="s">
        <v>94</v>
      </c>
      <c r="AO43" s="30">
        <v>12388</v>
      </c>
      <c r="AP43" s="30">
        <v>16000</v>
      </c>
      <c r="AQ43" s="30">
        <v>-3612</v>
      </c>
      <c r="AR43" s="31">
        <v>4</v>
      </c>
      <c r="AS43" s="31">
        <v>4</v>
      </c>
      <c r="AT43" s="31">
        <v>4</v>
      </c>
      <c r="AU43" s="33">
        <v>12388</v>
      </c>
      <c r="AV43" s="33">
        <v>0</v>
      </c>
      <c r="AW43" s="33">
        <v>12388</v>
      </c>
      <c r="AX43" s="34">
        <v>0</v>
      </c>
      <c r="AY43" s="34">
        <v>0</v>
      </c>
      <c r="AZ43" s="34">
        <v>0</v>
      </c>
      <c r="BA43" s="30">
        <v>12388</v>
      </c>
      <c r="BB43" s="30">
        <v>8000</v>
      </c>
      <c r="BC43" s="30">
        <v>4388</v>
      </c>
      <c r="BD43" s="31">
        <v>10</v>
      </c>
      <c r="BE43" s="31">
        <v>20</v>
      </c>
      <c r="BF43" s="31">
        <v>40</v>
      </c>
      <c r="BG43" s="26">
        <v>12388</v>
      </c>
      <c r="BH43" s="26">
        <v>0</v>
      </c>
      <c r="BI43" s="26">
        <v>12388</v>
      </c>
      <c r="BJ43" s="44">
        <v>0</v>
      </c>
      <c r="BK43" s="44">
        <v>0</v>
      </c>
      <c r="BL43" s="44">
        <v>0</v>
      </c>
    </row>
    <row r="44" spans="1:64" x14ac:dyDescent="0.25">
      <c r="A44" t="s">
        <v>39</v>
      </c>
      <c r="B44" s="21" t="s">
        <v>30</v>
      </c>
      <c r="C44" s="21" t="s">
        <v>95</v>
      </c>
      <c r="D44" s="14" t="s">
        <v>96</v>
      </c>
      <c r="AO44" s="30">
        <v>19180</v>
      </c>
      <c r="AP44" s="30">
        <v>16000</v>
      </c>
      <c r="AQ44" s="30">
        <v>3180</v>
      </c>
      <c r="AR44" s="31">
        <v>9</v>
      </c>
      <c r="AS44" s="31">
        <v>11</v>
      </c>
      <c r="AT44" s="31">
        <v>16</v>
      </c>
      <c r="AU44" s="33">
        <v>19180</v>
      </c>
      <c r="AV44" s="33">
        <v>0</v>
      </c>
      <c r="AW44" s="33">
        <v>19180</v>
      </c>
      <c r="AX44" s="34">
        <v>0</v>
      </c>
      <c r="AY44" s="34">
        <v>0</v>
      </c>
      <c r="AZ44" s="34">
        <v>0</v>
      </c>
      <c r="BA44" s="30">
        <v>19180</v>
      </c>
      <c r="BB44" s="30">
        <v>16000</v>
      </c>
      <c r="BC44" s="30">
        <v>3180</v>
      </c>
      <c r="BD44" s="31">
        <v>10</v>
      </c>
      <c r="BE44" s="31">
        <v>20</v>
      </c>
      <c r="BF44" s="31">
        <v>40</v>
      </c>
      <c r="BG44" s="26">
        <v>19180</v>
      </c>
      <c r="BH44" s="26">
        <v>0</v>
      </c>
      <c r="BI44" s="26">
        <v>19180</v>
      </c>
      <c r="BJ44" s="44">
        <v>0</v>
      </c>
      <c r="BK44" s="44">
        <v>0</v>
      </c>
      <c r="BL44" s="44">
        <v>0</v>
      </c>
    </row>
    <row r="45" spans="1:64" x14ac:dyDescent="0.25">
      <c r="A45" t="s">
        <v>39</v>
      </c>
      <c r="B45" s="21" t="s">
        <v>30</v>
      </c>
      <c r="C45" s="21" t="s">
        <v>97</v>
      </c>
      <c r="D45" s="14" t="s">
        <v>98</v>
      </c>
      <c r="AO45" s="30">
        <v>19180</v>
      </c>
      <c r="AP45" s="30">
        <v>16000</v>
      </c>
      <c r="AQ45" s="30">
        <v>3180</v>
      </c>
      <c r="AR45" s="31">
        <v>6</v>
      </c>
      <c r="AS45" s="31">
        <v>7</v>
      </c>
      <c r="AT45" s="31">
        <v>11</v>
      </c>
      <c r="AU45" s="33">
        <v>19180</v>
      </c>
      <c r="AV45" s="33">
        <v>0</v>
      </c>
      <c r="AW45" s="33">
        <v>19180</v>
      </c>
      <c r="AX45" s="34">
        <v>0</v>
      </c>
      <c r="AY45" s="34">
        <v>0</v>
      </c>
      <c r="AZ45" s="34">
        <v>0</v>
      </c>
      <c r="BA45" s="30">
        <v>19180</v>
      </c>
      <c r="BB45" s="30">
        <v>16000</v>
      </c>
      <c r="BC45" s="30">
        <v>3180</v>
      </c>
      <c r="BD45" s="31">
        <v>5</v>
      </c>
      <c r="BE45" s="31">
        <v>7</v>
      </c>
      <c r="BF45" s="31">
        <v>10</v>
      </c>
      <c r="BG45" s="26">
        <v>19180</v>
      </c>
      <c r="BH45" s="26">
        <v>16000</v>
      </c>
      <c r="BI45" s="26">
        <v>3180</v>
      </c>
      <c r="BJ45" s="44">
        <v>17.25</v>
      </c>
      <c r="BK45" s="44">
        <v>34.5</v>
      </c>
      <c r="BL45" s="44">
        <v>69</v>
      </c>
    </row>
    <row r="46" spans="1:64" x14ac:dyDescent="0.25">
      <c r="A46" t="s">
        <v>39</v>
      </c>
      <c r="B46" s="21" t="s">
        <v>30</v>
      </c>
      <c r="C46" s="21" t="s">
        <v>99</v>
      </c>
      <c r="D46" s="14" t="s">
        <v>100</v>
      </c>
      <c r="AO46" s="30">
        <v>11746</v>
      </c>
      <c r="AP46" s="30">
        <v>16000</v>
      </c>
      <c r="AQ46" s="30">
        <v>-4254</v>
      </c>
      <c r="AR46" s="31">
        <v>10</v>
      </c>
      <c r="AS46" s="31">
        <v>9</v>
      </c>
      <c r="AT46" s="31">
        <v>6</v>
      </c>
      <c r="AU46" s="33">
        <v>11746</v>
      </c>
      <c r="AV46" s="33">
        <v>8000</v>
      </c>
      <c r="AW46" s="33">
        <v>3746</v>
      </c>
      <c r="AX46" s="34">
        <v>10</v>
      </c>
      <c r="AY46" s="34">
        <v>12</v>
      </c>
      <c r="AZ46" s="34">
        <v>15</v>
      </c>
      <c r="BA46" s="30">
        <v>11746</v>
      </c>
      <c r="BB46" s="30">
        <v>8000</v>
      </c>
      <c r="BC46" s="30">
        <v>3746</v>
      </c>
      <c r="BD46" s="31">
        <v>30</v>
      </c>
      <c r="BE46" s="31">
        <v>65</v>
      </c>
      <c r="BF46" s="31">
        <v>145</v>
      </c>
      <c r="BG46" s="26">
        <v>11746</v>
      </c>
      <c r="BH46" s="26">
        <v>0</v>
      </c>
      <c r="BI46" s="26">
        <v>11746</v>
      </c>
      <c r="BJ46" s="44">
        <v>0</v>
      </c>
      <c r="BK46" s="44">
        <v>0</v>
      </c>
      <c r="BL46" s="44">
        <v>0</v>
      </c>
    </row>
    <row r="47" spans="1:64" x14ac:dyDescent="0.25">
      <c r="A47" t="s">
        <v>39</v>
      </c>
      <c r="B47" s="21" t="s">
        <v>30</v>
      </c>
      <c r="C47" s="21" t="s">
        <v>101</v>
      </c>
      <c r="D47" s="14" t="s">
        <v>102</v>
      </c>
      <c r="AO47" s="30">
        <v>11746</v>
      </c>
      <c r="AP47" s="30">
        <v>16000</v>
      </c>
      <c r="AQ47" s="30">
        <v>-4254</v>
      </c>
      <c r="AR47" s="31">
        <v>9</v>
      </c>
      <c r="AS47" s="31">
        <v>6</v>
      </c>
      <c r="AT47" s="31">
        <v>3</v>
      </c>
      <c r="AU47" s="33">
        <v>11746</v>
      </c>
      <c r="AV47" s="33">
        <v>8000</v>
      </c>
      <c r="AW47" s="33">
        <v>3746</v>
      </c>
      <c r="AX47" s="34">
        <v>1</v>
      </c>
      <c r="AY47" s="34">
        <v>3</v>
      </c>
      <c r="AZ47" s="34">
        <v>5</v>
      </c>
      <c r="BA47" s="30">
        <v>11746</v>
      </c>
      <c r="BB47" s="30">
        <v>8000</v>
      </c>
      <c r="BC47" s="30">
        <v>3746</v>
      </c>
      <c r="BD47" s="31">
        <v>10</v>
      </c>
      <c r="BE47" s="31">
        <v>15</v>
      </c>
      <c r="BF47" s="31">
        <v>40</v>
      </c>
      <c r="BG47" s="26">
        <v>11746</v>
      </c>
      <c r="BH47" s="26">
        <v>0</v>
      </c>
      <c r="BI47" s="26">
        <v>11746</v>
      </c>
      <c r="BJ47" s="44">
        <v>0</v>
      </c>
      <c r="BK47" s="44">
        <v>0</v>
      </c>
      <c r="BL47" s="44">
        <v>0</v>
      </c>
    </row>
    <row r="48" spans="1:64" x14ac:dyDescent="0.25">
      <c r="A48" t="s">
        <v>39</v>
      </c>
      <c r="B48" s="21" t="s">
        <v>30</v>
      </c>
      <c r="C48" s="21" t="s">
        <v>103</v>
      </c>
      <c r="D48" s="14" t="s">
        <v>104</v>
      </c>
      <c r="AO48" s="30">
        <v>13015</v>
      </c>
      <c r="AP48" s="30">
        <v>16000</v>
      </c>
      <c r="AQ48" s="30">
        <v>-2985</v>
      </c>
      <c r="AR48" s="31">
        <v>30</v>
      </c>
      <c r="AS48" s="31">
        <v>46</v>
      </c>
      <c r="AT48" s="31">
        <v>70</v>
      </c>
      <c r="AU48" s="33">
        <v>13015</v>
      </c>
      <c r="AV48" s="33">
        <v>16000</v>
      </c>
      <c r="AW48" s="33">
        <v>-2985</v>
      </c>
      <c r="AX48" s="34">
        <v>1</v>
      </c>
      <c r="AY48" s="34">
        <v>2</v>
      </c>
      <c r="AZ48" s="34">
        <v>3</v>
      </c>
      <c r="BA48" s="30">
        <v>13015</v>
      </c>
      <c r="BB48" s="30">
        <v>16000</v>
      </c>
      <c r="BC48" s="30">
        <v>-2985</v>
      </c>
      <c r="BD48" s="31">
        <v>20</v>
      </c>
      <c r="BE48" s="31">
        <v>40</v>
      </c>
      <c r="BF48" s="31">
        <v>80</v>
      </c>
      <c r="BG48" s="26">
        <v>13015</v>
      </c>
      <c r="BH48" s="26">
        <v>16000</v>
      </c>
      <c r="BI48" s="26">
        <v>-2985</v>
      </c>
      <c r="BJ48" s="44">
        <v>46.25</v>
      </c>
      <c r="BK48" s="44">
        <v>92.5</v>
      </c>
      <c r="BL48" s="44">
        <v>185</v>
      </c>
    </row>
    <row r="49" spans="1:64" x14ac:dyDescent="0.25">
      <c r="A49" t="s">
        <v>39</v>
      </c>
      <c r="B49" s="21" t="s">
        <v>30</v>
      </c>
      <c r="C49" s="21" t="s">
        <v>105</v>
      </c>
      <c r="D49" s="14" t="s">
        <v>106</v>
      </c>
      <c r="AO49" s="30">
        <v>13015</v>
      </c>
      <c r="AP49" s="30">
        <v>16000</v>
      </c>
      <c r="AQ49" s="30">
        <v>-2985</v>
      </c>
      <c r="AR49" s="31">
        <v>26</v>
      </c>
      <c r="AS49" s="31">
        <v>37</v>
      </c>
      <c r="AT49" s="31">
        <v>54</v>
      </c>
      <c r="AU49" s="33">
        <v>13015</v>
      </c>
      <c r="AV49" s="33">
        <v>0</v>
      </c>
      <c r="AW49" s="33">
        <v>13015</v>
      </c>
      <c r="AX49" s="34">
        <v>0</v>
      </c>
      <c r="AY49" s="34">
        <v>1</v>
      </c>
      <c r="AZ49" s="34">
        <v>1</v>
      </c>
      <c r="BA49" s="30">
        <v>13015</v>
      </c>
      <c r="BB49" s="30">
        <v>16000</v>
      </c>
      <c r="BC49" s="30">
        <v>-2985</v>
      </c>
      <c r="BD49" s="31">
        <v>10</v>
      </c>
      <c r="BE49" s="31">
        <v>20</v>
      </c>
      <c r="BF49" s="31">
        <v>40</v>
      </c>
      <c r="BG49" s="26">
        <v>13015</v>
      </c>
      <c r="BH49" s="26">
        <v>0</v>
      </c>
      <c r="BI49" s="26">
        <v>13015</v>
      </c>
      <c r="BJ49" s="44">
        <v>0</v>
      </c>
      <c r="BK49" s="44">
        <v>0</v>
      </c>
      <c r="BL49" s="44">
        <v>0</v>
      </c>
    </row>
    <row r="50" spans="1:64" x14ac:dyDescent="0.25">
      <c r="A50" t="s">
        <v>39</v>
      </c>
      <c r="B50" s="21" t="s">
        <v>30</v>
      </c>
      <c r="C50" s="21" t="s">
        <v>107</v>
      </c>
      <c r="D50" s="14" t="s">
        <v>108</v>
      </c>
      <c r="AO50" s="30">
        <v>18500</v>
      </c>
      <c r="AQ50" s="30">
        <v>18500</v>
      </c>
      <c r="AR50" s="31" t="s">
        <v>119</v>
      </c>
      <c r="AS50" s="31">
        <v>1</v>
      </c>
      <c r="AT50" s="31">
        <v>2</v>
      </c>
      <c r="AU50" s="33">
        <v>18500</v>
      </c>
      <c r="AV50" s="33">
        <v>0</v>
      </c>
      <c r="AW50" s="33">
        <v>18500</v>
      </c>
      <c r="AX50" s="34">
        <v>0</v>
      </c>
      <c r="AY50" s="34">
        <v>0</v>
      </c>
      <c r="AZ50" s="34">
        <v>0</v>
      </c>
      <c r="BA50" s="30">
        <v>18500</v>
      </c>
      <c r="BB50" s="30">
        <v>0</v>
      </c>
      <c r="BC50" s="30">
        <v>18500</v>
      </c>
      <c r="BD50" s="31">
        <v>0</v>
      </c>
      <c r="BE50" s="31">
        <v>0</v>
      </c>
      <c r="BF50" s="31">
        <v>0</v>
      </c>
      <c r="BG50" s="26">
        <v>18500</v>
      </c>
      <c r="BH50" s="26">
        <v>0</v>
      </c>
      <c r="BI50" s="26">
        <v>18500</v>
      </c>
      <c r="BJ50" s="44">
        <v>0</v>
      </c>
      <c r="BK50" s="44">
        <v>0</v>
      </c>
      <c r="BL50" s="44">
        <v>0</v>
      </c>
    </row>
    <row r="51" spans="1:64" x14ac:dyDescent="0.25">
      <c r="A51" t="s">
        <v>39</v>
      </c>
      <c r="B51" s="21" t="s">
        <v>30</v>
      </c>
      <c r="C51" s="21" t="s">
        <v>109</v>
      </c>
      <c r="D51" s="14" t="s">
        <v>110</v>
      </c>
      <c r="AO51" s="30">
        <v>18500</v>
      </c>
      <c r="AQ51" s="30">
        <v>18500</v>
      </c>
      <c r="AR51" s="31" t="s">
        <v>119</v>
      </c>
      <c r="AS51" s="31">
        <v>1</v>
      </c>
      <c r="AT51" s="31">
        <v>1</v>
      </c>
      <c r="AU51" s="33">
        <v>18500</v>
      </c>
      <c r="AV51" s="33">
        <v>0</v>
      </c>
      <c r="AW51" s="33">
        <v>18500</v>
      </c>
      <c r="AX51" s="34">
        <v>0</v>
      </c>
      <c r="AY51" s="34">
        <v>0</v>
      </c>
      <c r="AZ51" s="34">
        <v>0</v>
      </c>
      <c r="BA51" s="30">
        <v>18500</v>
      </c>
      <c r="BB51" s="30">
        <v>0</v>
      </c>
      <c r="BC51" s="30">
        <v>18500</v>
      </c>
      <c r="BD51" s="31">
        <v>0</v>
      </c>
      <c r="BE51" s="31">
        <v>0</v>
      </c>
      <c r="BF51" s="31">
        <v>0</v>
      </c>
      <c r="BG51" s="26">
        <v>18500</v>
      </c>
      <c r="BH51" s="26">
        <v>0</v>
      </c>
      <c r="BI51" s="26">
        <v>18500</v>
      </c>
      <c r="BJ51" s="44">
        <v>0</v>
      </c>
      <c r="BK51" s="44">
        <v>0</v>
      </c>
      <c r="BL51" s="44">
        <v>0</v>
      </c>
    </row>
    <row r="52" spans="1:64" x14ac:dyDescent="0.25">
      <c r="A52">
        <v>1</v>
      </c>
      <c r="B52" s="21" t="s">
        <v>30</v>
      </c>
      <c r="C52" s="21" t="s">
        <v>111</v>
      </c>
      <c r="D52" s="14" t="s">
        <v>112</v>
      </c>
      <c r="AO52" s="30">
        <v>38762</v>
      </c>
      <c r="AQ52" s="30">
        <v>38762</v>
      </c>
      <c r="AR52" s="31" t="s">
        <v>119</v>
      </c>
      <c r="AS52" s="31" t="s">
        <v>119</v>
      </c>
      <c r="AT52" s="31" t="s">
        <v>119</v>
      </c>
      <c r="AU52" s="33">
        <v>38762</v>
      </c>
      <c r="AV52" s="33">
        <v>0</v>
      </c>
      <c r="AW52" s="33">
        <v>38762</v>
      </c>
      <c r="AX52" s="34">
        <v>0</v>
      </c>
      <c r="AY52" s="34">
        <v>0</v>
      </c>
      <c r="AZ52" s="34">
        <v>0</v>
      </c>
      <c r="BA52" s="30">
        <v>38762</v>
      </c>
      <c r="BB52" s="30">
        <v>0</v>
      </c>
      <c r="BC52" s="30">
        <v>38762</v>
      </c>
      <c r="BD52" s="31">
        <v>0</v>
      </c>
      <c r="BE52" s="31">
        <v>0</v>
      </c>
      <c r="BF52" s="31">
        <v>0</v>
      </c>
      <c r="BG52" s="26">
        <v>38762</v>
      </c>
      <c r="BH52" s="26">
        <v>0</v>
      </c>
      <c r="BI52" s="26">
        <v>38762</v>
      </c>
      <c r="BJ52" s="44">
        <v>0</v>
      </c>
      <c r="BK52" s="44">
        <v>0</v>
      </c>
      <c r="BL52" s="44">
        <v>0</v>
      </c>
    </row>
    <row r="53" spans="1:64" x14ac:dyDescent="0.25">
      <c r="A53" t="s">
        <v>39</v>
      </c>
      <c r="B53" s="21" t="s">
        <v>30</v>
      </c>
      <c r="C53" s="21" t="s">
        <v>113</v>
      </c>
      <c r="D53" s="14" t="s">
        <v>114</v>
      </c>
      <c r="AO53" s="30">
        <v>38762</v>
      </c>
      <c r="AQ53" s="30">
        <v>38762</v>
      </c>
      <c r="AR53" s="31" t="s">
        <v>119</v>
      </c>
      <c r="AS53" s="31" t="s">
        <v>119</v>
      </c>
      <c r="AT53" s="31" t="s">
        <v>119</v>
      </c>
      <c r="AU53" s="33">
        <v>38762</v>
      </c>
      <c r="AV53" s="33">
        <v>0</v>
      </c>
      <c r="AW53" s="33">
        <v>38762</v>
      </c>
      <c r="AX53" s="34">
        <v>0</v>
      </c>
      <c r="AY53" s="34">
        <v>0</v>
      </c>
      <c r="AZ53" s="34">
        <v>0</v>
      </c>
      <c r="BA53" s="30">
        <v>38762</v>
      </c>
      <c r="BB53" s="30">
        <v>0</v>
      </c>
      <c r="BC53" s="30">
        <v>38762</v>
      </c>
      <c r="BD53" s="31">
        <v>0</v>
      </c>
      <c r="BE53" s="31">
        <v>0</v>
      </c>
      <c r="BF53" s="31">
        <v>0</v>
      </c>
      <c r="BG53" s="26">
        <v>38762</v>
      </c>
      <c r="BH53" s="26">
        <v>0</v>
      </c>
      <c r="BI53" s="26">
        <v>38762</v>
      </c>
      <c r="BJ53" s="44">
        <v>0</v>
      </c>
      <c r="BK53" s="44">
        <v>0</v>
      </c>
      <c r="BL53" s="44">
        <v>0</v>
      </c>
    </row>
    <row r="54" spans="1:64" x14ac:dyDescent="0.25">
      <c r="A54" t="s">
        <v>39</v>
      </c>
      <c r="B54" s="21" t="s">
        <v>30</v>
      </c>
      <c r="C54" s="21" t="s">
        <v>115</v>
      </c>
      <c r="D54" s="14" t="s">
        <v>116</v>
      </c>
      <c r="AO54" s="30">
        <v>26320</v>
      </c>
      <c r="AQ54" s="30">
        <v>26320</v>
      </c>
      <c r="AR54" s="31" t="s">
        <v>119</v>
      </c>
      <c r="AS54" s="31" t="s">
        <v>119</v>
      </c>
      <c r="AT54" s="31" t="s">
        <v>119</v>
      </c>
      <c r="AU54" s="33">
        <v>26320</v>
      </c>
      <c r="AV54" s="33">
        <v>0</v>
      </c>
      <c r="AW54" s="33">
        <v>26320</v>
      </c>
      <c r="AX54" s="34">
        <v>0</v>
      </c>
      <c r="AY54" s="34">
        <v>0</v>
      </c>
      <c r="AZ54" s="34">
        <v>0</v>
      </c>
      <c r="BA54" s="30">
        <v>26320</v>
      </c>
      <c r="BB54" s="30">
        <v>0</v>
      </c>
      <c r="BC54" s="30">
        <v>26320</v>
      </c>
      <c r="BD54" s="31">
        <v>0</v>
      </c>
      <c r="BE54" s="31">
        <v>0</v>
      </c>
      <c r="BF54" s="31">
        <v>0</v>
      </c>
      <c r="BG54" s="26">
        <v>26320</v>
      </c>
      <c r="BH54" s="26">
        <v>0</v>
      </c>
      <c r="BI54" s="26">
        <v>26320</v>
      </c>
      <c r="BJ54" s="44">
        <v>0</v>
      </c>
      <c r="BK54" s="44">
        <v>0</v>
      </c>
      <c r="BL54" s="44">
        <v>0</v>
      </c>
    </row>
    <row r="55" spans="1:64" x14ac:dyDescent="0.25">
      <c r="A55" t="s">
        <v>39</v>
      </c>
      <c r="B55" s="21" t="s">
        <v>30</v>
      </c>
      <c r="C55" s="21" t="s">
        <v>117</v>
      </c>
      <c r="D55" s="14" t="s">
        <v>118</v>
      </c>
      <c r="AO55" s="30">
        <v>26320</v>
      </c>
      <c r="AQ55" s="30">
        <v>26320</v>
      </c>
      <c r="AR55" s="31" t="s">
        <v>119</v>
      </c>
      <c r="AS55" s="31" t="s">
        <v>119</v>
      </c>
      <c r="AT55" s="31" t="s">
        <v>119</v>
      </c>
      <c r="AU55" s="33">
        <v>26320</v>
      </c>
      <c r="AV55" s="33">
        <v>0</v>
      </c>
      <c r="AW55" s="33">
        <v>26320</v>
      </c>
      <c r="AX55" s="34">
        <v>0</v>
      </c>
      <c r="AY55" s="34">
        <v>0</v>
      </c>
      <c r="AZ55" s="34">
        <v>0</v>
      </c>
      <c r="BA55" s="30">
        <v>26320</v>
      </c>
      <c r="BB55" s="30">
        <v>0</v>
      </c>
      <c r="BC55" s="30">
        <v>26320</v>
      </c>
      <c r="BD55" s="31">
        <v>0</v>
      </c>
      <c r="BE55" s="31">
        <v>0</v>
      </c>
      <c r="BF55" s="31">
        <v>0</v>
      </c>
      <c r="BG55" s="26">
        <v>26320</v>
      </c>
      <c r="BH55" s="26">
        <v>0</v>
      </c>
      <c r="BI55" s="26">
        <v>26320</v>
      </c>
      <c r="BJ55" s="44">
        <v>0</v>
      </c>
      <c r="BK55" s="44">
        <v>0</v>
      </c>
      <c r="BL55" s="44">
        <v>0</v>
      </c>
    </row>
    <row r="56" spans="1:64" x14ac:dyDescent="0.25">
      <c r="A56" t="s">
        <v>39</v>
      </c>
      <c r="B56" s="21" t="s">
        <v>30</v>
      </c>
      <c r="C56" s="20" t="s">
        <v>120</v>
      </c>
      <c r="D56" s="14" t="s">
        <v>121</v>
      </c>
      <c r="AO56" s="30">
        <v>130</v>
      </c>
      <c r="AP56" s="30">
        <v>130</v>
      </c>
      <c r="AR56" s="31">
        <v>20</v>
      </c>
      <c r="AS56" s="31">
        <v>25</v>
      </c>
      <c r="AT56" s="31">
        <v>30</v>
      </c>
      <c r="AU56" s="33">
        <v>130</v>
      </c>
      <c r="AV56" s="33">
        <v>130</v>
      </c>
      <c r="AW56" s="33">
        <v>0</v>
      </c>
      <c r="AX56" s="34">
        <v>20</v>
      </c>
      <c r="AY56" s="34">
        <v>25</v>
      </c>
      <c r="AZ56" s="34">
        <v>30</v>
      </c>
      <c r="BA56" s="30">
        <v>130</v>
      </c>
      <c r="BB56" s="30">
        <v>130</v>
      </c>
      <c r="BC56" s="30">
        <v>0</v>
      </c>
      <c r="BD56" s="31">
        <v>526</v>
      </c>
      <c r="BE56" s="31">
        <v>962.75</v>
      </c>
      <c r="BF56" s="31">
        <v>1302.5</v>
      </c>
      <c r="BG56" s="26">
        <v>130</v>
      </c>
      <c r="BH56" s="26">
        <v>130</v>
      </c>
      <c r="BI56" s="26">
        <v>0</v>
      </c>
      <c r="BJ56" s="44">
        <v>75</v>
      </c>
      <c r="BK56" s="44">
        <v>75</v>
      </c>
      <c r="BL56" s="44">
        <v>75</v>
      </c>
    </row>
    <row r="57" spans="1:64" x14ac:dyDescent="0.25">
      <c r="A57" t="s">
        <v>39</v>
      </c>
      <c r="B57" s="21" t="s">
        <v>30</v>
      </c>
      <c r="C57" s="20" t="s">
        <v>122</v>
      </c>
      <c r="D57" s="14" t="s">
        <v>123</v>
      </c>
      <c r="AO57" s="30">
        <v>130</v>
      </c>
      <c r="AP57" s="30">
        <v>130</v>
      </c>
      <c r="AR57" s="31">
        <v>30</v>
      </c>
      <c r="AS57" s="31">
        <v>35</v>
      </c>
      <c r="AT57" s="31">
        <v>40</v>
      </c>
      <c r="AU57" s="33">
        <v>130</v>
      </c>
      <c r="AV57" s="33">
        <v>130</v>
      </c>
      <c r="AW57" s="33">
        <v>0</v>
      </c>
      <c r="AX57" s="34">
        <v>15</v>
      </c>
      <c r="AY57" s="34">
        <v>18</v>
      </c>
      <c r="AZ57" s="34">
        <v>20</v>
      </c>
      <c r="BA57" s="30">
        <v>130</v>
      </c>
      <c r="BB57" s="30">
        <v>130</v>
      </c>
      <c r="BC57" s="30">
        <v>0</v>
      </c>
      <c r="BD57" s="31">
        <v>715.30000000000007</v>
      </c>
      <c r="BE57" s="31">
        <v>869.2</v>
      </c>
      <c r="BF57" s="31">
        <v>1109.6000000000001</v>
      </c>
      <c r="BG57" s="26">
        <v>130</v>
      </c>
      <c r="BH57" s="26">
        <v>130</v>
      </c>
      <c r="BI57" s="26">
        <v>0</v>
      </c>
      <c r="BJ57" s="44">
        <v>100</v>
      </c>
      <c r="BK57" s="44">
        <v>100</v>
      </c>
      <c r="BL57" s="44">
        <v>100</v>
      </c>
    </row>
    <row r="58" spans="1:64" x14ac:dyDescent="0.25">
      <c r="A58" t="s">
        <v>39</v>
      </c>
      <c r="B58" s="21" t="s">
        <v>30</v>
      </c>
      <c r="C58" s="21" t="s">
        <v>124</v>
      </c>
      <c r="D58" s="14" t="s">
        <v>125</v>
      </c>
      <c r="AO58" s="30">
        <v>0</v>
      </c>
      <c r="AP58" s="30">
        <v>500</v>
      </c>
      <c r="AQ58" s="30">
        <v>-500</v>
      </c>
      <c r="AR58" s="31">
        <v>508</v>
      </c>
      <c r="AS58" s="31">
        <v>616</v>
      </c>
      <c r="AT58" s="31">
        <v>762</v>
      </c>
      <c r="AU58" s="33">
        <v>0</v>
      </c>
      <c r="AV58" s="33">
        <v>500</v>
      </c>
      <c r="AW58" s="33">
        <v>-500</v>
      </c>
      <c r="AX58" s="34">
        <v>15</v>
      </c>
      <c r="AY58" s="34">
        <v>15</v>
      </c>
      <c r="AZ58" s="34">
        <v>15</v>
      </c>
      <c r="BA58" s="30">
        <v>0</v>
      </c>
      <c r="BB58" s="30">
        <v>500</v>
      </c>
      <c r="BC58" s="30">
        <v>-500</v>
      </c>
      <c r="BD58" s="31">
        <v>0</v>
      </c>
      <c r="BE58" s="31">
        <v>0</v>
      </c>
      <c r="BF58" s="31">
        <v>0</v>
      </c>
      <c r="BG58" s="26">
        <v>0</v>
      </c>
      <c r="BH58" s="26">
        <v>500</v>
      </c>
      <c r="BI58" s="26">
        <v>-500</v>
      </c>
      <c r="BJ58" s="44">
        <v>1100</v>
      </c>
      <c r="BK58" s="44">
        <v>1500</v>
      </c>
      <c r="BL58" s="44">
        <v>2200</v>
      </c>
    </row>
    <row r="59" spans="1:64" x14ac:dyDescent="0.25">
      <c r="A59" t="s">
        <v>39</v>
      </c>
      <c r="B59" s="21" t="s">
        <v>30</v>
      </c>
      <c r="C59" s="20" t="s">
        <v>126</v>
      </c>
      <c r="D59" s="14" t="s">
        <v>127</v>
      </c>
      <c r="AO59" s="30">
        <v>1090</v>
      </c>
      <c r="AP59" s="30">
        <v>600</v>
      </c>
      <c r="AQ59" s="30">
        <v>490</v>
      </c>
      <c r="AR59" s="31">
        <v>100</v>
      </c>
      <c r="AS59" s="31">
        <v>110</v>
      </c>
      <c r="AT59" s="31">
        <v>120</v>
      </c>
      <c r="AU59" s="33">
        <v>1090</v>
      </c>
      <c r="AV59" s="33">
        <v>600</v>
      </c>
      <c r="AW59" s="33">
        <v>490</v>
      </c>
      <c r="AX59" s="34">
        <v>15</v>
      </c>
      <c r="AY59" s="34">
        <v>15</v>
      </c>
      <c r="AZ59" s="34">
        <v>15</v>
      </c>
      <c r="BA59" s="30">
        <v>1090</v>
      </c>
      <c r="BB59" s="30">
        <v>600</v>
      </c>
      <c r="BC59" s="30">
        <v>490</v>
      </c>
      <c r="BD59" s="31">
        <v>1000</v>
      </c>
      <c r="BE59" s="31">
        <v>2000</v>
      </c>
      <c r="BF59" s="31">
        <v>3000</v>
      </c>
      <c r="BG59" s="26">
        <v>1090</v>
      </c>
      <c r="BH59" s="26">
        <v>600</v>
      </c>
      <c r="BI59" s="26">
        <v>490</v>
      </c>
      <c r="BJ59" s="44">
        <v>300</v>
      </c>
      <c r="BK59" s="44">
        <v>400</v>
      </c>
      <c r="BL59" s="44">
        <v>690</v>
      </c>
    </row>
    <row r="60" spans="1:64" x14ac:dyDescent="0.25">
      <c r="A60" t="s">
        <v>39</v>
      </c>
      <c r="B60" s="21" t="s">
        <v>30</v>
      </c>
      <c r="C60" s="20" t="s">
        <v>128</v>
      </c>
      <c r="D60" s="14" t="s">
        <v>129</v>
      </c>
      <c r="AO60" s="30">
        <v>660</v>
      </c>
      <c r="AP60" s="30">
        <v>150</v>
      </c>
      <c r="AQ60" s="30">
        <v>510</v>
      </c>
      <c r="AR60" s="31">
        <v>15</v>
      </c>
      <c r="AS60" s="31">
        <v>15</v>
      </c>
      <c r="AT60" s="31">
        <v>15</v>
      </c>
      <c r="AU60" s="33">
        <v>660</v>
      </c>
      <c r="AV60" s="33">
        <v>150</v>
      </c>
      <c r="AW60" s="33">
        <v>510</v>
      </c>
      <c r="AX60" s="34">
        <v>4</v>
      </c>
      <c r="AY60" s="34">
        <v>5</v>
      </c>
      <c r="AZ60" s="34">
        <v>6</v>
      </c>
      <c r="BA60" s="30">
        <v>660</v>
      </c>
      <c r="BB60" s="30">
        <v>150</v>
      </c>
      <c r="BC60" s="30">
        <v>510</v>
      </c>
      <c r="BD60" s="31">
        <v>50</v>
      </c>
      <c r="BE60" s="31">
        <v>50</v>
      </c>
      <c r="BF60" s="31">
        <v>50</v>
      </c>
      <c r="BG60" s="26">
        <v>660</v>
      </c>
      <c r="BH60" s="26">
        <v>150</v>
      </c>
      <c r="BI60" s="26">
        <v>510</v>
      </c>
      <c r="BJ60" s="44">
        <v>50</v>
      </c>
      <c r="BK60" s="44">
        <v>50</v>
      </c>
      <c r="BL60" s="44">
        <v>100</v>
      </c>
    </row>
    <row r="61" spans="1:64" x14ac:dyDescent="0.25">
      <c r="A61" t="s">
        <v>39</v>
      </c>
      <c r="B61" s="21" t="s">
        <v>30</v>
      </c>
      <c r="C61" s="21" t="s">
        <v>130</v>
      </c>
      <c r="D61" s="14" t="s">
        <v>131</v>
      </c>
      <c r="AO61" s="30">
        <v>64</v>
      </c>
      <c r="AP61" s="30">
        <v>1000</v>
      </c>
      <c r="AQ61" s="30">
        <v>-936</v>
      </c>
      <c r="AR61" s="31">
        <v>20</v>
      </c>
      <c r="AS61" s="31">
        <v>25</v>
      </c>
      <c r="AT61" s="31">
        <v>30</v>
      </c>
      <c r="AU61" s="33">
        <v>64</v>
      </c>
      <c r="AV61" s="33">
        <v>1000</v>
      </c>
      <c r="AW61" s="33">
        <v>-936</v>
      </c>
      <c r="AX61" s="34">
        <v>6</v>
      </c>
      <c r="AY61" s="34">
        <v>7</v>
      </c>
      <c r="AZ61" s="34">
        <v>8</v>
      </c>
      <c r="BA61" s="30">
        <v>64</v>
      </c>
      <c r="BB61" s="30">
        <v>1000</v>
      </c>
      <c r="BC61" s="30">
        <v>-936</v>
      </c>
      <c r="BD61" s="31">
        <v>600</v>
      </c>
      <c r="BE61" s="31">
        <v>800</v>
      </c>
      <c r="BF61" s="31">
        <v>1000</v>
      </c>
      <c r="BG61" s="42">
        <v>64</v>
      </c>
      <c r="BH61" s="26">
        <v>1000</v>
      </c>
      <c r="BI61" s="26">
        <v>-936</v>
      </c>
      <c r="BJ61" s="44">
        <v>150</v>
      </c>
      <c r="BK61" s="44">
        <v>400</v>
      </c>
      <c r="BL61" s="44">
        <v>690</v>
      </c>
    </row>
    <row r="62" spans="1:64" x14ac:dyDescent="0.25">
      <c r="A62" t="s">
        <v>39</v>
      </c>
      <c r="B62" s="21" t="s">
        <v>30</v>
      </c>
      <c r="C62" s="21" t="s">
        <v>132</v>
      </c>
      <c r="D62" s="14" t="s">
        <v>133</v>
      </c>
      <c r="AO62" s="30">
        <v>855</v>
      </c>
      <c r="AP62" s="30">
        <v>200</v>
      </c>
      <c r="AQ62" s="30">
        <v>655</v>
      </c>
      <c r="AR62" s="31">
        <v>15</v>
      </c>
      <c r="AS62" s="31">
        <v>17</v>
      </c>
      <c r="AT62" s="31">
        <v>20</v>
      </c>
      <c r="AU62" s="33">
        <v>855</v>
      </c>
      <c r="AV62" s="33">
        <v>200</v>
      </c>
      <c r="AW62" s="33">
        <v>655</v>
      </c>
      <c r="AX62" s="34">
        <v>1</v>
      </c>
      <c r="AY62" s="34">
        <v>1</v>
      </c>
      <c r="AZ62" s="34">
        <v>1</v>
      </c>
      <c r="BA62" s="30">
        <v>855</v>
      </c>
      <c r="BB62" s="30">
        <v>200</v>
      </c>
      <c r="BC62" s="30">
        <v>655</v>
      </c>
      <c r="BD62" s="31">
        <v>100</v>
      </c>
      <c r="BE62" s="31">
        <v>200</v>
      </c>
      <c r="BF62" s="31">
        <v>300</v>
      </c>
      <c r="BG62" s="26">
        <v>855</v>
      </c>
      <c r="BH62" s="26">
        <v>200</v>
      </c>
      <c r="BI62" s="26">
        <v>655</v>
      </c>
      <c r="BJ62" s="44">
        <v>20</v>
      </c>
      <c r="BK62" s="44">
        <v>40</v>
      </c>
      <c r="BL62" s="44">
        <v>100</v>
      </c>
    </row>
    <row r="63" spans="1:64" x14ac:dyDescent="0.25">
      <c r="A63" t="s">
        <v>39</v>
      </c>
      <c r="B63" s="20" t="s">
        <v>134</v>
      </c>
      <c r="C63" s="21" t="s">
        <v>161</v>
      </c>
      <c r="D63" s="14" t="s">
        <v>162</v>
      </c>
      <c r="AO63" s="30">
        <v>5500</v>
      </c>
      <c r="AP63" s="30">
        <v>5500</v>
      </c>
      <c r="AQ63" s="30">
        <v>0</v>
      </c>
      <c r="AR63" s="31">
        <v>5</v>
      </c>
      <c r="AS63" s="31">
        <v>5</v>
      </c>
      <c r="AT63" s="31">
        <v>5</v>
      </c>
      <c r="AU63" s="33">
        <v>0</v>
      </c>
      <c r="AV63" s="33">
        <v>0</v>
      </c>
      <c r="AW63" s="33">
        <v>0</v>
      </c>
      <c r="AX63" s="34">
        <v>0</v>
      </c>
      <c r="AY63" s="34">
        <v>0</v>
      </c>
      <c r="AZ63" s="34">
        <v>0</v>
      </c>
      <c r="BA63" s="30">
        <v>25000</v>
      </c>
      <c r="BB63" s="30">
        <v>25000</v>
      </c>
      <c r="BC63" s="30">
        <v>0</v>
      </c>
      <c r="BD63" s="31">
        <v>0</v>
      </c>
      <c r="BE63" s="31">
        <v>0</v>
      </c>
      <c r="BF63" s="31">
        <v>0</v>
      </c>
      <c r="BG63" s="26">
        <v>0</v>
      </c>
      <c r="BH63" s="26">
        <v>0</v>
      </c>
      <c r="BI63" s="26">
        <v>0</v>
      </c>
      <c r="BJ63" s="44">
        <v>0</v>
      </c>
      <c r="BK63" s="44">
        <v>0</v>
      </c>
      <c r="BL63" s="44">
        <v>0</v>
      </c>
    </row>
    <row r="64" spans="1:64" x14ac:dyDescent="0.25">
      <c r="A64" t="s">
        <v>39</v>
      </c>
      <c r="B64" s="20" t="s">
        <v>134</v>
      </c>
      <c r="C64" s="21" t="s">
        <v>135</v>
      </c>
      <c r="D64" s="14" t="s">
        <v>136</v>
      </c>
      <c r="AO64" s="30">
        <v>18000</v>
      </c>
      <c r="AP64" s="30">
        <v>18000</v>
      </c>
      <c r="AQ64" s="30">
        <v>0</v>
      </c>
      <c r="AR64" s="31">
        <v>34</v>
      </c>
      <c r="AS64" s="31">
        <v>48</v>
      </c>
      <c r="AT64" s="31">
        <v>57</v>
      </c>
      <c r="AU64" s="33">
        <v>18000</v>
      </c>
      <c r="AV64" s="33">
        <v>18000</v>
      </c>
      <c r="AW64" s="33">
        <v>0</v>
      </c>
      <c r="AX64" s="34">
        <v>0</v>
      </c>
      <c r="AY64" s="34">
        <v>0</v>
      </c>
      <c r="AZ64" s="34">
        <v>0</v>
      </c>
      <c r="BA64" s="30">
        <v>18000</v>
      </c>
      <c r="BB64" s="30">
        <v>18000</v>
      </c>
      <c r="BC64" s="30">
        <v>0</v>
      </c>
      <c r="BD64" s="31">
        <v>100</v>
      </c>
      <c r="BE64" s="31">
        <v>150</v>
      </c>
      <c r="BF64" s="31">
        <v>150</v>
      </c>
      <c r="BG64" s="26">
        <v>18000</v>
      </c>
      <c r="BH64" s="26">
        <v>18000</v>
      </c>
      <c r="BI64" s="26">
        <v>0</v>
      </c>
      <c r="BJ64" s="44">
        <v>5</v>
      </c>
      <c r="BK64" s="44">
        <v>5.25</v>
      </c>
      <c r="BL64" s="44">
        <v>5.6175000000000006</v>
      </c>
    </row>
    <row r="65" spans="1:64" x14ac:dyDescent="0.25">
      <c r="A65" t="s">
        <v>39</v>
      </c>
      <c r="B65" s="20" t="s">
        <v>134</v>
      </c>
      <c r="C65" s="21" t="s">
        <v>137</v>
      </c>
      <c r="D65" s="14" t="s">
        <v>138</v>
      </c>
      <c r="AO65" s="30">
        <v>13000</v>
      </c>
      <c r="AP65" s="30">
        <v>13000</v>
      </c>
      <c r="AQ65" s="30">
        <v>0</v>
      </c>
      <c r="AR65" s="31">
        <v>0</v>
      </c>
      <c r="AS65" s="31">
        <v>0</v>
      </c>
      <c r="AT65" s="31">
        <v>0</v>
      </c>
      <c r="AU65" s="33">
        <v>13000</v>
      </c>
      <c r="AV65" s="33">
        <v>13000</v>
      </c>
      <c r="AW65" s="33">
        <v>0</v>
      </c>
      <c r="AX65" s="34">
        <v>2</v>
      </c>
      <c r="AY65" s="34">
        <v>3</v>
      </c>
      <c r="AZ65" s="34">
        <v>4</v>
      </c>
      <c r="BA65" s="30">
        <v>13000</v>
      </c>
      <c r="BB65" s="30">
        <v>13000</v>
      </c>
      <c r="BC65" s="30">
        <v>0</v>
      </c>
      <c r="BD65" s="31">
        <v>50</v>
      </c>
      <c r="BE65" s="31">
        <v>100</v>
      </c>
      <c r="BF65" s="31">
        <v>200</v>
      </c>
      <c r="BG65" s="26">
        <v>13000</v>
      </c>
      <c r="BH65" s="26">
        <v>13000</v>
      </c>
      <c r="BI65" s="26">
        <v>0</v>
      </c>
      <c r="BJ65" s="44">
        <v>66.400000000000006</v>
      </c>
      <c r="BK65" s="44">
        <v>69.720000000000013</v>
      </c>
      <c r="BL65" s="44">
        <v>74.600400000000022</v>
      </c>
    </row>
    <row r="66" spans="1:64" x14ac:dyDescent="0.25">
      <c r="A66" t="s">
        <v>39</v>
      </c>
      <c r="B66" s="20" t="s">
        <v>134</v>
      </c>
      <c r="C66" s="21" t="s">
        <v>139</v>
      </c>
      <c r="D66" s="14" t="s">
        <v>140</v>
      </c>
      <c r="AO66" s="30">
        <v>13000</v>
      </c>
      <c r="AP66" s="30">
        <v>13000</v>
      </c>
      <c r="AQ66" s="30">
        <v>0</v>
      </c>
      <c r="AR66" s="31">
        <v>0</v>
      </c>
      <c r="AS66" s="31">
        <v>0</v>
      </c>
      <c r="AT66" s="31">
        <v>0</v>
      </c>
      <c r="AU66" s="33">
        <v>13000</v>
      </c>
      <c r="AV66" s="33">
        <v>13000</v>
      </c>
      <c r="AW66" s="33">
        <v>0</v>
      </c>
      <c r="AX66" s="34">
        <v>0</v>
      </c>
      <c r="AY66" s="34">
        <v>0</v>
      </c>
      <c r="AZ66" s="34">
        <v>0</v>
      </c>
      <c r="BA66" s="30">
        <v>13000</v>
      </c>
      <c r="BB66" s="30">
        <v>13000</v>
      </c>
      <c r="BC66" s="30">
        <v>0</v>
      </c>
      <c r="BD66" s="31">
        <v>50</v>
      </c>
      <c r="BE66" s="31">
        <v>64</v>
      </c>
      <c r="BF66" s="31">
        <v>84</v>
      </c>
      <c r="BG66" s="26">
        <v>13000</v>
      </c>
      <c r="BH66" s="26">
        <v>13000</v>
      </c>
      <c r="BI66" s="26">
        <v>0</v>
      </c>
      <c r="BJ66" s="44">
        <v>3.2</v>
      </c>
      <c r="BK66" s="44">
        <v>3.3600000000000003</v>
      </c>
      <c r="BL66" s="44">
        <v>3.5952000000000006</v>
      </c>
    </row>
    <row r="67" spans="1:64" x14ac:dyDescent="0.25">
      <c r="A67" t="s">
        <v>39</v>
      </c>
      <c r="B67" s="20" t="s">
        <v>134</v>
      </c>
      <c r="C67" s="21" t="s">
        <v>141</v>
      </c>
      <c r="D67" s="14" t="s">
        <v>142</v>
      </c>
      <c r="AO67" s="30">
        <v>30000</v>
      </c>
      <c r="AP67" s="30">
        <v>30000</v>
      </c>
      <c r="AQ67" s="30">
        <v>0</v>
      </c>
      <c r="AR67" s="31">
        <v>7</v>
      </c>
      <c r="AS67" s="31">
        <v>8</v>
      </c>
      <c r="AT67" s="31">
        <v>10</v>
      </c>
      <c r="AU67" s="33">
        <v>30000</v>
      </c>
      <c r="AV67" s="33">
        <v>30000</v>
      </c>
      <c r="AW67" s="33">
        <v>0</v>
      </c>
      <c r="AX67" s="34">
        <v>2</v>
      </c>
      <c r="AY67" s="34">
        <v>2</v>
      </c>
      <c r="AZ67" s="34">
        <v>3</v>
      </c>
      <c r="BA67" s="30">
        <v>30000</v>
      </c>
      <c r="BB67" s="30">
        <v>30000</v>
      </c>
      <c r="BC67" s="30">
        <v>0</v>
      </c>
      <c r="BD67" s="31">
        <v>50</v>
      </c>
      <c r="BE67" s="31">
        <v>64</v>
      </c>
      <c r="BF67" s="31">
        <v>84</v>
      </c>
      <c r="BG67" s="26">
        <v>30000</v>
      </c>
      <c r="BH67" s="26">
        <v>30000</v>
      </c>
      <c r="BI67" s="26">
        <v>0</v>
      </c>
      <c r="BJ67" s="44">
        <v>275</v>
      </c>
      <c r="BK67" s="44">
        <v>288.75</v>
      </c>
      <c r="BL67" s="44">
        <v>308.96250000000003</v>
      </c>
    </row>
    <row r="68" spans="1:64" x14ac:dyDescent="0.25">
      <c r="A68" t="s">
        <v>39</v>
      </c>
      <c r="B68" s="20" t="s">
        <v>134</v>
      </c>
      <c r="C68" s="21" t="s">
        <v>143</v>
      </c>
      <c r="D68" s="14" t="s">
        <v>144</v>
      </c>
      <c r="AO68" s="30">
        <v>30000</v>
      </c>
      <c r="AP68" s="30">
        <v>30000</v>
      </c>
      <c r="AQ68" s="30">
        <v>0</v>
      </c>
      <c r="AR68" s="31">
        <v>6</v>
      </c>
      <c r="AS68" s="31">
        <v>7</v>
      </c>
      <c r="AT68" s="31">
        <v>9</v>
      </c>
      <c r="AU68" s="33">
        <v>30000</v>
      </c>
      <c r="AV68" s="33">
        <v>30000</v>
      </c>
      <c r="AW68" s="33">
        <v>0</v>
      </c>
      <c r="AX68" s="34">
        <v>0</v>
      </c>
      <c r="AY68" s="34">
        <v>0</v>
      </c>
      <c r="AZ68" s="34">
        <v>0</v>
      </c>
      <c r="BA68" s="30">
        <v>30000</v>
      </c>
      <c r="BB68" s="30">
        <v>30000</v>
      </c>
      <c r="BC68" s="30">
        <v>0</v>
      </c>
      <c r="BD68" s="31">
        <v>50</v>
      </c>
      <c r="BE68" s="31">
        <v>64</v>
      </c>
      <c r="BF68" s="31">
        <v>84</v>
      </c>
      <c r="BG68" s="26">
        <v>30000</v>
      </c>
      <c r="BH68" s="26">
        <v>30000</v>
      </c>
      <c r="BI68" s="26">
        <v>0</v>
      </c>
      <c r="BJ68" s="44">
        <v>7</v>
      </c>
      <c r="BK68" s="44">
        <v>7.3500000000000005</v>
      </c>
      <c r="BL68" s="44">
        <v>7.8645000000000014</v>
      </c>
    </row>
    <row r="69" spans="1:64" x14ac:dyDescent="0.25">
      <c r="A69" t="s">
        <v>39</v>
      </c>
      <c r="B69" s="20" t="s">
        <v>134</v>
      </c>
      <c r="C69" s="21" t="s">
        <v>145</v>
      </c>
      <c r="D69" s="14" t="s">
        <v>146</v>
      </c>
      <c r="AO69" s="30">
        <v>18000</v>
      </c>
      <c r="AP69" s="30">
        <v>18000</v>
      </c>
      <c r="AQ69" s="30">
        <v>0</v>
      </c>
      <c r="AR69" s="31">
        <v>0</v>
      </c>
      <c r="AS69" s="31">
        <v>0</v>
      </c>
      <c r="AT69" s="31">
        <v>0</v>
      </c>
      <c r="AU69" s="33">
        <v>18000</v>
      </c>
      <c r="AV69" s="33">
        <v>18000</v>
      </c>
      <c r="AW69" s="33">
        <v>0</v>
      </c>
      <c r="AX69" s="34">
        <v>0</v>
      </c>
      <c r="AY69" s="34">
        <v>0</v>
      </c>
      <c r="AZ69" s="34">
        <v>0</v>
      </c>
      <c r="BA69" s="30">
        <v>18000</v>
      </c>
      <c r="BB69" s="30">
        <v>18000</v>
      </c>
      <c r="BC69" s="30">
        <v>0</v>
      </c>
      <c r="BD69" s="31">
        <v>50</v>
      </c>
      <c r="BE69" s="31">
        <v>64</v>
      </c>
      <c r="BF69" s="31">
        <v>84</v>
      </c>
      <c r="BG69" s="26">
        <v>18000</v>
      </c>
      <c r="BH69" s="26">
        <v>18000</v>
      </c>
      <c r="BI69" s="26">
        <v>0</v>
      </c>
      <c r="BJ69" s="44">
        <v>200</v>
      </c>
      <c r="BK69" s="44">
        <v>210</v>
      </c>
      <c r="BL69" s="44">
        <v>224.70000000000002</v>
      </c>
    </row>
    <row r="70" spans="1:64" x14ac:dyDescent="0.25">
      <c r="A70" t="s">
        <v>39</v>
      </c>
      <c r="B70" s="20" t="s">
        <v>134</v>
      </c>
      <c r="C70" s="21" t="s">
        <v>147</v>
      </c>
      <c r="D70" s="14" t="s">
        <v>148</v>
      </c>
      <c r="AO70" s="30">
        <v>18000</v>
      </c>
      <c r="AP70" s="30">
        <v>18000</v>
      </c>
      <c r="AQ70" s="30">
        <v>0</v>
      </c>
      <c r="AR70" s="31">
        <v>5</v>
      </c>
      <c r="AS70" s="31">
        <v>5</v>
      </c>
      <c r="AT70" s="31">
        <v>5</v>
      </c>
      <c r="AU70" s="33">
        <v>18000</v>
      </c>
      <c r="AV70" s="33">
        <v>18000</v>
      </c>
      <c r="AW70" s="33">
        <v>0</v>
      </c>
      <c r="AX70" s="34">
        <v>0</v>
      </c>
      <c r="AY70" s="34">
        <v>0</v>
      </c>
      <c r="AZ70" s="34">
        <v>0</v>
      </c>
      <c r="BA70" s="30">
        <v>18000</v>
      </c>
      <c r="BB70" s="30">
        <v>18000</v>
      </c>
      <c r="BC70" s="30">
        <v>0</v>
      </c>
      <c r="BD70" s="31">
        <v>50</v>
      </c>
      <c r="BE70" s="31">
        <v>64</v>
      </c>
      <c r="BF70" s="31">
        <v>84</v>
      </c>
      <c r="BG70" s="26">
        <v>18000</v>
      </c>
      <c r="BH70" s="26">
        <v>18000</v>
      </c>
      <c r="BI70" s="26">
        <v>0</v>
      </c>
      <c r="BJ70" s="44">
        <v>0</v>
      </c>
      <c r="BK70" s="44">
        <v>0</v>
      </c>
      <c r="BL70" s="44">
        <v>0</v>
      </c>
    </row>
    <row r="71" spans="1:64" x14ac:dyDescent="0.25">
      <c r="A71" t="s">
        <v>39</v>
      </c>
      <c r="B71" s="20" t="s">
        <v>134</v>
      </c>
      <c r="C71" s="21" t="s">
        <v>149</v>
      </c>
      <c r="D71" s="14" t="s">
        <v>150</v>
      </c>
      <c r="AO71" s="30">
        <v>35000</v>
      </c>
      <c r="AP71" s="30">
        <v>35000</v>
      </c>
      <c r="AQ71" s="30">
        <v>0</v>
      </c>
      <c r="AR71" s="31">
        <v>0</v>
      </c>
      <c r="AS71" s="31">
        <v>0</v>
      </c>
      <c r="AT71" s="31">
        <v>0</v>
      </c>
      <c r="AU71" s="33">
        <v>35000</v>
      </c>
      <c r="AV71" s="33">
        <v>35000</v>
      </c>
      <c r="AW71" s="33">
        <v>0</v>
      </c>
      <c r="AX71" s="34">
        <v>0</v>
      </c>
      <c r="AY71" s="34">
        <v>0</v>
      </c>
      <c r="AZ71" s="34">
        <v>0</v>
      </c>
      <c r="BA71" s="30">
        <v>35000</v>
      </c>
      <c r="BB71" s="30">
        <v>35000</v>
      </c>
      <c r="BC71" s="30">
        <v>0</v>
      </c>
      <c r="BD71" s="31">
        <v>0</v>
      </c>
      <c r="BE71" s="31">
        <v>0</v>
      </c>
      <c r="BF71" s="31">
        <v>0</v>
      </c>
      <c r="BG71" s="26">
        <v>35000</v>
      </c>
      <c r="BH71" s="26">
        <v>35000</v>
      </c>
      <c r="BI71" s="26">
        <v>0</v>
      </c>
      <c r="BJ71" s="44">
        <v>0</v>
      </c>
      <c r="BK71" s="44">
        <v>0</v>
      </c>
      <c r="BL71" s="44">
        <v>0</v>
      </c>
    </row>
    <row r="72" spans="1:64" x14ac:dyDescent="0.25">
      <c r="A72" t="s">
        <v>39</v>
      </c>
      <c r="B72" s="20" t="s">
        <v>134</v>
      </c>
      <c r="C72" s="21" t="s">
        <v>151</v>
      </c>
      <c r="D72" s="14" t="s">
        <v>152</v>
      </c>
      <c r="AO72" s="30">
        <v>35000</v>
      </c>
      <c r="AP72" s="30">
        <v>35000</v>
      </c>
      <c r="AQ72" s="30">
        <v>0</v>
      </c>
      <c r="AR72" s="31">
        <v>0</v>
      </c>
      <c r="AS72" s="31">
        <v>0</v>
      </c>
      <c r="AT72" s="31">
        <v>0</v>
      </c>
      <c r="AU72" s="33">
        <v>35000</v>
      </c>
      <c r="AV72" s="33">
        <v>35000</v>
      </c>
      <c r="AW72" s="33">
        <v>0</v>
      </c>
      <c r="AX72" s="34">
        <v>0</v>
      </c>
      <c r="AY72" s="34">
        <v>0</v>
      </c>
      <c r="AZ72" s="34">
        <v>0</v>
      </c>
      <c r="BA72" s="30">
        <v>35000</v>
      </c>
      <c r="BB72" s="30">
        <v>35000</v>
      </c>
      <c r="BC72" s="30">
        <v>0</v>
      </c>
      <c r="BD72" s="31">
        <v>0</v>
      </c>
      <c r="BE72" s="31">
        <v>0</v>
      </c>
      <c r="BF72" s="31">
        <v>0</v>
      </c>
      <c r="BG72" s="26">
        <v>35000</v>
      </c>
      <c r="BH72" s="26">
        <v>35000</v>
      </c>
      <c r="BI72" s="26">
        <v>0</v>
      </c>
      <c r="BJ72" s="44">
        <v>0</v>
      </c>
      <c r="BK72" s="44">
        <v>0</v>
      </c>
      <c r="BL72" s="44">
        <v>0</v>
      </c>
    </row>
    <row r="73" spans="1:64" x14ac:dyDescent="0.25">
      <c r="A73" t="s">
        <v>39</v>
      </c>
      <c r="B73" s="20" t="s">
        <v>134</v>
      </c>
      <c r="C73" s="21" t="s">
        <v>153</v>
      </c>
      <c r="D73" s="14" t="s">
        <v>154</v>
      </c>
      <c r="AO73" s="30">
        <v>4000</v>
      </c>
      <c r="AP73" s="30">
        <v>4000</v>
      </c>
      <c r="AQ73" s="30">
        <v>0</v>
      </c>
      <c r="AR73" s="31">
        <v>22</v>
      </c>
      <c r="AS73" s="31">
        <v>31</v>
      </c>
      <c r="AT73" s="31">
        <v>38</v>
      </c>
      <c r="AU73" s="33">
        <v>1090</v>
      </c>
      <c r="AV73" s="33">
        <v>1090</v>
      </c>
      <c r="AW73" s="33">
        <v>0</v>
      </c>
      <c r="AX73" s="34">
        <v>1</v>
      </c>
      <c r="AY73" s="34">
        <v>2</v>
      </c>
      <c r="AZ73" s="34">
        <v>3</v>
      </c>
      <c r="BA73" s="30">
        <v>5000</v>
      </c>
      <c r="BB73" s="30">
        <v>5000</v>
      </c>
      <c r="BC73" s="30">
        <v>0</v>
      </c>
      <c r="BD73" s="31">
        <v>10</v>
      </c>
      <c r="BE73" s="31">
        <v>10</v>
      </c>
      <c r="BF73" s="31">
        <v>10</v>
      </c>
      <c r="BG73" s="26">
        <v>0</v>
      </c>
      <c r="BH73" s="26">
        <v>0</v>
      </c>
      <c r="BI73" s="26">
        <v>0</v>
      </c>
      <c r="BJ73" s="44">
        <v>0</v>
      </c>
      <c r="BK73" s="44">
        <v>0</v>
      </c>
      <c r="BL73" s="44">
        <v>0</v>
      </c>
    </row>
    <row r="74" spans="1:64" x14ac:dyDescent="0.25">
      <c r="A74" t="s">
        <v>39</v>
      </c>
      <c r="B74" s="20" t="s">
        <v>134</v>
      </c>
      <c r="C74" s="21" t="s">
        <v>155</v>
      </c>
      <c r="D74" s="14" t="s">
        <v>156</v>
      </c>
      <c r="AO74" s="30">
        <v>5000</v>
      </c>
      <c r="AP74" s="30">
        <v>5000</v>
      </c>
      <c r="AQ74" s="30">
        <v>0</v>
      </c>
      <c r="AR74" s="31">
        <v>2</v>
      </c>
      <c r="AS74" s="31">
        <v>2</v>
      </c>
      <c r="AT74" s="31">
        <v>2</v>
      </c>
      <c r="AU74" s="33">
        <v>0</v>
      </c>
      <c r="AV74" s="33">
        <v>0</v>
      </c>
      <c r="AW74" s="33">
        <v>0</v>
      </c>
      <c r="AX74" s="34">
        <v>0</v>
      </c>
      <c r="AY74" s="34">
        <v>0</v>
      </c>
      <c r="AZ74" s="34">
        <v>0</v>
      </c>
      <c r="BA74" s="30">
        <v>0</v>
      </c>
      <c r="BB74" s="30">
        <v>0</v>
      </c>
      <c r="BC74" s="30">
        <v>0</v>
      </c>
      <c r="BD74" s="31">
        <v>0</v>
      </c>
      <c r="BE74" s="31">
        <v>0</v>
      </c>
      <c r="BF74" s="31">
        <v>0</v>
      </c>
      <c r="BG74" s="26">
        <v>0</v>
      </c>
      <c r="BH74" s="26">
        <v>0</v>
      </c>
      <c r="BI74" s="26">
        <v>0</v>
      </c>
      <c r="BJ74" s="44">
        <v>0</v>
      </c>
      <c r="BK74" s="44">
        <v>0</v>
      </c>
      <c r="BL74" s="44">
        <v>0</v>
      </c>
    </row>
    <row r="75" spans="1:64" x14ac:dyDescent="0.25">
      <c r="A75" t="s">
        <v>39</v>
      </c>
      <c r="B75" s="20" t="s">
        <v>134</v>
      </c>
      <c r="C75" s="21" t="s">
        <v>157</v>
      </c>
      <c r="D75" s="14" t="s">
        <v>158</v>
      </c>
      <c r="AO75" s="30">
        <v>6000</v>
      </c>
      <c r="AP75" s="30">
        <v>6000</v>
      </c>
      <c r="AQ75" s="30">
        <v>0</v>
      </c>
      <c r="AR75" s="31">
        <v>3</v>
      </c>
      <c r="AS75" s="31">
        <v>5</v>
      </c>
      <c r="AT75" s="31">
        <v>6</v>
      </c>
      <c r="AU75" s="33">
        <v>0</v>
      </c>
      <c r="AV75" s="33">
        <v>0</v>
      </c>
      <c r="AW75" s="33">
        <v>0</v>
      </c>
      <c r="AX75" s="34">
        <v>0</v>
      </c>
      <c r="AY75" s="34">
        <v>0</v>
      </c>
      <c r="AZ75" s="34">
        <v>0</v>
      </c>
      <c r="BA75" s="30">
        <v>5000</v>
      </c>
      <c r="BB75" s="30">
        <v>5000</v>
      </c>
      <c r="BC75" s="30">
        <v>0</v>
      </c>
      <c r="BD75" s="31">
        <v>57</v>
      </c>
      <c r="BE75" s="31">
        <v>57</v>
      </c>
      <c r="BF75" s="31">
        <v>58</v>
      </c>
      <c r="BG75" s="26">
        <v>2700</v>
      </c>
      <c r="BH75" s="26">
        <v>2700</v>
      </c>
      <c r="BI75" s="26">
        <v>0</v>
      </c>
      <c r="BJ75" s="44">
        <v>130</v>
      </c>
      <c r="BK75" s="44">
        <v>130</v>
      </c>
      <c r="BL75" s="44">
        <v>130</v>
      </c>
    </row>
    <row r="76" spans="1:64" x14ac:dyDescent="0.25">
      <c r="A76" t="s">
        <v>39</v>
      </c>
      <c r="B76" s="20" t="s">
        <v>134</v>
      </c>
      <c r="C76" s="21" t="s">
        <v>159</v>
      </c>
      <c r="D76" s="14" t="s">
        <v>160</v>
      </c>
      <c r="AO76" s="30">
        <v>6000</v>
      </c>
      <c r="AP76" s="30">
        <v>6000</v>
      </c>
      <c r="AQ76" s="30">
        <v>0</v>
      </c>
      <c r="AR76" s="31">
        <v>7</v>
      </c>
      <c r="AS76" s="31">
        <v>10</v>
      </c>
      <c r="AT76" s="31">
        <v>11</v>
      </c>
      <c r="AU76" s="33">
        <v>0</v>
      </c>
      <c r="AV76" s="33">
        <v>0</v>
      </c>
      <c r="AW76" s="33">
        <v>0</v>
      </c>
      <c r="AX76" s="34">
        <v>0</v>
      </c>
      <c r="AY76" s="34">
        <v>0</v>
      </c>
      <c r="AZ76" s="34">
        <v>0</v>
      </c>
      <c r="BA76" s="30">
        <v>5000</v>
      </c>
      <c r="BB76" s="30">
        <v>5000</v>
      </c>
      <c r="BC76" s="30">
        <v>0</v>
      </c>
      <c r="BD76" s="31">
        <v>88</v>
      </c>
      <c r="BE76" s="31">
        <v>94</v>
      </c>
      <c r="BF76" s="31">
        <v>94</v>
      </c>
      <c r="BG76" s="26">
        <v>2700</v>
      </c>
      <c r="BH76" s="26">
        <v>2700</v>
      </c>
      <c r="BI76" s="26">
        <v>0</v>
      </c>
      <c r="BJ76" s="44">
        <v>20</v>
      </c>
      <c r="BK76" s="44">
        <v>20</v>
      </c>
      <c r="BL76" s="44">
        <v>20</v>
      </c>
    </row>
    <row r="77" spans="1:64" x14ac:dyDescent="0.25">
      <c r="A77" t="s">
        <v>39</v>
      </c>
      <c r="B77" s="20" t="s">
        <v>134</v>
      </c>
      <c r="C77" s="21" t="s">
        <v>163</v>
      </c>
      <c r="D77" s="14" t="s">
        <v>164</v>
      </c>
      <c r="AO77" s="30">
        <v>4000</v>
      </c>
      <c r="AP77" s="30">
        <v>4000</v>
      </c>
      <c r="AQ77" s="30">
        <v>0</v>
      </c>
      <c r="AR77" s="31">
        <v>17</v>
      </c>
      <c r="AS77" s="31">
        <v>21</v>
      </c>
      <c r="AT77" s="31">
        <v>26</v>
      </c>
      <c r="AU77" s="33">
        <v>0</v>
      </c>
      <c r="AV77" s="33">
        <v>0</v>
      </c>
      <c r="AW77" s="33">
        <v>0</v>
      </c>
      <c r="AX77" s="34">
        <v>0</v>
      </c>
      <c r="AY77" s="34">
        <v>0</v>
      </c>
      <c r="AZ77" s="34">
        <v>0</v>
      </c>
      <c r="BA77" s="30">
        <v>5000</v>
      </c>
      <c r="BB77" s="30">
        <v>5000</v>
      </c>
      <c r="BC77" s="30">
        <v>0</v>
      </c>
      <c r="BD77" s="31">
        <v>5</v>
      </c>
      <c r="BE77" s="31">
        <v>5</v>
      </c>
      <c r="BF77" s="31">
        <v>5</v>
      </c>
      <c r="BG77" s="26" t="s">
        <v>220</v>
      </c>
      <c r="BH77" s="26">
        <v>2700</v>
      </c>
      <c r="BI77" s="26">
        <v>0</v>
      </c>
      <c r="BJ77" s="44">
        <v>25</v>
      </c>
      <c r="BK77" s="44">
        <v>26.25</v>
      </c>
      <c r="BL77" s="44">
        <v>28.087500000000002</v>
      </c>
    </row>
    <row r="78" spans="1:64" x14ac:dyDescent="0.25">
      <c r="A78" t="s">
        <v>39</v>
      </c>
      <c r="B78" s="20" t="s">
        <v>134</v>
      </c>
      <c r="C78" s="21" t="s">
        <v>165</v>
      </c>
      <c r="D78" s="14" t="s">
        <v>166</v>
      </c>
      <c r="AO78" s="30">
        <v>0</v>
      </c>
      <c r="AP78" s="30">
        <v>0</v>
      </c>
      <c r="AQ78" s="30">
        <v>0</v>
      </c>
      <c r="AR78" s="31" t="s">
        <v>119</v>
      </c>
      <c r="AS78" s="31" t="s">
        <v>119</v>
      </c>
      <c r="AT78" s="31" t="s">
        <v>119</v>
      </c>
      <c r="AU78" s="33">
        <v>0</v>
      </c>
      <c r="AV78" s="33">
        <v>0</v>
      </c>
      <c r="AW78" s="33">
        <v>0</v>
      </c>
      <c r="AX78" s="34">
        <v>0</v>
      </c>
      <c r="AY78" s="34">
        <v>0</v>
      </c>
      <c r="AZ78" s="34">
        <v>0</v>
      </c>
      <c r="BA78" s="30">
        <v>0</v>
      </c>
      <c r="BB78" s="30">
        <v>0</v>
      </c>
      <c r="BC78" s="30">
        <v>0</v>
      </c>
      <c r="BD78" s="31">
        <v>0</v>
      </c>
      <c r="BE78" s="31">
        <v>0</v>
      </c>
      <c r="BF78" s="31">
        <v>0</v>
      </c>
      <c r="BG78" s="26">
        <v>0</v>
      </c>
      <c r="BH78" s="26">
        <v>0</v>
      </c>
      <c r="BI78" s="26">
        <v>0</v>
      </c>
      <c r="BJ78" s="44">
        <v>0</v>
      </c>
      <c r="BK78" s="44">
        <v>0</v>
      </c>
      <c r="BL78" s="44">
        <v>0</v>
      </c>
    </row>
    <row r="79" spans="1:64" x14ac:dyDescent="0.25">
      <c r="A79" t="s">
        <v>39</v>
      </c>
      <c r="B79" s="20" t="s">
        <v>134</v>
      </c>
      <c r="C79" s="21" t="s">
        <v>167</v>
      </c>
      <c r="D79" s="14" t="s">
        <v>168</v>
      </c>
      <c r="AO79" s="30">
        <v>0</v>
      </c>
      <c r="AP79" s="30">
        <v>0</v>
      </c>
      <c r="AQ79" s="30">
        <v>0</v>
      </c>
      <c r="AR79" s="31" t="s">
        <v>119</v>
      </c>
      <c r="AS79" s="31" t="s">
        <v>119</v>
      </c>
      <c r="AT79" s="31" t="s">
        <v>119</v>
      </c>
      <c r="AU79" s="33">
        <v>0</v>
      </c>
      <c r="AV79" s="33">
        <v>0</v>
      </c>
      <c r="AW79" s="33">
        <v>0</v>
      </c>
      <c r="AX79" s="34">
        <v>0</v>
      </c>
      <c r="AY79" s="34">
        <v>0</v>
      </c>
      <c r="AZ79" s="34">
        <v>0</v>
      </c>
      <c r="BA79" s="30">
        <v>5000</v>
      </c>
      <c r="BB79" s="30">
        <v>5000</v>
      </c>
      <c r="BC79" s="30">
        <v>0</v>
      </c>
      <c r="BD79" s="31">
        <v>10</v>
      </c>
      <c r="BE79" s="31">
        <v>10</v>
      </c>
      <c r="BF79" s="31">
        <v>10</v>
      </c>
      <c r="BG79" s="26">
        <v>0</v>
      </c>
      <c r="BH79" s="26">
        <v>0</v>
      </c>
      <c r="BI79" s="26">
        <v>0</v>
      </c>
      <c r="BJ79" s="44">
        <v>0</v>
      </c>
      <c r="BK79" s="44">
        <v>0</v>
      </c>
      <c r="BL79" s="44">
        <v>0</v>
      </c>
    </row>
    <row r="80" spans="1:64" x14ac:dyDescent="0.25">
      <c r="A80" t="s">
        <v>39</v>
      </c>
      <c r="B80" s="20" t="s">
        <v>134</v>
      </c>
      <c r="C80" s="21" t="s">
        <v>169</v>
      </c>
      <c r="D80" s="14" t="s">
        <v>170</v>
      </c>
      <c r="AO80" s="30">
        <v>0</v>
      </c>
      <c r="AP80" s="30">
        <v>0</v>
      </c>
      <c r="AQ80" s="30">
        <v>0</v>
      </c>
      <c r="AR80" s="31" t="s">
        <v>119</v>
      </c>
      <c r="AS80" s="31" t="s">
        <v>119</v>
      </c>
      <c r="AT80" s="31" t="s">
        <v>119</v>
      </c>
      <c r="AU80" s="33">
        <v>0</v>
      </c>
      <c r="AV80" s="33">
        <v>0</v>
      </c>
      <c r="AW80" s="33">
        <v>0</v>
      </c>
      <c r="AX80" s="34">
        <v>0</v>
      </c>
      <c r="AY80" s="34">
        <v>0</v>
      </c>
      <c r="AZ80" s="34">
        <v>0</v>
      </c>
      <c r="BA80" s="30">
        <v>5000</v>
      </c>
      <c r="BB80" s="30">
        <v>5000</v>
      </c>
      <c r="BC80" s="30">
        <v>0</v>
      </c>
      <c r="BD80" s="31">
        <v>10</v>
      </c>
      <c r="BE80" s="31">
        <v>10</v>
      </c>
      <c r="BF80" s="31">
        <v>10</v>
      </c>
      <c r="BG80" s="26">
        <v>0</v>
      </c>
      <c r="BH80" s="26">
        <v>0</v>
      </c>
      <c r="BI80" s="26">
        <v>0</v>
      </c>
      <c r="BJ80" s="44">
        <v>0</v>
      </c>
      <c r="BK80" s="44">
        <v>0</v>
      </c>
      <c r="BL80" s="44">
        <v>0</v>
      </c>
    </row>
    <row r="81" spans="1:64" x14ac:dyDescent="0.25">
      <c r="A81" t="s">
        <v>39</v>
      </c>
      <c r="B81" s="20" t="s">
        <v>134</v>
      </c>
      <c r="C81" s="21" t="s">
        <v>171</v>
      </c>
      <c r="D81" s="14" t="s">
        <v>172</v>
      </c>
      <c r="AO81" s="30">
        <v>12000</v>
      </c>
      <c r="AP81" s="30">
        <v>12000</v>
      </c>
      <c r="AQ81" s="30">
        <v>0</v>
      </c>
      <c r="AR81" s="31">
        <v>80</v>
      </c>
      <c r="AS81" s="31">
        <v>80</v>
      </c>
      <c r="AT81" s="31">
        <v>80</v>
      </c>
      <c r="AU81" s="33">
        <v>12000</v>
      </c>
      <c r="AV81" s="33">
        <v>12000</v>
      </c>
      <c r="AW81" s="33">
        <v>0</v>
      </c>
      <c r="AX81" s="34">
        <v>43</v>
      </c>
      <c r="AY81" s="34">
        <v>43</v>
      </c>
      <c r="AZ81" s="34">
        <v>43</v>
      </c>
      <c r="BA81" s="30">
        <v>12088</v>
      </c>
      <c r="BB81" s="30">
        <v>12088</v>
      </c>
      <c r="BC81" s="30">
        <v>0</v>
      </c>
      <c r="BD81" s="31">
        <v>200</v>
      </c>
      <c r="BE81" s="31">
        <v>150</v>
      </c>
      <c r="BF81" s="31">
        <v>150</v>
      </c>
      <c r="BG81" s="26">
        <v>15000</v>
      </c>
      <c r="BH81" s="26">
        <v>15000</v>
      </c>
      <c r="BI81" s="26">
        <v>0</v>
      </c>
      <c r="BJ81" s="44">
        <v>464.95</v>
      </c>
      <c r="BK81" s="44">
        <v>488.19749999999999</v>
      </c>
      <c r="BL81" s="44">
        <v>522.37132500000007</v>
      </c>
    </row>
    <row r="82" spans="1:64" x14ac:dyDescent="0.25">
      <c r="A82" t="s">
        <v>39</v>
      </c>
      <c r="B82" s="20" t="s">
        <v>134</v>
      </c>
      <c r="C82" s="21" t="s">
        <v>173</v>
      </c>
      <c r="D82" s="14" t="s">
        <v>174</v>
      </c>
      <c r="AO82" s="30">
        <v>12000</v>
      </c>
      <c r="AP82" s="30">
        <v>12000</v>
      </c>
      <c r="AQ82" s="30">
        <v>0</v>
      </c>
      <c r="AR82" s="31">
        <v>5</v>
      </c>
      <c r="AS82" s="31">
        <v>5</v>
      </c>
      <c r="AT82" s="31">
        <v>5</v>
      </c>
      <c r="AU82" s="33">
        <v>0</v>
      </c>
      <c r="AV82" s="33">
        <v>0</v>
      </c>
      <c r="AW82" s="33">
        <v>0</v>
      </c>
      <c r="AX82" s="34">
        <v>0</v>
      </c>
      <c r="AY82" s="34">
        <v>0</v>
      </c>
      <c r="AZ82" s="34">
        <v>0</v>
      </c>
      <c r="BA82" s="30">
        <v>0</v>
      </c>
      <c r="BB82" s="30">
        <v>0</v>
      </c>
      <c r="BC82" s="30">
        <v>0</v>
      </c>
      <c r="BD82" s="31">
        <v>0</v>
      </c>
      <c r="BE82" s="31">
        <v>0</v>
      </c>
      <c r="BF82" s="31">
        <v>0</v>
      </c>
      <c r="BG82" s="26">
        <v>15000</v>
      </c>
      <c r="BH82" s="26">
        <v>15000</v>
      </c>
      <c r="BI82" s="26">
        <v>0</v>
      </c>
      <c r="BJ82" s="44">
        <v>82</v>
      </c>
      <c r="BK82" s="44">
        <v>86.100000000000009</v>
      </c>
      <c r="BL82" s="44">
        <v>92.12700000000001</v>
      </c>
    </row>
    <row r="83" spans="1:64" x14ac:dyDescent="0.25">
      <c r="A83" t="s">
        <v>39</v>
      </c>
      <c r="B83" s="20" t="s">
        <v>134</v>
      </c>
      <c r="C83" s="21" t="s">
        <v>175</v>
      </c>
      <c r="D83" s="14" t="s">
        <v>176</v>
      </c>
      <c r="AO83" s="30">
        <v>12000</v>
      </c>
      <c r="AP83" s="30">
        <v>12000</v>
      </c>
      <c r="AQ83" s="30">
        <v>0</v>
      </c>
      <c r="AR83" s="31">
        <v>10</v>
      </c>
      <c r="AS83" s="31">
        <v>10</v>
      </c>
      <c r="AT83" s="31">
        <v>10</v>
      </c>
      <c r="AU83" s="33">
        <v>0</v>
      </c>
      <c r="AV83" s="33">
        <v>0</v>
      </c>
      <c r="AW83" s="33">
        <v>0</v>
      </c>
      <c r="AX83" s="34">
        <v>0</v>
      </c>
      <c r="AY83" s="34">
        <v>0</v>
      </c>
      <c r="AZ83" s="34">
        <v>0</v>
      </c>
      <c r="BA83" s="30">
        <v>0</v>
      </c>
      <c r="BB83" s="30">
        <v>0</v>
      </c>
      <c r="BC83" s="30">
        <v>0</v>
      </c>
      <c r="BD83" s="31">
        <v>0</v>
      </c>
      <c r="BE83" s="31">
        <v>0</v>
      </c>
      <c r="BF83" s="31">
        <v>0</v>
      </c>
      <c r="BG83" s="26">
        <v>0</v>
      </c>
      <c r="BH83" s="26">
        <v>0</v>
      </c>
      <c r="BI83" s="26">
        <v>0</v>
      </c>
      <c r="BJ83" s="44">
        <v>0</v>
      </c>
      <c r="BK83" s="44">
        <v>0</v>
      </c>
      <c r="BL83" s="44">
        <v>0</v>
      </c>
    </row>
    <row r="84" spans="1:64" x14ac:dyDescent="0.25">
      <c r="A84" t="s">
        <v>39</v>
      </c>
      <c r="B84" s="20" t="s">
        <v>177</v>
      </c>
      <c r="C84" s="20" t="s">
        <v>178</v>
      </c>
      <c r="D84" s="14" t="s">
        <v>179</v>
      </c>
      <c r="AR84" s="31">
        <v>0</v>
      </c>
      <c r="AS84" s="31">
        <v>0</v>
      </c>
      <c r="AT84" s="31">
        <v>0</v>
      </c>
      <c r="AU84" s="33">
        <v>0</v>
      </c>
      <c r="AV84" s="33">
        <v>0</v>
      </c>
      <c r="AW84" s="33">
        <v>0</v>
      </c>
      <c r="AX84" s="34">
        <v>0</v>
      </c>
      <c r="AY84" s="34">
        <v>0</v>
      </c>
      <c r="AZ84" s="34">
        <v>0</v>
      </c>
      <c r="BA84" s="30">
        <v>0</v>
      </c>
      <c r="BB84" s="30">
        <v>0</v>
      </c>
      <c r="BC84" s="30">
        <v>0</v>
      </c>
      <c r="BD84" s="31">
        <v>0</v>
      </c>
      <c r="BE84" s="31">
        <v>0</v>
      </c>
      <c r="BF84" s="31">
        <v>0</v>
      </c>
      <c r="BG84" s="26">
        <v>0</v>
      </c>
      <c r="BH84" s="26">
        <v>0</v>
      </c>
      <c r="BI84" s="26">
        <v>0</v>
      </c>
      <c r="BJ84" s="44">
        <v>0</v>
      </c>
      <c r="BK84" s="44">
        <v>0</v>
      </c>
      <c r="BL84" s="44">
        <v>0</v>
      </c>
    </row>
    <row r="85" spans="1:64" x14ac:dyDescent="0.25">
      <c r="A85" t="s">
        <v>39</v>
      </c>
      <c r="B85" s="20" t="s">
        <v>29</v>
      </c>
      <c r="C85" s="43" t="s">
        <v>180</v>
      </c>
      <c r="D85" s="14" t="s">
        <v>181</v>
      </c>
      <c r="AO85" s="30">
        <v>706</v>
      </c>
      <c r="AP85" s="30">
        <v>500</v>
      </c>
      <c r="AQ85" s="30">
        <v>206</v>
      </c>
      <c r="AR85" s="31">
        <v>3</v>
      </c>
      <c r="AS85" s="31">
        <v>3</v>
      </c>
      <c r="AT85" s="31">
        <v>3</v>
      </c>
      <c r="AU85" s="33">
        <v>0</v>
      </c>
      <c r="AV85" s="33">
        <v>0</v>
      </c>
      <c r="AW85" s="33">
        <v>0</v>
      </c>
      <c r="AX85" s="34">
        <v>0</v>
      </c>
      <c r="AY85" s="34">
        <v>0</v>
      </c>
      <c r="AZ85" s="34">
        <v>0</v>
      </c>
      <c r="BA85" s="30">
        <v>21933.333333333332</v>
      </c>
      <c r="BB85" s="30">
        <v>16450</v>
      </c>
      <c r="BC85" s="30">
        <v>5483.3333333333321</v>
      </c>
      <c r="BD85" s="31">
        <v>85</v>
      </c>
      <c r="BE85" s="31">
        <v>104</v>
      </c>
      <c r="BF85" s="31">
        <v>142</v>
      </c>
      <c r="BG85" s="26">
        <v>714.28571428571433</v>
      </c>
      <c r="BH85" s="26">
        <v>500</v>
      </c>
      <c r="BI85" s="26">
        <v>214.28571428571433</v>
      </c>
      <c r="BJ85" s="44">
        <v>5</v>
      </c>
      <c r="BK85" s="44">
        <v>10</v>
      </c>
      <c r="BL85" s="44">
        <v>15</v>
      </c>
    </row>
    <row r="86" spans="1:64" x14ac:dyDescent="0.25">
      <c r="A86" t="s">
        <v>39</v>
      </c>
      <c r="B86" s="20" t="s">
        <v>29</v>
      </c>
      <c r="C86" s="43" t="s">
        <v>182</v>
      </c>
      <c r="D86" s="14" t="s">
        <v>183</v>
      </c>
      <c r="AO86" s="30">
        <v>500</v>
      </c>
      <c r="AP86" s="30">
        <v>500</v>
      </c>
      <c r="AR86" s="31">
        <v>16</v>
      </c>
      <c r="AS86" s="31">
        <v>19</v>
      </c>
      <c r="AT86" s="31">
        <v>22</v>
      </c>
      <c r="AU86" s="33">
        <v>0</v>
      </c>
      <c r="AV86" s="33">
        <v>0</v>
      </c>
      <c r="AW86" s="33">
        <v>0</v>
      </c>
      <c r="AX86" s="34">
        <v>0</v>
      </c>
      <c r="AY86" s="34">
        <v>0</v>
      </c>
      <c r="AZ86" s="34">
        <v>0</v>
      </c>
      <c r="BA86" s="30">
        <v>21933.333333333332</v>
      </c>
      <c r="BB86" s="30">
        <v>16450</v>
      </c>
      <c r="BC86" s="30">
        <v>5483.3333333333321</v>
      </c>
      <c r="BD86" s="31">
        <v>85</v>
      </c>
      <c r="BE86" s="31">
        <v>104</v>
      </c>
      <c r="BF86" s="31">
        <v>142</v>
      </c>
      <c r="BG86" s="26">
        <v>714.28571428571433</v>
      </c>
      <c r="BH86" s="26">
        <v>500</v>
      </c>
      <c r="BI86" s="26">
        <v>214.28571428571433</v>
      </c>
      <c r="BJ86" s="44">
        <v>50</v>
      </c>
      <c r="BK86" s="44">
        <v>75</v>
      </c>
      <c r="BL86" s="44">
        <v>125</v>
      </c>
    </row>
    <row r="87" spans="1:64" x14ac:dyDescent="0.25">
      <c r="A87" t="s">
        <v>39</v>
      </c>
      <c r="B87" s="20" t="s">
        <v>29</v>
      </c>
      <c r="C87" s="43" t="s">
        <v>184</v>
      </c>
      <c r="D87" s="14" t="s">
        <v>185</v>
      </c>
      <c r="AO87" s="30">
        <v>45390</v>
      </c>
      <c r="AP87" s="30">
        <v>35000</v>
      </c>
      <c r="AQ87" s="30">
        <v>10390</v>
      </c>
      <c r="AR87" s="31">
        <v>29</v>
      </c>
      <c r="AS87" s="31">
        <v>35</v>
      </c>
      <c r="AT87" s="31">
        <v>41</v>
      </c>
      <c r="AU87" s="33">
        <v>0</v>
      </c>
      <c r="AV87" s="33">
        <v>0</v>
      </c>
      <c r="AW87" s="33">
        <v>0</v>
      </c>
      <c r="AX87" s="34">
        <v>0</v>
      </c>
      <c r="AY87" s="34">
        <v>0</v>
      </c>
      <c r="AZ87" s="34">
        <v>0</v>
      </c>
      <c r="BA87" s="30">
        <v>21933.333333333332</v>
      </c>
      <c r="BB87" s="30">
        <v>16450</v>
      </c>
      <c r="BC87" s="30">
        <v>5483.3333333333321</v>
      </c>
      <c r="BD87" s="31">
        <v>17</v>
      </c>
      <c r="BE87" s="31">
        <v>21</v>
      </c>
      <c r="BF87" s="31">
        <v>28</v>
      </c>
      <c r="BG87" s="26">
        <v>12500</v>
      </c>
      <c r="BH87" s="26">
        <v>8750</v>
      </c>
      <c r="BI87" s="26">
        <v>3750</v>
      </c>
      <c r="BJ87" s="44">
        <v>5</v>
      </c>
      <c r="BK87" s="44">
        <v>10</v>
      </c>
      <c r="BL87" s="44">
        <v>15</v>
      </c>
    </row>
    <row r="88" spans="1:64" x14ac:dyDescent="0.25">
      <c r="A88" t="s">
        <v>39</v>
      </c>
      <c r="B88" s="20" t="s">
        <v>29</v>
      </c>
      <c r="C88" s="43" t="s">
        <v>186</v>
      </c>
      <c r="D88" s="14" t="s">
        <v>187</v>
      </c>
      <c r="AO88" s="30">
        <v>10410</v>
      </c>
      <c r="AP88" s="30">
        <v>7000</v>
      </c>
      <c r="AQ88" s="30">
        <v>3410</v>
      </c>
      <c r="AR88" s="31">
        <v>4</v>
      </c>
      <c r="AS88" s="31">
        <v>4</v>
      </c>
      <c r="AT88" s="31">
        <v>4</v>
      </c>
      <c r="AU88" s="33">
        <v>0</v>
      </c>
      <c r="AV88" s="33">
        <v>0</v>
      </c>
      <c r="AW88" s="33">
        <v>0</v>
      </c>
      <c r="AX88" s="34">
        <v>0</v>
      </c>
      <c r="AY88" s="34">
        <v>0</v>
      </c>
      <c r="AZ88" s="34">
        <v>0</v>
      </c>
      <c r="BA88" s="30">
        <v>23500</v>
      </c>
      <c r="BB88" s="30">
        <v>16450</v>
      </c>
      <c r="BC88" s="30">
        <v>7050</v>
      </c>
      <c r="BD88" s="31">
        <v>41</v>
      </c>
      <c r="BE88" s="31">
        <v>96</v>
      </c>
      <c r="BF88" s="31">
        <v>137</v>
      </c>
      <c r="BG88" s="26">
        <v>17142.857142857145</v>
      </c>
      <c r="BH88" s="26">
        <v>12000</v>
      </c>
      <c r="BI88" s="26">
        <v>5142.8571428571449</v>
      </c>
      <c r="BJ88" s="44">
        <v>35</v>
      </c>
      <c r="BK88" s="44">
        <v>50</v>
      </c>
      <c r="BL88" s="44">
        <v>75</v>
      </c>
    </row>
    <row r="89" spans="1:64" x14ac:dyDescent="0.25">
      <c r="A89" t="s">
        <v>39</v>
      </c>
      <c r="B89" s="20" t="s">
        <v>29</v>
      </c>
      <c r="C89" s="43" t="s">
        <v>188</v>
      </c>
      <c r="D89" s="14" t="s">
        <v>189</v>
      </c>
      <c r="AO89" s="30">
        <v>43740</v>
      </c>
      <c r="AP89" s="30">
        <v>35000</v>
      </c>
      <c r="AQ89" s="30">
        <v>8740</v>
      </c>
      <c r="AR89" s="31">
        <v>12</v>
      </c>
      <c r="AS89" s="31">
        <v>15</v>
      </c>
      <c r="AT89" s="31">
        <v>18</v>
      </c>
      <c r="AU89" s="33">
        <v>20000</v>
      </c>
      <c r="AV89" s="33">
        <v>15000</v>
      </c>
      <c r="AW89" s="33">
        <v>5000</v>
      </c>
      <c r="AX89" s="34">
        <v>8</v>
      </c>
      <c r="AY89" s="34">
        <v>10</v>
      </c>
      <c r="AZ89" s="34">
        <v>13</v>
      </c>
      <c r="BA89" s="30">
        <v>23500</v>
      </c>
      <c r="BB89" s="30">
        <v>16450</v>
      </c>
      <c r="BC89" s="30">
        <v>7050</v>
      </c>
      <c r="BD89" s="31">
        <v>41</v>
      </c>
      <c r="BE89" s="31">
        <v>96</v>
      </c>
      <c r="BF89" s="31">
        <v>137</v>
      </c>
      <c r="BG89" s="26">
        <v>17142.857142857145</v>
      </c>
      <c r="BH89" s="26">
        <v>12000</v>
      </c>
      <c r="BI89" s="26">
        <v>5142.8571428571449</v>
      </c>
      <c r="BJ89" s="44">
        <v>75</v>
      </c>
      <c r="BK89" s="44">
        <v>125</v>
      </c>
      <c r="BL89" s="44">
        <v>175</v>
      </c>
    </row>
    <row r="90" spans="1:64" x14ac:dyDescent="0.25">
      <c r="A90" t="s">
        <v>39</v>
      </c>
      <c r="B90" s="20" t="s">
        <v>29</v>
      </c>
      <c r="C90" s="43" t="s">
        <v>190</v>
      </c>
      <c r="D90" s="14" t="s">
        <v>191</v>
      </c>
      <c r="AO90" s="30">
        <v>10530</v>
      </c>
      <c r="AP90" s="30">
        <v>7000</v>
      </c>
      <c r="AQ90" s="30">
        <v>3530</v>
      </c>
      <c r="AR90" s="31">
        <v>4</v>
      </c>
      <c r="AS90" s="31">
        <v>6</v>
      </c>
      <c r="AT90" s="31">
        <v>8</v>
      </c>
      <c r="AU90" s="33">
        <v>0</v>
      </c>
      <c r="AV90" s="33">
        <v>0</v>
      </c>
      <c r="AW90" s="33">
        <v>0</v>
      </c>
      <c r="AX90" s="34">
        <v>0</v>
      </c>
      <c r="AY90" s="34">
        <v>0</v>
      </c>
      <c r="AZ90" s="34">
        <v>0</v>
      </c>
      <c r="BA90" s="30">
        <v>23500</v>
      </c>
      <c r="BB90" s="30">
        <v>16450</v>
      </c>
      <c r="BC90" s="30">
        <v>7050</v>
      </c>
      <c r="BD90" s="31">
        <v>41</v>
      </c>
      <c r="BE90" s="31">
        <v>96</v>
      </c>
      <c r="BF90" s="31">
        <v>137</v>
      </c>
      <c r="BG90" s="26">
        <v>17142.857142857145</v>
      </c>
      <c r="BH90" s="26">
        <v>12000</v>
      </c>
      <c r="BI90" s="26">
        <v>5142.8571428571449</v>
      </c>
      <c r="BJ90" s="44">
        <v>5</v>
      </c>
      <c r="BK90" s="44">
        <v>10</v>
      </c>
      <c r="BL90" s="44">
        <v>15</v>
      </c>
    </row>
    <row r="91" spans="1:64" x14ac:dyDescent="0.25">
      <c r="A91" t="s">
        <v>39</v>
      </c>
      <c r="B91" s="20" t="s">
        <v>29</v>
      </c>
      <c r="C91" s="43" t="s">
        <v>192</v>
      </c>
      <c r="D91" s="14" t="s">
        <v>193</v>
      </c>
      <c r="AO91" s="30">
        <v>43740</v>
      </c>
      <c r="AP91" s="30">
        <v>35000</v>
      </c>
      <c r="AQ91" s="30">
        <v>8740</v>
      </c>
      <c r="AR91" s="31">
        <v>12</v>
      </c>
      <c r="AS91" s="31">
        <v>14</v>
      </c>
      <c r="AT91" s="31">
        <v>15</v>
      </c>
      <c r="AU91" s="33">
        <v>0</v>
      </c>
      <c r="AV91" s="33">
        <v>0</v>
      </c>
      <c r="AW91" s="33">
        <v>0</v>
      </c>
      <c r="AX91" s="34">
        <v>0</v>
      </c>
      <c r="AY91" s="34">
        <v>0</v>
      </c>
      <c r="AZ91" s="34">
        <v>0</v>
      </c>
      <c r="BA91" s="30">
        <v>23500</v>
      </c>
      <c r="BB91" s="30">
        <v>16450</v>
      </c>
      <c r="BC91" s="30">
        <v>7050</v>
      </c>
      <c r="BD91" s="31">
        <v>41</v>
      </c>
      <c r="BE91" s="31">
        <v>96</v>
      </c>
      <c r="BF91" s="31">
        <v>137</v>
      </c>
      <c r="BG91" s="26">
        <v>17142.857142857145</v>
      </c>
      <c r="BH91" s="26">
        <v>12000</v>
      </c>
      <c r="BI91" s="26">
        <v>5142.8571428571449</v>
      </c>
      <c r="BJ91" s="44">
        <v>5</v>
      </c>
      <c r="BK91" s="44">
        <v>10</v>
      </c>
      <c r="BL91" s="44">
        <v>15</v>
      </c>
    </row>
    <row r="92" spans="1:64" x14ac:dyDescent="0.25">
      <c r="A92" t="s">
        <v>39</v>
      </c>
      <c r="B92" s="20" t="s">
        <v>29</v>
      </c>
      <c r="C92" s="43" t="s">
        <v>194</v>
      </c>
      <c r="D92" s="14" t="s">
        <v>195</v>
      </c>
      <c r="AR92" s="31" t="s">
        <v>119</v>
      </c>
      <c r="AS92" s="31" t="s">
        <v>119</v>
      </c>
      <c r="AT92" s="31" t="s">
        <v>119</v>
      </c>
      <c r="AU92" s="33">
        <v>25000</v>
      </c>
      <c r="AV92" s="33">
        <v>20000</v>
      </c>
      <c r="AW92" s="33">
        <v>5000</v>
      </c>
      <c r="AX92" s="34">
        <v>1</v>
      </c>
      <c r="AY92" s="34">
        <v>2</v>
      </c>
      <c r="AZ92" s="34">
        <v>3</v>
      </c>
      <c r="BA92" s="30">
        <v>0</v>
      </c>
      <c r="BB92" s="30">
        <v>0</v>
      </c>
      <c r="BC92" s="30">
        <v>0</v>
      </c>
      <c r="BD92" s="31">
        <v>0</v>
      </c>
      <c r="BE92" s="31">
        <v>0</v>
      </c>
      <c r="BF92" s="31">
        <v>0</v>
      </c>
      <c r="BG92" s="26">
        <v>21428.571428571431</v>
      </c>
      <c r="BH92" s="26">
        <v>15000</v>
      </c>
      <c r="BI92" s="26">
        <v>6428.5714285714312</v>
      </c>
      <c r="BJ92" s="44">
        <v>5</v>
      </c>
      <c r="BK92" s="44">
        <v>10</v>
      </c>
      <c r="BL92" s="44">
        <v>20</v>
      </c>
    </row>
    <row r="93" spans="1:64" x14ac:dyDescent="0.25">
      <c r="A93" t="s">
        <v>39</v>
      </c>
      <c r="B93" s="20" t="s">
        <v>29</v>
      </c>
      <c r="C93" s="43" t="s">
        <v>196</v>
      </c>
      <c r="D93" s="14" t="s">
        <v>197</v>
      </c>
      <c r="AR93" s="31" t="s">
        <v>119</v>
      </c>
      <c r="AS93" s="31" t="s">
        <v>119</v>
      </c>
      <c r="AT93" s="31" t="s">
        <v>119</v>
      </c>
      <c r="AU93" s="33">
        <v>0</v>
      </c>
      <c r="AV93" s="33">
        <v>0</v>
      </c>
      <c r="AW93" s="33">
        <v>0</v>
      </c>
      <c r="AX93" s="34">
        <v>0</v>
      </c>
      <c r="AY93" s="34">
        <v>0</v>
      </c>
      <c r="AZ93" s="34">
        <v>0</v>
      </c>
      <c r="BA93" s="30">
        <v>0</v>
      </c>
      <c r="BB93" s="30">
        <v>0</v>
      </c>
      <c r="BC93" s="30">
        <v>0</v>
      </c>
      <c r="BD93" s="31">
        <v>0</v>
      </c>
      <c r="BE93" s="31">
        <v>0</v>
      </c>
      <c r="BF93" s="31">
        <v>0</v>
      </c>
      <c r="BG93" s="26">
        <v>21428.571428571431</v>
      </c>
      <c r="BH93" s="26">
        <v>15000</v>
      </c>
      <c r="BI93" s="26">
        <v>6428.5714285714312</v>
      </c>
      <c r="BJ93" s="44">
        <v>1</v>
      </c>
      <c r="BK93" s="44">
        <v>1</v>
      </c>
      <c r="BL93" s="44">
        <v>2</v>
      </c>
    </row>
    <row r="94" spans="1:64" x14ac:dyDescent="0.25">
      <c r="A94" t="s">
        <v>39</v>
      </c>
      <c r="B94" s="20" t="s">
        <v>29</v>
      </c>
      <c r="C94" s="43" t="s">
        <v>198</v>
      </c>
      <c r="D94" s="14" t="s">
        <v>199</v>
      </c>
      <c r="AR94" s="31" t="s">
        <v>119</v>
      </c>
      <c r="AS94" s="31" t="s">
        <v>119</v>
      </c>
      <c r="AT94" s="31" t="s">
        <v>119</v>
      </c>
      <c r="AU94" s="33">
        <v>0</v>
      </c>
      <c r="AV94" s="33">
        <v>0</v>
      </c>
      <c r="AW94" s="33">
        <v>0</v>
      </c>
      <c r="AX94" s="34">
        <v>0</v>
      </c>
      <c r="AY94" s="34">
        <v>0</v>
      </c>
      <c r="AZ94" s="34">
        <v>0</v>
      </c>
      <c r="BA94" s="30">
        <v>0</v>
      </c>
      <c r="BB94" s="30">
        <v>0</v>
      </c>
      <c r="BC94" s="30">
        <v>0</v>
      </c>
      <c r="BD94" s="31">
        <v>0</v>
      </c>
      <c r="BE94" s="31">
        <v>0</v>
      </c>
      <c r="BF94" s="31">
        <v>0</v>
      </c>
      <c r="BG94" s="26">
        <v>21428.571428571431</v>
      </c>
      <c r="BH94" s="26">
        <v>15000</v>
      </c>
      <c r="BI94" s="26">
        <v>6428.5714285714312</v>
      </c>
      <c r="BJ94" s="44">
        <v>1</v>
      </c>
      <c r="BK94" s="44">
        <v>2</v>
      </c>
      <c r="BL94" s="44">
        <v>4</v>
      </c>
    </row>
    <row r="95" spans="1:64" x14ac:dyDescent="0.25">
      <c r="A95" t="s">
        <v>39</v>
      </c>
      <c r="B95" s="20" t="s">
        <v>29</v>
      </c>
      <c r="C95" s="43" t="s">
        <v>200</v>
      </c>
      <c r="D95" s="14" t="s">
        <v>201</v>
      </c>
      <c r="AR95" s="31" t="s">
        <v>119</v>
      </c>
      <c r="AS95" s="31" t="s">
        <v>119</v>
      </c>
      <c r="AT95" s="31" t="s">
        <v>119</v>
      </c>
      <c r="AU95" s="33">
        <v>0</v>
      </c>
      <c r="AV95" s="33">
        <v>0</v>
      </c>
      <c r="AW95" s="33">
        <v>0</v>
      </c>
      <c r="AX95" s="34">
        <v>0</v>
      </c>
      <c r="AY95" s="34">
        <v>0</v>
      </c>
      <c r="AZ95" s="34">
        <v>0</v>
      </c>
      <c r="BA95" s="30">
        <v>0</v>
      </c>
      <c r="BB95" s="30">
        <v>0</v>
      </c>
      <c r="BC95" s="30">
        <v>0</v>
      </c>
      <c r="BD95" s="31">
        <v>0</v>
      </c>
      <c r="BE95" s="31">
        <v>0</v>
      </c>
      <c r="BF95" s="31">
        <v>0</v>
      </c>
      <c r="BG95" s="26">
        <v>21428.571428571431</v>
      </c>
      <c r="BH95" s="26">
        <v>15000</v>
      </c>
      <c r="BI95" s="26">
        <v>6428.5714285714312</v>
      </c>
      <c r="BJ95" s="44">
        <v>1</v>
      </c>
      <c r="BK95" s="44">
        <v>1</v>
      </c>
      <c r="BL95" s="44">
        <v>1</v>
      </c>
    </row>
    <row r="96" spans="1:64" x14ac:dyDescent="0.25">
      <c r="A96" t="s">
        <v>39</v>
      </c>
      <c r="B96" s="20" t="s">
        <v>29</v>
      </c>
      <c r="C96" s="43" t="s">
        <v>215</v>
      </c>
      <c r="D96" s="14" t="s">
        <v>216</v>
      </c>
      <c r="E96" s="22">
        <v>3</v>
      </c>
      <c r="F96" s="22">
        <v>3</v>
      </c>
      <c r="G96" s="22">
        <v>3</v>
      </c>
      <c r="AO96" s="30">
        <v>2086</v>
      </c>
      <c r="AP96" s="30">
        <v>1575</v>
      </c>
      <c r="AQ96" s="30">
        <v>511</v>
      </c>
      <c r="AR96" s="31">
        <v>3</v>
      </c>
      <c r="AS96" s="31">
        <v>3</v>
      </c>
      <c r="AT96" s="31">
        <v>3</v>
      </c>
      <c r="AU96" s="33">
        <v>714</v>
      </c>
      <c r="AV96" s="33">
        <v>500</v>
      </c>
      <c r="AW96" s="33">
        <v>214</v>
      </c>
      <c r="AX96" s="34">
        <v>2</v>
      </c>
      <c r="AY96" s="34">
        <v>3</v>
      </c>
      <c r="AZ96" s="34">
        <v>4</v>
      </c>
      <c r="BA96" s="30">
        <v>666.66666666666663</v>
      </c>
      <c r="BB96" s="30">
        <v>500</v>
      </c>
      <c r="BC96" s="30">
        <v>166.66666666666663</v>
      </c>
      <c r="BD96" s="31">
        <v>170</v>
      </c>
      <c r="BE96" s="31">
        <v>208</v>
      </c>
      <c r="BF96" s="31">
        <v>283</v>
      </c>
      <c r="BG96" s="26">
        <v>714.28571428571433</v>
      </c>
      <c r="BH96" s="26">
        <v>500</v>
      </c>
      <c r="BI96" s="26">
        <v>214.28571428571433</v>
      </c>
      <c r="BJ96" s="44">
        <v>300</v>
      </c>
      <c r="BK96" s="44">
        <v>375</v>
      </c>
      <c r="BL96" s="44">
        <v>468.75</v>
      </c>
    </row>
    <row r="97" spans="1:64" x14ac:dyDescent="0.25">
      <c r="A97" t="s">
        <v>39</v>
      </c>
      <c r="B97" s="20" t="s">
        <v>29</v>
      </c>
      <c r="C97" s="43" t="s">
        <v>202</v>
      </c>
      <c r="D97" s="14" t="s">
        <v>203</v>
      </c>
      <c r="E97" s="22">
        <v>0</v>
      </c>
      <c r="F97" s="22">
        <v>0</v>
      </c>
      <c r="G97" s="22">
        <v>0</v>
      </c>
      <c r="AO97" s="30">
        <v>0</v>
      </c>
      <c r="AP97" s="30">
        <v>0</v>
      </c>
      <c r="AQ97" s="30">
        <v>0</v>
      </c>
      <c r="AR97" s="31" t="s">
        <v>119</v>
      </c>
      <c r="AS97" s="31" t="s">
        <v>119</v>
      </c>
      <c r="AT97" s="31" t="s">
        <v>119</v>
      </c>
      <c r="AU97" s="33">
        <v>0</v>
      </c>
      <c r="AV97" s="33">
        <v>0</v>
      </c>
      <c r="AW97" s="33">
        <v>0</v>
      </c>
      <c r="AX97" s="34">
        <v>0</v>
      </c>
      <c r="AY97" s="34">
        <v>0</v>
      </c>
      <c r="AZ97" s="34">
        <v>0</v>
      </c>
      <c r="BA97" s="30">
        <v>666.66666666666663</v>
      </c>
      <c r="BB97" s="30">
        <v>500</v>
      </c>
      <c r="BC97" s="30">
        <v>166.66666666666663</v>
      </c>
      <c r="BD97" s="31">
        <v>128</v>
      </c>
      <c r="BE97" s="31">
        <v>156</v>
      </c>
      <c r="BF97" s="31">
        <v>212</v>
      </c>
      <c r="BG97" s="26">
        <v>531.42857142857144</v>
      </c>
      <c r="BH97" s="26">
        <v>372</v>
      </c>
      <c r="BI97" s="26">
        <v>159.42857142857144</v>
      </c>
      <c r="BJ97" s="44">
        <v>1000</v>
      </c>
      <c r="BK97" s="44">
        <v>1000</v>
      </c>
      <c r="BL97" s="44">
        <v>1000</v>
      </c>
    </row>
    <row r="98" spans="1:64" x14ac:dyDescent="0.25">
      <c r="A98" t="s">
        <v>39</v>
      </c>
      <c r="B98" s="20" t="s">
        <v>29</v>
      </c>
      <c r="C98" s="43" t="s">
        <v>204</v>
      </c>
      <c r="D98" s="14" t="s">
        <v>205</v>
      </c>
      <c r="E98" s="22">
        <v>45</v>
      </c>
      <c r="F98" s="22">
        <v>50</v>
      </c>
      <c r="G98" s="22">
        <v>55</v>
      </c>
      <c r="AO98" s="30">
        <v>730</v>
      </c>
      <c r="AP98" s="30">
        <v>100</v>
      </c>
      <c r="AQ98" s="30">
        <v>630</v>
      </c>
      <c r="AR98" s="31">
        <v>45</v>
      </c>
      <c r="AS98" s="31">
        <v>50</v>
      </c>
      <c r="AT98" s="31">
        <v>55</v>
      </c>
      <c r="AU98" s="33">
        <v>714</v>
      </c>
      <c r="AV98" s="33">
        <v>500</v>
      </c>
      <c r="AW98" s="33">
        <v>214</v>
      </c>
      <c r="AX98" s="34">
        <v>6</v>
      </c>
      <c r="AY98" s="34">
        <v>7</v>
      </c>
      <c r="AZ98" s="34">
        <v>8</v>
      </c>
      <c r="BA98" s="30">
        <v>666.66666666666663</v>
      </c>
      <c r="BB98" s="30">
        <v>500</v>
      </c>
      <c r="BC98" s="30">
        <v>166.66666666666663</v>
      </c>
      <c r="BD98" s="31">
        <v>0</v>
      </c>
      <c r="BE98" s="31">
        <v>0</v>
      </c>
      <c r="BF98" s="31">
        <v>0</v>
      </c>
      <c r="BG98" s="26">
        <v>714.28571428571433</v>
      </c>
      <c r="BH98" s="26">
        <v>500</v>
      </c>
      <c r="BI98" s="26">
        <v>214.28571428571433</v>
      </c>
      <c r="BJ98" s="44">
        <v>500</v>
      </c>
      <c r="BK98" s="44">
        <v>625</v>
      </c>
      <c r="BL98" s="44">
        <v>781.25</v>
      </c>
    </row>
    <row r="99" spans="1:64" x14ac:dyDescent="0.25">
      <c r="A99" t="s">
        <v>39</v>
      </c>
      <c r="B99" s="20" t="s">
        <v>40</v>
      </c>
      <c r="C99" s="20" t="s">
        <v>206</v>
      </c>
      <c r="D99" s="20" t="s">
        <v>207</v>
      </c>
      <c r="AU99" s="33">
        <v>0</v>
      </c>
      <c r="AV99" s="33">
        <v>0</v>
      </c>
      <c r="AW99" s="33">
        <v>0</v>
      </c>
      <c r="AX99" s="34">
        <v>0</v>
      </c>
      <c r="AY99" s="34">
        <v>0</v>
      </c>
      <c r="AZ99" s="34">
        <v>0</v>
      </c>
      <c r="BA99" s="30">
        <v>0</v>
      </c>
      <c r="BB99" s="30">
        <v>0</v>
      </c>
      <c r="BC99" s="30">
        <v>0</v>
      </c>
      <c r="BD99" s="31">
        <v>0</v>
      </c>
      <c r="BE99" s="31">
        <v>0</v>
      </c>
      <c r="BF99" s="31">
        <v>0</v>
      </c>
      <c r="BG99" s="26">
        <v>0</v>
      </c>
      <c r="BH99" s="26">
        <v>0</v>
      </c>
      <c r="BI99" s="26">
        <v>0</v>
      </c>
      <c r="BJ99" s="44">
        <v>0</v>
      </c>
      <c r="BK99" s="44">
        <v>0</v>
      </c>
      <c r="BL99" s="44">
        <v>0</v>
      </c>
    </row>
    <row r="100" spans="1:64" x14ac:dyDescent="0.25">
      <c r="A100" t="s">
        <v>39</v>
      </c>
      <c r="B100" s="20" t="s">
        <v>40</v>
      </c>
      <c r="C100" s="20" t="s">
        <v>208</v>
      </c>
      <c r="D100" s="20" t="s">
        <v>209</v>
      </c>
      <c r="AU100" s="33">
        <v>0</v>
      </c>
      <c r="AV100" s="33">
        <v>0</v>
      </c>
      <c r="AW100" s="33">
        <v>0</v>
      </c>
      <c r="AX100" s="34">
        <v>0</v>
      </c>
      <c r="AY100" s="34">
        <v>0</v>
      </c>
      <c r="AZ100" s="34">
        <v>0</v>
      </c>
      <c r="BA100" s="30">
        <v>0</v>
      </c>
      <c r="BB100" s="30">
        <v>0</v>
      </c>
      <c r="BC100" s="30">
        <v>0</v>
      </c>
      <c r="BD100" s="31">
        <v>0</v>
      </c>
      <c r="BE100" s="31">
        <v>0</v>
      </c>
      <c r="BF100" s="31">
        <v>0</v>
      </c>
      <c r="BG100" s="26">
        <v>0</v>
      </c>
      <c r="BH100" s="26">
        <v>0</v>
      </c>
      <c r="BI100" s="26">
        <v>0</v>
      </c>
      <c r="BJ100" s="44">
        <v>0</v>
      </c>
      <c r="BK100" s="44">
        <v>0</v>
      </c>
      <c r="BL100" s="44">
        <v>0</v>
      </c>
    </row>
    <row r="101" spans="1:64" x14ac:dyDescent="0.25">
      <c r="A101" t="s">
        <v>39</v>
      </c>
      <c r="B101" s="20" t="s">
        <v>40</v>
      </c>
      <c r="C101" s="20" t="s">
        <v>210</v>
      </c>
      <c r="D101" s="20" t="s">
        <v>211</v>
      </c>
      <c r="AU101" s="33">
        <v>0</v>
      </c>
      <c r="AV101" s="33">
        <v>0</v>
      </c>
      <c r="AW101" s="33">
        <v>0</v>
      </c>
      <c r="AX101" s="34">
        <v>0</v>
      </c>
      <c r="AY101" s="34">
        <v>0</v>
      </c>
      <c r="AZ101" s="34">
        <v>0</v>
      </c>
      <c r="BA101" s="30">
        <v>0</v>
      </c>
      <c r="BB101" s="30">
        <v>0</v>
      </c>
      <c r="BC101" s="30">
        <v>0</v>
      </c>
      <c r="BD101" s="31">
        <v>0</v>
      </c>
      <c r="BE101" s="31">
        <v>0</v>
      </c>
      <c r="BF101" s="31">
        <v>0</v>
      </c>
      <c r="BG101" s="26">
        <v>0</v>
      </c>
      <c r="BH101" s="26">
        <v>0</v>
      </c>
      <c r="BI101" s="26">
        <v>0</v>
      </c>
      <c r="BJ101" s="44">
        <v>0</v>
      </c>
      <c r="BK101" s="44">
        <v>0</v>
      </c>
      <c r="BL101" s="44">
        <v>0</v>
      </c>
    </row>
    <row r="102" spans="1:64" x14ac:dyDescent="0.25">
      <c r="A102" t="s">
        <v>39</v>
      </c>
      <c r="B102" s="20" t="s">
        <v>134</v>
      </c>
      <c r="C102" s="20" t="s">
        <v>206</v>
      </c>
      <c r="D102" s="20" t="s">
        <v>212</v>
      </c>
      <c r="AU102" s="33">
        <v>0</v>
      </c>
      <c r="AV102" s="33">
        <v>0</v>
      </c>
      <c r="AW102" s="33">
        <v>0</v>
      </c>
      <c r="AX102" s="34">
        <v>0</v>
      </c>
      <c r="AY102" s="34">
        <v>0</v>
      </c>
      <c r="AZ102" s="34">
        <v>0</v>
      </c>
      <c r="BA102" s="30">
        <v>0</v>
      </c>
      <c r="BB102" s="30">
        <v>0</v>
      </c>
      <c r="BC102" s="30">
        <v>0</v>
      </c>
      <c r="BD102" s="31">
        <v>0</v>
      </c>
      <c r="BE102" s="31">
        <v>0</v>
      </c>
      <c r="BF102" s="31">
        <v>0</v>
      </c>
      <c r="BG102" s="26">
        <v>0</v>
      </c>
      <c r="BH102" s="26">
        <v>0</v>
      </c>
      <c r="BI102" s="26">
        <v>0</v>
      </c>
      <c r="BJ102" s="44">
        <v>0</v>
      </c>
      <c r="BK102" s="44">
        <v>0</v>
      </c>
      <c r="BL102" s="44">
        <v>0</v>
      </c>
    </row>
    <row r="103" spans="1:64" x14ac:dyDescent="0.25">
      <c r="A103" t="s">
        <v>39</v>
      </c>
      <c r="B103" s="20" t="s">
        <v>134</v>
      </c>
      <c r="C103" s="20" t="s">
        <v>208</v>
      </c>
      <c r="D103" s="20" t="s">
        <v>213</v>
      </c>
      <c r="AU103" s="33">
        <v>0</v>
      </c>
      <c r="AV103" s="33">
        <v>0</v>
      </c>
      <c r="AW103" s="33">
        <v>0</v>
      </c>
      <c r="AX103" s="34">
        <v>0</v>
      </c>
      <c r="AY103" s="34">
        <v>0</v>
      </c>
      <c r="AZ103" s="34">
        <v>0</v>
      </c>
      <c r="BA103" s="30">
        <v>0</v>
      </c>
      <c r="BB103" s="30">
        <v>0</v>
      </c>
      <c r="BC103" s="30">
        <v>0</v>
      </c>
      <c r="BD103" s="31">
        <v>0</v>
      </c>
      <c r="BE103" s="31">
        <v>0</v>
      </c>
      <c r="BF103" s="31">
        <v>0</v>
      </c>
      <c r="BG103" s="26">
        <v>0</v>
      </c>
      <c r="BH103" s="26">
        <v>0</v>
      </c>
      <c r="BI103" s="26">
        <v>0</v>
      </c>
      <c r="BJ103" s="44">
        <v>0</v>
      </c>
      <c r="BK103" s="44">
        <v>0</v>
      </c>
      <c r="BL103" s="44">
        <v>0</v>
      </c>
    </row>
    <row r="104" spans="1:64" x14ac:dyDescent="0.25">
      <c r="A104" t="s">
        <v>39</v>
      </c>
      <c r="B104" s="20" t="s">
        <v>134</v>
      </c>
      <c r="C104" s="20" t="s">
        <v>210</v>
      </c>
      <c r="D104" s="20" t="s">
        <v>214</v>
      </c>
      <c r="AU104" s="33">
        <v>0</v>
      </c>
      <c r="AV104" s="33">
        <v>0</v>
      </c>
      <c r="AW104" s="33">
        <v>0</v>
      </c>
      <c r="AX104" s="34">
        <v>0</v>
      </c>
      <c r="AY104" s="34">
        <v>0</v>
      </c>
      <c r="AZ104" s="34">
        <v>0</v>
      </c>
      <c r="BA104" s="30">
        <v>0</v>
      </c>
      <c r="BB104" s="30">
        <v>0</v>
      </c>
      <c r="BC104" s="30">
        <v>0</v>
      </c>
      <c r="BD104" s="31">
        <v>0</v>
      </c>
      <c r="BE104" s="31">
        <v>0</v>
      </c>
      <c r="BF104" s="31">
        <v>0</v>
      </c>
      <c r="BG104" s="26">
        <v>0</v>
      </c>
      <c r="BH104" s="26">
        <v>0</v>
      </c>
      <c r="BI104" s="26">
        <v>0</v>
      </c>
      <c r="BJ104" s="44">
        <v>0</v>
      </c>
      <c r="BK104" s="44">
        <v>0</v>
      </c>
      <c r="BL104" s="44">
        <v>0</v>
      </c>
    </row>
  </sheetData>
  <mergeCells count="8">
    <mergeCell ref="AU1:AZ1"/>
    <mergeCell ref="BA1:BF1"/>
    <mergeCell ref="AC1:AH1"/>
    <mergeCell ref="AI1:AN1"/>
    <mergeCell ref="AO1:AT1"/>
    <mergeCell ref="K1:P1"/>
    <mergeCell ref="Q1:V1"/>
    <mergeCell ref="W1:A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5425D-1936-4ABE-80AB-DCD40E070A36}">
  <dimension ref="A1:BK67"/>
  <sheetViews>
    <sheetView topLeftCell="A2" workbookViewId="0">
      <selection activeCell="K2" sqref="K1:AE1048576"/>
    </sheetView>
  </sheetViews>
  <sheetFormatPr defaultRowHeight="15" x14ac:dyDescent="0.25"/>
  <cols>
    <col min="3" max="3" width="37.42578125" style="19" customWidth="1"/>
    <col min="4" max="4" width="65.5703125" style="19" bestFit="1" customWidth="1"/>
    <col min="5" max="7" width="9.140625" style="19"/>
    <col min="8" max="8" width="9.140625" style="30" customWidth="1"/>
    <col min="9" max="9" width="11.5703125" style="30" customWidth="1"/>
    <col min="10" max="10" width="11.7109375" style="30" customWidth="1"/>
    <col min="11" max="13" width="9.5703125" style="31" hidden="1" customWidth="1"/>
    <col min="14" max="16" width="11.5703125" style="33" hidden="1" customWidth="1"/>
    <col min="17" max="19" width="9.5703125" style="34" hidden="1" customWidth="1"/>
    <col min="20" max="21" width="11.5703125" style="30" hidden="1" customWidth="1"/>
    <col min="22" max="22" width="10.85546875" style="30" hidden="1" customWidth="1"/>
    <col min="23" max="24" width="9.5703125" style="2" hidden="1" customWidth="1"/>
    <col min="25" max="25" width="10.5703125" style="2" hidden="1" customWidth="1"/>
    <col min="26" max="27" width="12.5703125" style="33" hidden="1" customWidth="1"/>
    <col min="28" max="28" width="11.28515625" style="33" hidden="1" customWidth="1"/>
    <col min="29" max="31" width="9.5703125" style="34" hidden="1" customWidth="1"/>
    <col min="32" max="32" width="10.85546875" style="107" customWidth="1"/>
    <col min="33" max="33" width="11.5703125" style="138" bestFit="1" customWidth="1"/>
    <col min="37" max="37" width="20" bestFit="1" customWidth="1"/>
    <col min="38" max="38" width="13.7109375" bestFit="1" customWidth="1"/>
    <col min="39" max="39" width="13.7109375" customWidth="1"/>
    <col min="46" max="46" width="13.42578125" customWidth="1"/>
  </cols>
  <sheetData>
    <row r="1" spans="1:47" x14ac:dyDescent="0.25">
      <c r="H1" s="29" t="s">
        <v>38</v>
      </c>
      <c r="I1" s="29"/>
      <c r="J1" s="29"/>
      <c r="K1" s="29"/>
      <c r="L1" s="29"/>
      <c r="M1" s="29"/>
      <c r="N1" s="32" t="s">
        <v>217</v>
      </c>
      <c r="O1" s="32"/>
      <c r="P1" s="32"/>
      <c r="Q1" s="32"/>
      <c r="R1" s="32"/>
      <c r="S1" s="32"/>
      <c r="T1" s="29" t="s">
        <v>218</v>
      </c>
      <c r="U1" s="29"/>
      <c r="V1" s="29"/>
      <c r="W1" s="29"/>
      <c r="X1" s="29"/>
      <c r="Y1" s="29"/>
      <c r="Z1" s="33" t="s">
        <v>219</v>
      </c>
      <c r="AC1" s="105"/>
      <c r="AD1" s="105"/>
      <c r="AE1" s="105"/>
    </row>
    <row r="2" spans="1:47" s="35" customFormat="1" ht="90" x14ac:dyDescent="0.25">
      <c r="A2" s="35" t="s">
        <v>231</v>
      </c>
      <c r="C2" s="144">
        <f>Electric!AF5 +SUM(Electric!AF19:AF27)+SUM(Electric!AF44:AF45)+AF50</f>
        <v>2417.7145</v>
      </c>
      <c r="D2" s="36"/>
      <c r="E2" s="36"/>
      <c r="F2" s="36" t="s">
        <v>255</v>
      </c>
      <c r="G2" s="36" t="s">
        <v>238</v>
      </c>
      <c r="H2" s="39" t="s">
        <v>14</v>
      </c>
      <c r="I2" s="39" t="s">
        <v>15</v>
      </c>
      <c r="J2" s="39" t="s">
        <v>16</v>
      </c>
      <c r="K2" s="37">
        <v>2022</v>
      </c>
      <c r="L2" s="37">
        <v>2023</v>
      </c>
      <c r="M2" s="37">
        <v>2024</v>
      </c>
      <c r="N2" s="40" t="s">
        <v>14</v>
      </c>
      <c r="O2" s="40" t="s">
        <v>15</v>
      </c>
      <c r="P2" s="40" t="s">
        <v>16</v>
      </c>
      <c r="Q2" s="41">
        <v>2022</v>
      </c>
      <c r="R2" s="41">
        <v>2023</v>
      </c>
      <c r="S2" s="41">
        <v>2024</v>
      </c>
      <c r="T2" s="30" t="s">
        <v>14</v>
      </c>
      <c r="U2" s="30" t="s">
        <v>15</v>
      </c>
      <c r="V2" s="30" t="s">
        <v>16</v>
      </c>
      <c r="W2" s="2">
        <v>2022</v>
      </c>
      <c r="X2" s="2">
        <v>2023</v>
      </c>
      <c r="Y2" s="2">
        <v>2024</v>
      </c>
      <c r="Z2" s="33" t="s">
        <v>14</v>
      </c>
      <c r="AA2" s="33" t="s">
        <v>15</v>
      </c>
      <c r="AB2" s="33" t="s">
        <v>16</v>
      </c>
      <c r="AC2" s="41">
        <v>2022</v>
      </c>
      <c r="AD2" s="41">
        <v>2023</v>
      </c>
      <c r="AE2" s="41">
        <v>2024</v>
      </c>
      <c r="AF2" s="99" t="s">
        <v>257</v>
      </c>
      <c r="AG2" s="139" t="s">
        <v>258</v>
      </c>
      <c r="AH2" s="41">
        <v>2022</v>
      </c>
      <c r="AI2" s="41">
        <v>2023</v>
      </c>
      <c r="AJ2" s="41">
        <v>2024</v>
      </c>
      <c r="AK2" s="35" t="s">
        <v>241</v>
      </c>
      <c r="AL2" s="35" t="s">
        <v>256</v>
      </c>
      <c r="AN2" s="41">
        <v>2022</v>
      </c>
      <c r="AO2" s="41">
        <v>2023</v>
      </c>
      <c r="AP2" s="41">
        <v>2024</v>
      </c>
      <c r="AS2" s="35" t="s">
        <v>247</v>
      </c>
      <c r="AT2" s="35" t="s">
        <v>276</v>
      </c>
    </row>
    <row r="3" spans="1:47" x14ac:dyDescent="0.25">
      <c r="A3">
        <v>1</v>
      </c>
      <c r="B3" t="s">
        <v>39</v>
      </c>
      <c r="C3" s="17" t="s">
        <v>40</v>
      </c>
      <c r="D3" s="19" t="s">
        <v>41</v>
      </c>
      <c r="E3" s="19" t="s">
        <v>42</v>
      </c>
      <c r="F3" s="19" t="s">
        <v>39</v>
      </c>
      <c r="G3" s="19" t="s">
        <v>39</v>
      </c>
      <c r="H3" s="30">
        <v>15000</v>
      </c>
      <c r="I3" s="30">
        <v>11250</v>
      </c>
      <c r="J3" s="30">
        <v>3750</v>
      </c>
      <c r="K3" s="31">
        <v>77</v>
      </c>
      <c r="L3" s="31">
        <v>77</v>
      </c>
      <c r="M3" s="31">
        <v>77</v>
      </c>
      <c r="N3" s="33">
        <v>0</v>
      </c>
      <c r="O3" s="33">
        <v>0</v>
      </c>
      <c r="P3" s="33">
        <v>0</v>
      </c>
      <c r="Q3" s="34">
        <v>0</v>
      </c>
      <c r="R3" s="34">
        <v>0</v>
      </c>
      <c r="S3" s="34">
        <v>0</v>
      </c>
      <c r="T3" s="30">
        <v>0</v>
      </c>
      <c r="U3" s="30">
        <v>0</v>
      </c>
      <c r="V3" s="30">
        <v>0</v>
      </c>
      <c r="W3" s="31">
        <v>0</v>
      </c>
      <c r="X3" s="31">
        <v>0</v>
      </c>
      <c r="Y3" s="31">
        <v>0</v>
      </c>
      <c r="Z3" s="33">
        <v>20000</v>
      </c>
      <c r="AA3" s="33">
        <v>5000</v>
      </c>
      <c r="AB3" s="33">
        <v>15000</v>
      </c>
      <c r="AC3" s="34">
        <v>30</v>
      </c>
      <c r="AD3" s="34">
        <v>31.5</v>
      </c>
      <c r="AE3" s="34">
        <v>33.075000000000003</v>
      </c>
      <c r="AF3" s="108">
        <f>SUM(K3:M3)+SUM(Q3:S3)+SUM(W3:Y3)+SUM(AC3:AE3)</f>
        <v>325.57499999999999</v>
      </c>
      <c r="AG3" s="140">
        <f>+AF3*MAX(U3,AA3)</f>
        <v>1627875</v>
      </c>
      <c r="AH3" s="28">
        <f>K3+Q3+W3+AC3</f>
        <v>107</v>
      </c>
      <c r="AI3" s="28">
        <f>L3+R3+X3+AD3</f>
        <v>108.5</v>
      </c>
      <c r="AJ3" s="28">
        <f>M3+S3+Y3+AE3</f>
        <v>110.075</v>
      </c>
      <c r="AK3" t="s">
        <v>249</v>
      </c>
      <c r="AL3" s="44">
        <f>SUM(AF4,AF5,AF8:AF27)</f>
        <v>7313</v>
      </c>
      <c r="AM3" s="44">
        <f>SUM(AG4,AG5,AG8:AG27)</f>
        <v>136410000</v>
      </c>
      <c r="AN3" s="44">
        <f>SUM(AH4,AH5,AH8:AH27)</f>
        <v>1232.5</v>
      </c>
      <c r="AO3" s="44">
        <f>SUM(AI4,AI5,AI8:AI27)</f>
        <v>2088</v>
      </c>
      <c r="AP3" s="44">
        <f>SUM(AJ4,AJ5,AJ8:AJ27)</f>
        <v>3992.5</v>
      </c>
      <c r="AQ3" s="28">
        <f>AL3-SUM(AN3:AP3)</f>
        <v>0</v>
      </c>
      <c r="AS3">
        <v>7717</v>
      </c>
      <c r="AT3" s="28">
        <f>AL3 -AS3</f>
        <v>-404</v>
      </c>
      <c r="AU3" s="136">
        <f>AT3/AS3</f>
        <v>-5.2351950239730466E-2</v>
      </c>
    </row>
    <row r="4" spans="1:47" x14ac:dyDescent="0.25">
      <c r="A4">
        <v>2</v>
      </c>
      <c r="B4" t="s">
        <v>39</v>
      </c>
      <c r="C4" s="17" t="s">
        <v>40</v>
      </c>
      <c r="D4" s="48" t="s">
        <v>43</v>
      </c>
      <c r="E4" s="48" t="s">
        <v>44</v>
      </c>
      <c r="F4" s="19" t="s">
        <v>236</v>
      </c>
      <c r="G4" s="19" t="s">
        <v>232</v>
      </c>
      <c r="H4" s="30">
        <v>18000</v>
      </c>
      <c r="I4" s="30">
        <v>13500</v>
      </c>
      <c r="J4" s="30">
        <v>4500</v>
      </c>
      <c r="K4" s="31">
        <v>6</v>
      </c>
      <c r="L4" s="31">
        <v>6</v>
      </c>
      <c r="M4" s="31">
        <v>6</v>
      </c>
      <c r="N4" s="33">
        <v>0</v>
      </c>
      <c r="O4" s="33">
        <v>0</v>
      </c>
      <c r="P4" s="33">
        <v>0</v>
      </c>
      <c r="Q4" s="34">
        <v>0</v>
      </c>
      <c r="R4" s="34">
        <v>0</v>
      </c>
      <c r="S4" s="34">
        <v>0</v>
      </c>
      <c r="T4" s="30">
        <v>0</v>
      </c>
      <c r="U4" s="30">
        <v>0</v>
      </c>
      <c r="V4" s="30">
        <v>0</v>
      </c>
      <c r="W4" s="31">
        <v>0</v>
      </c>
      <c r="X4" s="31">
        <v>0</v>
      </c>
      <c r="Y4" s="31">
        <v>0</v>
      </c>
      <c r="Z4" s="33">
        <v>300000</v>
      </c>
      <c r="AA4" s="33">
        <v>300000</v>
      </c>
      <c r="AB4" s="33">
        <v>0</v>
      </c>
      <c r="AC4" s="34">
        <v>10</v>
      </c>
      <c r="AD4" s="34">
        <v>40</v>
      </c>
      <c r="AE4" s="34">
        <v>100</v>
      </c>
      <c r="AF4" s="108">
        <f>SUM(K4:M4)+SUM(Q4:S4)+SUM(W4:Y4)+SUM(AC4:AE4)</f>
        <v>168</v>
      </c>
      <c r="AG4" s="140">
        <f t="shared" ref="AG4:AG66" si="0">+AF4*MAX(U4,AA4)</f>
        <v>50400000</v>
      </c>
      <c r="AH4" s="28">
        <f>K4+Q4+W4+AC4</f>
        <v>16</v>
      </c>
      <c r="AI4" s="28">
        <f t="shared" ref="AI4:AI54" si="1">L4+R4+X4+AD4</f>
        <v>46</v>
      </c>
      <c r="AJ4" s="28">
        <f t="shared" ref="AJ4:AJ54" si="2">M4+S4+Y4+AE4</f>
        <v>106</v>
      </c>
      <c r="AK4" t="s">
        <v>250</v>
      </c>
      <c r="AL4" s="44">
        <f>SUM(AF28:AF35)</f>
        <v>31507.75</v>
      </c>
      <c r="AM4" s="44">
        <f>SUM(AG28:AG35)</f>
        <v>128815000</v>
      </c>
      <c r="AN4" s="44">
        <f>SUM(AH28:AH35)</f>
        <v>6143.25</v>
      </c>
      <c r="AO4" s="44">
        <f>SUM(AI28:AI35)</f>
        <v>9762.5</v>
      </c>
      <c r="AP4" s="44">
        <f>SUM(AJ28:AJ35)</f>
        <v>15602</v>
      </c>
      <c r="AQ4" s="28">
        <f t="shared" ref="AQ4:AQ13" si="3">AL4-SUM(AN4:AP4)</f>
        <v>0</v>
      </c>
      <c r="AS4">
        <v>31953</v>
      </c>
      <c r="AT4" s="28">
        <f>AL4 -AS4</f>
        <v>-445.25</v>
      </c>
      <c r="AU4" s="136">
        <f>AT4/AS4</f>
        <v>-1.3934528839232622E-2</v>
      </c>
    </row>
    <row r="5" spans="1:47" x14ac:dyDescent="0.25">
      <c r="A5">
        <v>3</v>
      </c>
      <c r="B5" t="s">
        <v>39</v>
      </c>
      <c r="C5" s="16" t="s">
        <v>40</v>
      </c>
      <c r="D5" s="48" t="s">
        <v>45</v>
      </c>
      <c r="E5" s="48" t="s">
        <v>46</v>
      </c>
      <c r="F5" s="19" t="s">
        <v>236</v>
      </c>
      <c r="G5" s="19" t="s">
        <v>233</v>
      </c>
      <c r="H5" s="30">
        <v>18000</v>
      </c>
      <c r="I5" s="30">
        <v>13500</v>
      </c>
      <c r="J5" s="30">
        <v>4500</v>
      </c>
      <c r="K5" s="31">
        <v>6</v>
      </c>
      <c r="L5" s="31">
        <v>6</v>
      </c>
      <c r="M5" s="31">
        <v>6</v>
      </c>
      <c r="N5" s="33">
        <v>0</v>
      </c>
      <c r="O5" s="33">
        <v>0</v>
      </c>
      <c r="P5" s="33">
        <v>0</v>
      </c>
      <c r="Q5" s="34">
        <v>0</v>
      </c>
      <c r="R5" s="34">
        <v>0</v>
      </c>
      <c r="S5" s="34">
        <v>0</v>
      </c>
      <c r="T5" s="30">
        <v>0</v>
      </c>
      <c r="U5" s="30">
        <v>0</v>
      </c>
      <c r="V5" s="30">
        <v>0</v>
      </c>
      <c r="W5" s="31">
        <v>0</v>
      </c>
      <c r="X5" s="31">
        <v>0</v>
      </c>
      <c r="Y5" s="31">
        <v>0</v>
      </c>
      <c r="Z5" s="33">
        <v>300000</v>
      </c>
      <c r="AA5" s="33">
        <v>300000</v>
      </c>
      <c r="AB5" s="33">
        <v>0</v>
      </c>
      <c r="AC5" s="34">
        <v>0</v>
      </c>
      <c r="AD5" s="34">
        <v>5</v>
      </c>
      <c r="AE5" s="34">
        <v>5</v>
      </c>
      <c r="AF5" s="108">
        <f>SUM(K5:M5)+SUM(Q5:S5)+SUM(W5:Y5)+SUM(AC5:AE5)</f>
        <v>28</v>
      </c>
      <c r="AG5" s="140">
        <f t="shared" si="0"/>
        <v>8400000</v>
      </c>
      <c r="AH5" s="28">
        <f>K5+Q5+W5+AC5</f>
        <v>6</v>
      </c>
      <c r="AI5" s="28">
        <f t="shared" si="1"/>
        <v>11</v>
      </c>
      <c r="AJ5" s="28">
        <f t="shared" si="2"/>
        <v>11</v>
      </c>
      <c r="AK5" t="s">
        <v>252</v>
      </c>
      <c r="AL5" s="44">
        <f>+AF3+AF6+AF7</f>
        <v>8156.5749999999998</v>
      </c>
      <c r="AM5" s="44">
        <f>+AG3+AG6+AG7</f>
        <v>22233875</v>
      </c>
      <c r="AN5" s="44">
        <f>+AH3+AH6+AH7</f>
        <v>2452</v>
      </c>
      <c r="AO5" s="44">
        <f>+AI3+AI6+AI7</f>
        <v>2692.5</v>
      </c>
      <c r="AP5" s="44">
        <f>+AJ3+AJ6+AJ7</f>
        <v>3012.0749999999998</v>
      </c>
      <c r="AQ5" s="28">
        <f t="shared" si="3"/>
        <v>0</v>
      </c>
      <c r="AS5">
        <v>7364</v>
      </c>
      <c r="AT5" s="28">
        <f>AL5 -AS5</f>
        <v>792.57499999999982</v>
      </c>
      <c r="AU5" s="136">
        <f>AT5/AS5</f>
        <v>0.10762832699619769</v>
      </c>
    </row>
    <row r="6" spans="1:47" x14ac:dyDescent="0.25">
      <c r="A6">
        <v>6</v>
      </c>
      <c r="B6" t="s">
        <v>39</v>
      </c>
      <c r="C6" s="21" t="s">
        <v>30</v>
      </c>
      <c r="D6" s="21" t="s">
        <v>51</v>
      </c>
      <c r="E6" s="14" t="s">
        <v>52</v>
      </c>
      <c r="F6" s="100" t="s">
        <v>39</v>
      </c>
      <c r="G6" s="100" t="s">
        <v>39</v>
      </c>
      <c r="H6" s="30">
        <v>8196</v>
      </c>
      <c r="I6" s="30">
        <v>7500</v>
      </c>
      <c r="J6" s="30">
        <v>696</v>
      </c>
      <c r="K6" s="31">
        <v>83</v>
      </c>
      <c r="L6" s="31">
        <v>76</v>
      </c>
      <c r="M6" s="31">
        <v>43</v>
      </c>
      <c r="N6" s="33">
        <v>353</v>
      </c>
      <c r="O6" s="33">
        <v>500</v>
      </c>
      <c r="P6" s="33">
        <v>-147</v>
      </c>
      <c r="Q6" s="34">
        <v>82</v>
      </c>
      <c r="R6" s="34">
        <v>93</v>
      </c>
      <c r="S6" s="34">
        <v>106</v>
      </c>
      <c r="T6" s="30">
        <v>8196</v>
      </c>
      <c r="U6" s="30">
        <v>2000</v>
      </c>
      <c r="V6" s="30">
        <v>6196</v>
      </c>
      <c r="W6" s="31">
        <v>1700</v>
      </c>
      <c r="X6" s="31">
        <v>1750</v>
      </c>
      <c r="Y6" s="31">
        <v>1800</v>
      </c>
      <c r="Z6" s="33">
        <v>8196</v>
      </c>
      <c r="AA6" s="33">
        <v>2000</v>
      </c>
      <c r="AB6" s="33">
        <v>6196</v>
      </c>
      <c r="AC6" s="34">
        <v>350</v>
      </c>
      <c r="AD6" s="34">
        <v>420</v>
      </c>
      <c r="AE6" s="34">
        <v>504</v>
      </c>
      <c r="AF6" s="108">
        <f>SUM(K6:M6)+SUM(Q6:S6)+SUM(W6:Y6)+SUM(AC6:AE6)</f>
        <v>7007</v>
      </c>
      <c r="AG6" s="140">
        <f t="shared" si="0"/>
        <v>14014000</v>
      </c>
      <c r="AH6" s="28">
        <f>K6+Q6+W6+AC6</f>
        <v>2215</v>
      </c>
      <c r="AI6" s="28">
        <f t="shared" si="1"/>
        <v>2339</v>
      </c>
      <c r="AJ6" s="28">
        <f t="shared" si="2"/>
        <v>2453</v>
      </c>
      <c r="AK6" t="s">
        <v>251</v>
      </c>
      <c r="AL6" s="98">
        <f>SUM(AF36:AF37)</f>
        <v>4551</v>
      </c>
      <c r="AM6" s="98">
        <f>SUM(AG36:AG37)</f>
        <v>3899000</v>
      </c>
      <c r="AN6" s="98">
        <f>SUM(AH36:AH37)</f>
        <v>912</v>
      </c>
      <c r="AO6" s="98">
        <f>SUM(AI36:AI37)</f>
        <v>1490</v>
      </c>
      <c r="AP6" s="98">
        <f>SUM(AJ36:AJ37)</f>
        <v>2149</v>
      </c>
      <c r="AQ6" s="28">
        <f t="shared" si="3"/>
        <v>0</v>
      </c>
      <c r="AS6" s="97">
        <v>4551</v>
      </c>
      <c r="AT6" s="28">
        <f>AS6-AL6</f>
        <v>0</v>
      </c>
    </row>
    <row r="7" spans="1:47" x14ac:dyDescent="0.25">
      <c r="A7">
        <v>23</v>
      </c>
      <c r="B7" t="s">
        <v>39</v>
      </c>
      <c r="C7" s="21" t="s">
        <v>30</v>
      </c>
      <c r="D7" s="21" t="s">
        <v>85</v>
      </c>
      <c r="E7" s="14" t="s">
        <v>86</v>
      </c>
      <c r="F7" s="100" t="s">
        <v>39</v>
      </c>
      <c r="G7" s="100" t="s">
        <v>39</v>
      </c>
      <c r="H7" s="30">
        <v>6447</v>
      </c>
      <c r="I7" s="30">
        <v>16000</v>
      </c>
      <c r="J7" s="30">
        <v>-9553</v>
      </c>
      <c r="K7" s="31">
        <v>26</v>
      </c>
      <c r="L7" s="31">
        <v>36</v>
      </c>
      <c r="M7" s="31">
        <v>52</v>
      </c>
      <c r="N7" s="33">
        <v>6447</v>
      </c>
      <c r="O7" s="33">
        <v>0</v>
      </c>
      <c r="P7" s="33">
        <v>6447</v>
      </c>
      <c r="Q7" s="34">
        <v>0</v>
      </c>
      <c r="R7" s="34">
        <v>1</v>
      </c>
      <c r="S7" s="34">
        <v>1</v>
      </c>
      <c r="T7" s="30">
        <v>6447</v>
      </c>
      <c r="U7" s="30">
        <v>8000</v>
      </c>
      <c r="V7" s="30">
        <v>-1553</v>
      </c>
      <c r="W7" s="31">
        <v>30</v>
      </c>
      <c r="X7" s="31">
        <v>60</v>
      </c>
      <c r="Y7" s="31">
        <v>100</v>
      </c>
      <c r="Z7" s="33">
        <v>6447</v>
      </c>
      <c r="AA7" s="33">
        <v>8000</v>
      </c>
      <c r="AB7" s="33">
        <v>-1553</v>
      </c>
      <c r="AC7" s="34">
        <v>74</v>
      </c>
      <c r="AD7" s="34">
        <v>148</v>
      </c>
      <c r="AE7" s="34">
        <v>296</v>
      </c>
      <c r="AF7" s="108">
        <f>SUM(K7:M7)+SUM(Q7:S7)+SUM(W7:Y7)+SUM(AC7:AE7)</f>
        <v>824</v>
      </c>
      <c r="AG7" s="140">
        <f t="shared" si="0"/>
        <v>6592000</v>
      </c>
      <c r="AH7" s="28">
        <f>K7+Q7+W7+AC7</f>
        <v>130</v>
      </c>
      <c r="AI7" s="28">
        <f t="shared" si="1"/>
        <v>245</v>
      </c>
      <c r="AJ7" s="28">
        <f t="shared" si="2"/>
        <v>449</v>
      </c>
      <c r="AL7" s="44"/>
      <c r="AM7" s="44"/>
      <c r="AN7" s="44"/>
      <c r="AO7" s="44"/>
      <c r="AP7" s="44"/>
      <c r="AQ7" s="28">
        <f t="shared" si="3"/>
        <v>0</v>
      </c>
      <c r="AS7" s="44"/>
    </row>
    <row r="8" spans="1:47" x14ac:dyDescent="0.25">
      <c r="A8">
        <v>11</v>
      </c>
      <c r="B8" t="s">
        <v>39</v>
      </c>
      <c r="C8" s="21" t="s">
        <v>30</v>
      </c>
      <c r="D8" s="21" t="s">
        <v>61</v>
      </c>
      <c r="E8" s="14" t="s">
        <v>62</v>
      </c>
      <c r="F8" s="100" t="s">
        <v>236</v>
      </c>
      <c r="G8" s="100" t="s">
        <v>232</v>
      </c>
      <c r="H8" s="30">
        <v>16163</v>
      </c>
      <c r="I8" s="30">
        <v>7500</v>
      </c>
      <c r="J8" s="30">
        <v>8663</v>
      </c>
      <c r="K8" s="31">
        <v>60</v>
      </c>
      <c r="L8" s="31">
        <v>75</v>
      </c>
      <c r="M8" s="31">
        <v>95</v>
      </c>
      <c r="N8" s="33">
        <v>16163</v>
      </c>
      <c r="O8" s="33">
        <v>8000</v>
      </c>
      <c r="P8" s="33">
        <v>8163</v>
      </c>
      <c r="Q8" s="34">
        <v>1</v>
      </c>
      <c r="R8" s="34">
        <v>1</v>
      </c>
      <c r="S8" s="34">
        <v>1</v>
      </c>
      <c r="T8" s="30">
        <v>16163</v>
      </c>
      <c r="U8" s="30">
        <v>10000</v>
      </c>
      <c r="V8" s="30">
        <v>6163</v>
      </c>
      <c r="W8" s="31">
        <v>150</v>
      </c>
      <c r="X8" s="31">
        <v>250</v>
      </c>
      <c r="Y8" s="31">
        <v>300</v>
      </c>
      <c r="Z8" s="33">
        <v>16163</v>
      </c>
      <c r="AA8" s="33">
        <v>10000</v>
      </c>
      <c r="AB8" s="33">
        <v>6163</v>
      </c>
      <c r="AC8" s="34">
        <v>63</v>
      </c>
      <c r="AD8" s="34">
        <v>267.75</v>
      </c>
      <c r="AE8" s="34">
        <v>1071</v>
      </c>
      <c r="AF8" s="108">
        <f>SUM(K8:M8)+SUM(Q8:S8)+SUM(W8:Y8)+SUM(AC8:AE8)</f>
        <v>2334.75</v>
      </c>
      <c r="AG8" s="140">
        <f t="shared" si="0"/>
        <v>23347500</v>
      </c>
      <c r="AH8" s="28">
        <f>K8+Q8+W8+AC8</f>
        <v>274</v>
      </c>
      <c r="AI8" s="28">
        <f t="shared" si="1"/>
        <v>593.75</v>
      </c>
      <c r="AJ8" s="28">
        <f t="shared" si="2"/>
        <v>1467</v>
      </c>
      <c r="AL8" s="44"/>
      <c r="AM8" s="44"/>
      <c r="AN8" s="44"/>
      <c r="AO8" s="44"/>
      <c r="AP8" s="44"/>
      <c r="AQ8" s="28">
        <f t="shared" si="3"/>
        <v>0</v>
      </c>
    </row>
    <row r="9" spans="1:47" x14ac:dyDescent="0.25">
      <c r="A9">
        <v>15</v>
      </c>
      <c r="B9" t="s">
        <v>39</v>
      </c>
      <c r="C9" s="21" t="s">
        <v>30</v>
      </c>
      <c r="D9" s="21" t="s">
        <v>69</v>
      </c>
      <c r="E9" s="14" t="s">
        <v>70</v>
      </c>
      <c r="F9" s="100" t="s">
        <v>236</v>
      </c>
      <c r="G9" s="100" t="s">
        <v>232</v>
      </c>
      <c r="H9" s="30">
        <v>15984</v>
      </c>
      <c r="I9" s="30">
        <v>7500</v>
      </c>
      <c r="J9" s="30">
        <v>8484</v>
      </c>
      <c r="K9" s="31">
        <v>191</v>
      </c>
      <c r="L9" s="31">
        <v>251</v>
      </c>
      <c r="M9" s="31">
        <v>327</v>
      </c>
      <c r="N9" s="33">
        <v>15984</v>
      </c>
      <c r="O9" s="33">
        <v>10000</v>
      </c>
      <c r="P9" s="33">
        <v>5984</v>
      </c>
      <c r="Q9" s="34">
        <v>8</v>
      </c>
      <c r="R9" s="34">
        <v>9</v>
      </c>
      <c r="S9" s="34">
        <v>10</v>
      </c>
      <c r="T9" s="30">
        <v>15984</v>
      </c>
      <c r="U9" s="30">
        <v>10000</v>
      </c>
      <c r="V9" s="30">
        <v>5984</v>
      </c>
      <c r="W9" s="31">
        <v>125</v>
      </c>
      <c r="X9" s="31">
        <v>150</v>
      </c>
      <c r="Y9" s="31">
        <v>200</v>
      </c>
      <c r="Z9" s="33">
        <v>15984</v>
      </c>
      <c r="AA9" s="33">
        <v>10000</v>
      </c>
      <c r="AB9" s="33">
        <v>5984</v>
      </c>
      <c r="AC9" s="34">
        <v>36</v>
      </c>
      <c r="AD9" s="34">
        <v>72</v>
      </c>
      <c r="AE9" s="34">
        <v>144</v>
      </c>
      <c r="AF9" s="108">
        <f>SUM(K9:M9)+SUM(Q9:S9)+SUM(W9:Y9)+SUM(AC9:AE9)</f>
        <v>1523</v>
      </c>
      <c r="AG9" s="140">
        <f t="shared" si="0"/>
        <v>15230000</v>
      </c>
      <c r="AH9" s="28">
        <f>K9+Q9+W9+AC9</f>
        <v>360</v>
      </c>
      <c r="AI9" s="28">
        <f t="shared" si="1"/>
        <v>482</v>
      </c>
      <c r="AJ9" s="28">
        <f t="shared" si="2"/>
        <v>681</v>
      </c>
      <c r="AK9" t="s">
        <v>243</v>
      </c>
      <c r="AL9" s="44"/>
      <c r="AM9" s="44"/>
      <c r="AN9" s="44"/>
      <c r="AO9" s="44"/>
      <c r="AP9" s="44"/>
      <c r="AQ9" s="28">
        <f t="shared" si="3"/>
        <v>0</v>
      </c>
      <c r="AS9" s="44"/>
    </row>
    <row r="10" spans="1:47" x14ac:dyDescent="0.25">
      <c r="A10">
        <v>17</v>
      </c>
      <c r="B10" t="s">
        <v>39</v>
      </c>
      <c r="C10" s="21" t="s">
        <v>30</v>
      </c>
      <c r="D10" s="21" t="s">
        <v>73</v>
      </c>
      <c r="E10" s="14" t="s">
        <v>74</v>
      </c>
      <c r="F10" s="100" t="s">
        <v>236</v>
      </c>
      <c r="G10" s="100" t="s">
        <v>232</v>
      </c>
      <c r="H10" s="30">
        <v>18500</v>
      </c>
      <c r="I10" s="30">
        <v>7500</v>
      </c>
      <c r="J10" s="30">
        <v>11000</v>
      </c>
      <c r="K10" s="31">
        <v>5</v>
      </c>
      <c r="L10" s="31">
        <v>10</v>
      </c>
      <c r="M10" s="31">
        <v>15</v>
      </c>
      <c r="N10" s="33">
        <v>18500</v>
      </c>
      <c r="O10" s="33">
        <v>7500</v>
      </c>
      <c r="P10" s="33">
        <v>11000</v>
      </c>
      <c r="Q10" s="34">
        <v>0</v>
      </c>
      <c r="R10" s="34">
        <v>0</v>
      </c>
      <c r="S10" s="34">
        <v>0</v>
      </c>
      <c r="T10" s="30">
        <v>18500</v>
      </c>
      <c r="U10" s="30">
        <v>7500</v>
      </c>
      <c r="V10" s="30">
        <v>11000</v>
      </c>
      <c r="W10" s="31">
        <v>50</v>
      </c>
      <c r="X10" s="31">
        <v>75</v>
      </c>
      <c r="Y10" s="31">
        <v>100</v>
      </c>
      <c r="Z10" s="33">
        <v>18500</v>
      </c>
      <c r="AA10" s="33">
        <v>7500</v>
      </c>
      <c r="AB10" s="33">
        <v>11000</v>
      </c>
      <c r="AC10" s="34">
        <v>2</v>
      </c>
      <c r="AD10" s="34">
        <v>2</v>
      </c>
      <c r="AE10" s="34">
        <v>5</v>
      </c>
      <c r="AF10" s="108">
        <f>SUM(K10:M10)+SUM(Q10:S10)+SUM(W10:Y10)+SUM(AC10:AE10)</f>
        <v>264</v>
      </c>
      <c r="AG10" s="140">
        <f t="shared" si="0"/>
        <v>1980000</v>
      </c>
      <c r="AH10" s="28">
        <f>K10+Q10+W10+AC10</f>
        <v>57</v>
      </c>
      <c r="AI10" s="28">
        <f t="shared" si="1"/>
        <v>87</v>
      </c>
      <c r="AJ10" s="28">
        <f t="shared" si="2"/>
        <v>120</v>
      </c>
      <c r="AK10" t="s">
        <v>244</v>
      </c>
      <c r="AL10" s="44">
        <f>SUM(AF40:AF45)+AF50</f>
        <v>1665.1540000000002</v>
      </c>
      <c r="AM10" s="44">
        <f>SUM(AG40:AG45)+AF50</f>
        <v>37945022.21450001</v>
      </c>
      <c r="AN10" s="44">
        <f>SUM(AH40:AH45)</f>
        <v>436</v>
      </c>
      <c r="AO10" s="44">
        <f>SUM(AI40:AI45)</f>
        <v>468.85</v>
      </c>
      <c r="AP10" s="44">
        <f>SUM(AJ40:AJ45)</f>
        <v>518.08950000000004</v>
      </c>
      <c r="AQ10" s="28">
        <f t="shared" si="3"/>
        <v>242.21450000000027</v>
      </c>
      <c r="AS10">
        <v>1580</v>
      </c>
      <c r="AT10" s="28">
        <f>AL10 -AS10</f>
        <v>85.154000000000224</v>
      </c>
      <c r="AU10" s="136">
        <f>AT10/AS10</f>
        <v>5.3894936708860898E-2</v>
      </c>
    </row>
    <row r="11" spans="1:47" x14ac:dyDescent="0.25">
      <c r="A11">
        <v>19</v>
      </c>
      <c r="B11" t="s">
        <v>39</v>
      </c>
      <c r="C11" s="21" t="s">
        <v>30</v>
      </c>
      <c r="D11" s="21" t="s">
        <v>77</v>
      </c>
      <c r="E11" s="14" t="s">
        <v>78</v>
      </c>
      <c r="F11" s="100" t="s">
        <v>236</v>
      </c>
      <c r="G11" s="100" t="s">
        <v>232</v>
      </c>
      <c r="H11" s="30">
        <v>32499</v>
      </c>
      <c r="I11" s="30">
        <v>15000</v>
      </c>
      <c r="J11" s="30">
        <v>17499</v>
      </c>
      <c r="K11" s="31">
        <v>2</v>
      </c>
      <c r="L11" s="31">
        <v>5</v>
      </c>
      <c r="M11" s="31">
        <v>7</v>
      </c>
      <c r="N11" s="33">
        <v>32499</v>
      </c>
      <c r="O11" s="33">
        <v>0</v>
      </c>
      <c r="P11" s="33">
        <v>32499</v>
      </c>
      <c r="Q11" s="34">
        <v>0</v>
      </c>
      <c r="R11" s="34">
        <v>0</v>
      </c>
      <c r="S11" s="34">
        <v>0</v>
      </c>
      <c r="T11" s="30">
        <v>32499</v>
      </c>
      <c r="U11" s="30">
        <v>15000</v>
      </c>
      <c r="V11" s="30">
        <v>17499</v>
      </c>
      <c r="W11" s="31">
        <v>10</v>
      </c>
      <c r="X11" s="31">
        <v>15</v>
      </c>
      <c r="Y11" s="31">
        <v>20</v>
      </c>
      <c r="Z11" s="33">
        <v>32499</v>
      </c>
      <c r="AA11" s="33">
        <v>15000</v>
      </c>
      <c r="AB11" s="33">
        <v>17499</v>
      </c>
      <c r="AC11" s="34">
        <v>2</v>
      </c>
      <c r="AD11" s="34">
        <v>2</v>
      </c>
      <c r="AE11" s="34">
        <v>5</v>
      </c>
      <c r="AF11" s="108">
        <f>SUM(K11:M11)+SUM(Q11:S11)+SUM(W11:Y11)+SUM(AC11:AE11)</f>
        <v>68</v>
      </c>
      <c r="AG11" s="140">
        <f t="shared" si="0"/>
        <v>1020000</v>
      </c>
      <c r="AH11" s="28">
        <f>K11+Q11+W11+AC11</f>
        <v>14</v>
      </c>
      <c r="AI11" s="28">
        <f t="shared" si="1"/>
        <v>22</v>
      </c>
      <c r="AJ11" s="28">
        <f t="shared" si="2"/>
        <v>32</v>
      </c>
      <c r="AK11" t="s">
        <v>245</v>
      </c>
      <c r="AL11" s="44">
        <f>SUM(AF46:AF49)</f>
        <v>1823.5755999999999</v>
      </c>
      <c r="AM11" s="44">
        <f>SUM(AG46:AG49)</f>
        <v>28934982.800000001</v>
      </c>
      <c r="AN11" s="44">
        <f>SUM(AH46:AH50)</f>
        <v>539.59999999999991</v>
      </c>
      <c r="AO11" s="44">
        <f>SUM(AI46:AI50)</f>
        <v>661.43000000000006</v>
      </c>
      <c r="AP11" s="44">
        <f>SUM(AJ46:AJ50)</f>
        <v>864.76010000000008</v>
      </c>
      <c r="AQ11" s="28">
        <f t="shared" si="3"/>
        <v>-242.21450000000027</v>
      </c>
      <c r="AS11">
        <v>3598</v>
      </c>
      <c r="AT11" s="28">
        <f>AL11 -AS11</f>
        <v>-1774.4244000000001</v>
      </c>
      <c r="AU11" s="136">
        <f>AT11/AS11</f>
        <v>-0.49316964980544747</v>
      </c>
    </row>
    <row r="12" spans="1:47" x14ac:dyDescent="0.25">
      <c r="A12">
        <v>21</v>
      </c>
      <c r="B12" t="s">
        <v>39</v>
      </c>
      <c r="C12" s="21" t="s">
        <v>30</v>
      </c>
      <c r="D12" s="21" t="s">
        <v>81</v>
      </c>
      <c r="E12" s="14" t="s">
        <v>82</v>
      </c>
      <c r="F12" s="100" t="s">
        <v>236</v>
      </c>
      <c r="G12" s="100" t="s">
        <v>232</v>
      </c>
      <c r="H12" s="30">
        <v>20057</v>
      </c>
      <c r="J12" s="30">
        <v>20057</v>
      </c>
      <c r="N12" s="33">
        <v>20057</v>
      </c>
      <c r="O12" s="33">
        <v>0</v>
      </c>
      <c r="P12" s="33">
        <v>20057</v>
      </c>
      <c r="T12" s="30">
        <v>20057</v>
      </c>
      <c r="U12" s="30">
        <v>15000</v>
      </c>
      <c r="V12" s="30">
        <v>5057</v>
      </c>
      <c r="W12" s="31">
        <v>10</v>
      </c>
      <c r="X12" s="31">
        <v>15</v>
      </c>
      <c r="Y12" s="31">
        <v>20</v>
      </c>
      <c r="Z12" s="33">
        <v>20057</v>
      </c>
      <c r="AA12" s="33">
        <v>15000</v>
      </c>
      <c r="AB12" s="33">
        <v>5057</v>
      </c>
      <c r="AF12" s="108">
        <f>SUM(K12:M12)+SUM(Q12:S12)+SUM(W12:Y12)+SUM(AC12:AE12)</f>
        <v>45</v>
      </c>
      <c r="AG12" s="140">
        <f t="shared" si="0"/>
        <v>675000</v>
      </c>
      <c r="AH12" s="28">
        <f>K12+Q12+W12+AC12</f>
        <v>10</v>
      </c>
      <c r="AI12" s="28">
        <f t="shared" si="1"/>
        <v>15</v>
      </c>
      <c r="AJ12" s="28">
        <f t="shared" si="2"/>
        <v>20</v>
      </c>
      <c r="AK12" t="s">
        <v>248</v>
      </c>
      <c r="AL12" s="44">
        <f>SUM(AF38:AF39)</f>
        <v>2899.3863249999999</v>
      </c>
      <c r="AM12" s="44">
        <f>SUM(AG38:AG39)</f>
        <v>45155397.375</v>
      </c>
      <c r="AN12" s="44">
        <f>SUM(AH38:AH39)</f>
        <v>926.95</v>
      </c>
      <c r="AO12" s="44">
        <f>SUM(AI38:AI39)</f>
        <v>964.44749999999999</v>
      </c>
      <c r="AP12" s="44">
        <f>SUM(AJ38:AJ39)</f>
        <v>1007.9888250000001</v>
      </c>
      <c r="AQ12" s="28">
        <f t="shared" si="3"/>
        <v>0</v>
      </c>
      <c r="AS12">
        <v>1418</v>
      </c>
      <c r="AT12" s="28">
        <f>AL12 -AS12</f>
        <v>1481.3863249999999</v>
      </c>
      <c r="AU12" s="136">
        <f>AT12/AS12</f>
        <v>1.0447012165021157</v>
      </c>
    </row>
    <row r="13" spans="1:47" x14ac:dyDescent="0.25">
      <c r="A13">
        <v>22</v>
      </c>
      <c r="B13" t="s">
        <v>39</v>
      </c>
      <c r="C13" s="21" t="s">
        <v>30</v>
      </c>
      <c r="D13" s="21" t="s">
        <v>83</v>
      </c>
      <c r="E13" s="14" t="s">
        <v>84</v>
      </c>
      <c r="F13" s="100" t="s">
        <v>236</v>
      </c>
      <c r="G13" s="100" t="s">
        <v>232</v>
      </c>
      <c r="H13" s="30">
        <v>20197</v>
      </c>
      <c r="J13" s="30">
        <v>20197</v>
      </c>
      <c r="N13" s="33">
        <v>20197</v>
      </c>
      <c r="O13" s="33">
        <v>0</v>
      </c>
      <c r="P13" s="33">
        <v>20197</v>
      </c>
      <c r="T13" s="30">
        <v>20197</v>
      </c>
      <c r="U13" s="30">
        <v>15000</v>
      </c>
      <c r="V13" s="30">
        <v>5197</v>
      </c>
      <c r="W13" s="31">
        <v>5</v>
      </c>
      <c r="X13" s="31">
        <v>10</v>
      </c>
      <c r="Y13" s="31">
        <v>25</v>
      </c>
      <c r="Z13" s="33">
        <v>20197</v>
      </c>
      <c r="AA13" s="33">
        <v>15000</v>
      </c>
      <c r="AB13" s="33">
        <v>5197</v>
      </c>
      <c r="AF13" s="108">
        <f>SUM(K13:M13)+SUM(Q13:S13)+SUM(W13:Y13)+SUM(AC13:AE13)</f>
        <v>40</v>
      </c>
      <c r="AG13" s="140">
        <f t="shared" si="0"/>
        <v>600000</v>
      </c>
      <c r="AH13" s="28">
        <f>K13+Q13+W13+AC13</f>
        <v>5</v>
      </c>
      <c r="AI13" s="28">
        <f t="shared" si="1"/>
        <v>10</v>
      </c>
      <c r="AJ13" s="28">
        <f t="shared" si="2"/>
        <v>25</v>
      </c>
      <c r="AK13" t="s">
        <v>246</v>
      </c>
      <c r="AL13" s="98">
        <f>SUM(AF51:AF54)</f>
        <v>1000</v>
      </c>
      <c r="AM13" s="98">
        <f>SUM(AG51:AG54)</f>
        <v>5000000</v>
      </c>
      <c r="AN13" s="98">
        <f>SUM(AH51:AH54)</f>
        <v>325</v>
      </c>
      <c r="AO13" s="98">
        <f>SUM(AI51:AI54)</f>
        <v>336</v>
      </c>
      <c r="AP13" s="98">
        <f>SUM(AJ51:AJ54)</f>
        <v>339</v>
      </c>
      <c r="AQ13" s="28">
        <f t="shared" si="3"/>
        <v>0</v>
      </c>
      <c r="AS13" s="97">
        <v>1000</v>
      </c>
      <c r="AT13" s="28">
        <f>AS13-AL13</f>
        <v>0</v>
      </c>
    </row>
    <row r="14" spans="1:47" x14ac:dyDescent="0.25">
      <c r="A14">
        <v>28</v>
      </c>
      <c r="B14" t="s">
        <v>39</v>
      </c>
      <c r="C14" s="21" t="s">
        <v>30</v>
      </c>
      <c r="D14" s="21" t="s">
        <v>95</v>
      </c>
      <c r="E14" s="14" t="s">
        <v>96</v>
      </c>
      <c r="F14" s="100" t="s">
        <v>236</v>
      </c>
      <c r="G14" s="100" t="s">
        <v>232</v>
      </c>
      <c r="H14" s="30">
        <v>19180</v>
      </c>
      <c r="I14" s="30">
        <v>16000</v>
      </c>
      <c r="J14" s="30">
        <v>3180</v>
      </c>
      <c r="K14" s="31">
        <v>9</v>
      </c>
      <c r="L14" s="31">
        <v>11</v>
      </c>
      <c r="M14" s="31">
        <v>16</v>
      </c>
      <c r="N14" s="33">
        <v>19180</v>
      </c>
      <c r="O14" s="33">
        <v>0</v>
      </c>
      <c r="P14" s="33">
        <v>19180</v>
      </c>
      <c r="T14" s="30">
        <v>19180</v>
      </c>
      <c r="U14" s="30">
        <v>16000</v>
      </c>
      <c r="V14" s="30">
        <v>3180</v>
      </c>
      <c r="W14" s="31">
        <v>10</v>
      </c>
      <c r="X14" s="31">
        <v>20</v>
      </c>
      <c r="Y14" s="31">
        <v>40</v>
      </c>
      <c r="Z14" s="33">
        <v>19180</v>
      </c>
      <c r="AA14" s="33">
        <v>0</v>
      </c>
      <c r="AB14" s="33">
        <v>19180</v>
      </c>
      <c r="AC14" s="34">
        <v>0</v>
      </c>
      <c r="AD14" s="34">
        <v>0</v>
      </c>
      <c r="AE14" s="34">
        <v>0</v>
      </c>
      <c r="AF14" s="108">
        <f>SUM(K14:M14)+SUM(Q14:S14)+SUM(W14:Y14)+SUM(AC14:AE14)</f>
        <v>106</v>
      </c>
      <c r="AG14" s="140">
        <f t="shared" si="0"/>
        <v>1696000</v>
      </c>
      <c r="AH14" s="28">
        <f>K14+Q14+W14+AC14</f>
        <v>19</v>
      </c>
      <c r="AI14" s="28">
        <f t="shared" si="1"/>
        <v>31</v>
      </c>
      <c r="AJ14" s="28">
        <f t="shared" si="2"/>
        <v>56</v>
      </c>
      <c r="AK14" t="s">
        <v>254</v>
      </c>
      <c r="AL14" s="44">
        <f>SUM(AL3:AL13)</f>
        <v>58916.440924999995</v>
      </c>
      <c r="AM14" s="44"/>
      <c r="AN14" s="44">
        <f>SUM(AN3:AN13)</f>
        <v>12967.300000000001</v>
      </c>
      <c r="AO14" s="44">
        <f>SUM(AO3:AO13)</f>
        <v>18463.727499999997</v>
      </c>
      <c r="AP14" s="44">
        <f>SUM(AP3:AP13)</f>
        <v>27485.413424999999</v>
      </c>
    </row>
    <row r="15" spans="1:47" x14ac:dyDescent="0.25">
      <c r="A15">
        <v>32</v>
      </c>
      <c r="B15" t="s">
        <v>39</v>
      </c>
      <c r="C15" s="21" t="s">
        <v>30</v>
      </c>
      <c r="D15" s="21" t="s">
        <v>103</v>
      </c>
      <c r="E15" s="14" t="s">
        <v>104</v>
      </c>
      <c r="F15" s="100" t="s">
        <v>236</v>
      </c>
      <c r="G15" s="100" t="s">
        <v>232</v>
      </c>
      <c r="H15" s="30">
        <v>13015</v>
      </c>
      <c r="I15" s="30">
        <v>16000</v>
      </c>
      <c r="J15" s="30">
        <v>-2985</v>
      </c>
      <c r="K15" s="31">
        <v>30</v>
      </c>
      <c r="L15" s="31">
        <v>46</v>
      </c>
      <c r="M15" s="31">
        <v>70</v>
      </c>
      <c r="N15" s="33">
        <v>13015</v>
      </c>
      <c r="O15" s="33">
        <v>16000</v>
      </c>
      <c r="P15" s="33">
        <v>-2985</v>
      </c>
      <c r="Q15" s="34">
        <v>1</v>
      </c>
      <c r="R15" s="34">
        <v>2</v>
      </c>
      <c r="S15" s="34">
        <v>3</v>
      </c>
      <c r="T15" s="30">
        <v>13015</v>
      </c>
      <c r="U15" s="30">
        <v>16000</v>
      </c>
      <c r="V15" s="30">
        <v>-2985</v>
      </c>
      <c r="W15" s="31">
        <v>20</v>
      </c>
      <c r="X15" s="31">
        <v>40</v>
      </c>
      <c r="Y15" s="31">
        <v>80</v>
      </c>
      <c r="Z15" s="33">
        <v>13015</v>
      </c>
      <c r="AA15" s="33">
        <v>16000</v>
      </c>
      <c r="AB15" s="33">
        <v>-2985</v>
      </c>
      <c r="AC15" s="34">
        <v>46.25</v>
      </c>
      <c r="AD15" s="34">
        <v>92.5</v>
      </c>
      <c r="AE15" s="34">
        <v>185</v>
      </c>
      <c r="AF15" s="108">
        <f>SUM(K15:M15)+SUM(Q15:S15)+SUM(W15:Y15)+SUM(AC15:AE15)</f>
        <v>615.75</v>
      </c>
      <c r="AG15" s="140">
        <f t="shared" si="0"/>
        <v>9852000</v>
      </c>
      <c r="AH15" s="28">
        <f>K15+Q15+W15+AC15</f>
        <v>97.25</v>
      </c>
      <c r="AI15" s="28">
        <f t="shared" si="1"/>
        <v>180.5</v>
      </c>
      <c r="AJ15" s="28">
        <f t="shared" si="2"/>
        <v>338</v>
      </c>
      <c r="AL15" s="44"/>
      <c r="AM15" s="44"/>
      <c r="AT15" s="143"/>
    </row>
    <row r="16" spans="1:47" x14ac:dyDescent="0.25">
      <c r="A16">
        <v>34</v>
      </c>
      <c r="B16" t="s">
        <v>39</v>
      </c>
      <c r="C16" s="21" t="s">
        <v>30</v>
      </c>
      <c r="D16" s="21" t="s">
        <v>107</v>
      </c>
      <c r="E16" s="14" t="s">
        <v>108</v>
      </c>
      <c r="F16" s="100" t="s">
        <v>236</v>
      </c>
      <c r="G16" s="100" t="s">
        <v>232</v>
      </c>
      <c r="H16" s="30">
        <v>18500</v>
      </c>
      <c r="J16" s="30">
        <v>18500</v>
      </c>
      <c r="L16" s="31">
        <v>1</v>
      </c>
      <c r="M16" s="31">
        <v>2</v>
      </c>
      <c r="N16" s="33">
        <v>18500</v>
      </c>
      <c r="O16" s="33">
        <v>0</v>
      </c>
      <c r="P16" s="33">
        <v>18500</v>
      </c>
      <c r="T16" s="30">
        <v>18500</v>
      </c>
      <c r="U16" s="30">
        <v>0</v>
      </c>
      <c r="V16" s="30">
        <v>18500</v>
      </c>
      <c r="W16" s="31"/>
      <c r="X16" s="31"/>
      <c r="Y16" s="31"/>
      <c r="Z16" s="33">
        <v>18500</v>
      </c>
      <c r="AA16" s="33">
        <v>0</v>
      </c>
      <c r="AB16" s="33">
        <v>18500</v>
      </c>
      <c r="AF16" s="108">
        <f>SUM(K16:M16)+SUM(Q16:S16)+SUM(W16:Y16)+SUM(AC16:AE16)</f>
        <v>3</v>
      </c>
      <c r="AG16" s="146">
        <f>+AF16*MAX(U16,AA16,H16)</f>
        <v>55500</v>
      </c>
      <c r="AH16" s="28">
        <f>K16+Q16+W16+AC16</f>
        <v>0</v>
      </c>
      <c r="AI16" s="28">
        <f t="shared" si="1"/>
        <v>1</v>
      </c>
      <c r="AJ16" s="28">
        <f t="shared" si="2"/>
        <v>2</v>
      </c>
      <c r="AL16" s="44"/>
      <c r="AM16" s="44"/>
    </row>
    <row r="17" spans="1:39" x14ac:dyDescent="0.25">
      <c r="A17">
        <v>36</v>
      </c>
      <c r="B17" t="s">
        <v>39</v>
      </c>
      <c r="C17" s="21" t="s">
        <v>30</v>
      </c>
      <c r="D17" s="21" t="s">
        <v>111</v>
      </c>
      <c r="E17" s="14" t="s">
        <v>112</v>
      </c>
      <c r="F17" s="100" t="s">
        <v>236</v>
      </c>
      <c r="G17" s="100" t="s">
        <v>232</v>
      </c>
      <c r="H17" s="30">
        <v>38762</v>
      </c>
      <c r="J17" s="30">
        <v>38762</v>
      </c>
      <c r="N17" s="33">
        <v>38762</v>
      </c>
      <c r="O17" s="33">
        <v>0</v>
      </c>
      <c r="P17" s="33">
        <v>38762</v>
      </c>
      <c r="T17" s="30">
        <v>38762</v>
      </c>
      <c r="U17" s="30">
        <v>0</v>
      </c>
      <c r="V17" s="30">
        <v>38762</v>
      </c>
      <c r="W17" s="31"/>
      <c r="X17" s="31"/>
      <c r="Y17" s="31"/>
      <c r="Z17" s="33">
        <v>38762</v>
      </c>
      <c r="AA17" s="33">
        <v>0</v>
      </c>
      <c r="AB17" s="33">
        <v>38762</v>
      </c>
      <c r="AF17" s="108">
        <f>SUM(K17:M17)+SUM(Q17:S17)+SUM(W17:Y17)+SUM(AC17:AE17)</f>
        <v>0</v>
      </c>
      <c r="AG17" s="146">
        <f>+AF17*MAX(U17,AA17,H17)</f>
        <v>0</v>
      </c>
      <c r="AH17" s="28">
        <f>K17+Q17+W17+AC17</f>
        <v>0</v>
      </c>
      <c r="AI17" s="28">
        <f t="shared" si="1"/>
        <v>0</v>
      </c>
      <c r="AJ17" s="28">
        <f t="shared" si="2"/>
        <v>0</v>
      </c>
      <c r="AL17" s="44"/>
      <c r="AM17" s="44"/>
    </row>
    <row r="18" spans="1:39" x14ac:dyDescent="0.25">
      <c r="A18">
        <v>38</v>
      </c>
      <c r="B18" t="s">
        <v>39</v>
      </c>
      <c r="C18" s="21" t="s">
        <v>30</v>
      </c>
      <c r="D18" s="21" t="s">
        <v>115</v>
      </c>
      <c r="E18" s="14" t="s">
        <v>116</v>
      </c>
      <c r="F18" s="100" t="s">
        <v>236</v>
      </c>
      <c r="G18" s="100" t="s">
        <v>232</v>
      </c>
      <c r="H18" s="30">
        <v>26320</v>
      </c>
      <c r="J18" s="30">
        <v>26320</v>
      </c>
      <c r="N18" s="33">
        <v>26320</v>
      </c>
      <c r="O18" s="33">
        <v>0</v>
      </c>
      <c r="P18" s="33">
        <v>26320</v>
      </c>
      <c r="T18" s="30">
        <v>26320</v>
      </c>
      <c r="U18" s="30">
        <v>0</v>
      </c>
      <c r="V18" s="30">
        <v>26320</v>
      </c>
      <c r="W18" s="31"/>
      <c r="X18" s="31"/>
      <c r="Y18" s="31"/>
      <c r="Z18" s="33">
        <v>26320</v>
      </c>
      <c r="AA18" s="33">
        <v>0</v>
      </c>
      <c r="AB18" s="33">
        <v>26320</v>
      </c>
      <c r="AF18" s="108">
        <f>SUM(K18:M18)+SUM(Q18:S18)+SUM(W18:Y18)+SUM(AC18:AE18)</f>
        <v>0</v>
      </c>
      <c r="AG18" s="146">
        <f>+AF18*MAX(U18,AA18,H18)</f>
        <v>0</v>
      </c>
      <c r="AH18" s="28">
        <f>K18+Q18+W18+AC18</f>
        <v>0</v>
      </c>
      <c r="AI18" s="28">
        <f t="shared" si="1"/>
        <v>0</v>
      </c>
      <c r="AJ18" s="28">
        <f t="shared" si="2"/>
        <v>0</v>
      </c>
    </row>
    <row r="19" spans="1:39" x14ac:dyDescent="0.25">
      <c r="A19">
        <v>12</v>
      </c>
      <c r="B19" t="s">
        <v>39</v>
      </c>
      <c r="C19" s="21" t="s">
        <v>30</v>
      </c>
      <c r="D19" s="21" t="s">
        <v>63</v>
      </c>
      <c r="E19" s="14" t="s">
        <v>64</v>
      </c>
      <c r="F19" s="100" t="s">
        <v>236</v>
      </c>
      <c r="G19" s="100" t="s">
        <v>233</v>
      </c>
      <c r="H19" s="30">
        <v>16163</v>
      </c>
      <c r="I19" s="30">
        <v>7500</v>
      </c>
      <c r="J19" s="30">
        <v>8663</v>
      </c>
      <c r="K19" s="31">
        <v>40</v>
      </c>
      <c r="L19" s="31">
        <v>50</v>
      </c>
      <c r="M19" s="31">
        <v>65</v>
      </c>
      <c r="N19" s="33">
        <v>16163</v>
      </c>
      <c r="O19" s="33">
        <v>8000</v>
      </c>
      <c r="P19" s="33">
        <v>8163</v>
      </c>
      <c r="Q19" s="34">
        <v>0</v>
      </c>
      <c r="R19" s="34">
        <v>0</v>
      </c>
      <c r="S19" s="34">
        <v>0</v>
      </c>
      <c r="T19" s="30">
        <v>16163</v>
      </c>
      <c r="U19" s="30">
        <v>10000</v>
      </c>
      <c r="V19" s="30">
        <v>6163</v>
      </c>
      <c r="W19" s="31">
        <v>12</v>
      </c>
      <c r="X19" s="31">
        <v>15</v>
      </c>
      <c r="Y19" s="31">
        <v>17</v>
      </c>
      <c r="Z19" s="33">
        <v>16163</v>
      </c>
      <c r="AA19" s="33">
        <v>10000</v>
      </c>
      <c r="AB19" s="33">
        <v>6163</v>
      </c>
      <c r="AC19" s="34">
        <v>25</v>
      </c>
      <c r="AD19" s="34">
        <v>106.25</v>
      </c>
      <c r="AE19" s="34">
        <v>425</v>
      </c>
      <c r="AF19" s="108">
        <f>SUM(K19:M19)+SUM(Q19:S19)+SUM(W19:Y19)+SUM(AC19:AE19)</f>
        <v>755.25</v>
      </c>
      <c r="AG19" s="140">
        <f t="shared" si="0"/>
        <v>7552500</v>
      </c>
      <c r="AH19" s="28">
        <f>K19+Q19+W19+AC19</f>
        <v>77</v>
      </c>
      <c r="AI19" s="28">
        <f t="shared" si="1"/>
        <v>171.25</v>
      </c>
      <c r="AJ19" s="28">
        <f t="shared" si="2"/>
        <v>507</v>
      </c>
    </row>
    <row r="20" spans="1:39" x14ac:dyDescent="0.25">
      <c r="A20">
        <v>16</v>
      </c>
      <c r="B20" t="s">
        <v>39</v>
      </c>
      <c r="C20" s="21" t="s">
        <v>30</v>
      </c>
      <c r="D20" s="21" t="s">
        <v>71</v>
      </c>
      <c r="E20" s="14" t="s">
        <v>72</v>
      </c>
      <c r="F20" s="100" t="s">
        <v>236</v>
      </c>
      <c r="G20" s="100" t="s">
        <v>233</v>
      </c>
      <c r="H20" s="30">
        <v>15984</v>
      </c>
      <c r="I20" s="30">
        <v>7500</v>
      </c>
      <c r="J20" s="30">
        <v>8484</v>
      </c>
      <c r="K20" s="31">
        <v>164</v>
      </c>
      <c r="L20" s="31">
        <v>201</v>
      </c>
      <c r="M20" s="31">
        <v>250</v>
      </c>
      <c r="N20" s="33">
        <v>15984</v>
      </c>
      <c r="O20" s="33">
        <v>10000</v>
      </c>
      <c r="P20" s="33">
        <v>5984</v>
      </c>
      <c r="Q20" s="34">
        <v>1</v>
      </c>
      <c r="R20" s="34">
        <v>1</v>
      </c>
      <c r="S20" s="34">
        <v>1</v>
      </c>
      <c r="T20" s="30">
        <v>15984</v>
      </c>
      <c r="U20" s="30">
        <v>10000</v>
      </c>
      <c r="V20" s="30">
        <v>5984</v>
      </c>
      <c r="W20" s="31">
        <v>20</v>
      </c>
      <c r="X20" s="31">
        <v>40</v>
      </c>
      <c r="Y20" s="31">
        <v>45</v>
      </c>
      <c r="Z20" s="33">
        <v>15984</v>
      </c>
      <c r="AA20" s="33">
        <v>10000</v>
      </c>
      <c r="AB20" s="33">
        <v>5984</v>
      </c>
      <c r="AC20" s="34">
        <v>10</v>
      </c>
      <c r="AD20" s="34">
        <v>15</v>
      </c>
      <c r="AE20" s="34">
        <v>22.5</v>
      </c>
      <c r="AF20" s="108">
        <f>SUM(K20:M20)+SUM(Q20:S20)+SUM(W20:Y20)+SUM(AC20:AE20)</f>
        <v>770.5</v>
      </c>
      <c r="AG20" s="140">
        <f t="shared" si="0"/>
        <v>7705000</v>
      </c>
      <c r="AH20" s="28">
        <f>K20+Q20+W20+AC20</f>
        <v>195</v>
      </c>
      <c r="AI20" s="28">
        <f t="shared" si="1"/>
        <v>257</v>
      </c>
      <c r="AJ20" s="28">
        <f t="shared" si="2"/>
        <v>318.5</v>
      </c>
      <c r="AL20" s="28"/>
      <c r="AM20" s="28"/>
    </row>
    <row r="21" spans="1:39" x14ac:dyDescent="0.25">
      <c r="A21">
        <v>18</v>
      </c>
      <c r="B21" t="s">
        <v>39</v>
      </c>
      <c r="C21" s="21" t="s">
        <v>30</v>
      </c>
      <c r="D21" s="21" t="s">
        <v>75</v>
      </c>
      <c r="E21" s="14" t="s">
        <v>76</v>
      </c>
      <c r="F21" s="100" t="s">
        <v>236</v>
      </c>
      <c r="G21" s="100" t="s">
        <v>233</v>
      </c>
      <c r="H21" s="30">
        <v>18500</v>
      </c>
      <c r="I21" s="30">
        <v>7500</v>
      </c>
      <c r="J21" s="30">
        <v>11000</v>
      </c>
      <c r="K21" s="31">
        <v>3</v>
      </c>
      <c r="L21" s="31">
        <v>7</v>
      </c>
      <c r="M21" s="31">
        <v>10</v>
      </c>
      <c r="N21" s="33">
        <v>18500</v>
      </c>
      <c r="O21" s="33">
        <v>7500</v>
      </c>
      <c r="P21" s="33">
        <v>11000</v>
      </c>
      <c r="Q21" s="34">
        <v>0</v>
      </c>
      <c r="R21" s="34">
        <v>0</v>
      </c>
      <c r="S21" s="34">
        <v>0</v>
      </c>
      <c r="T21" s="30">
        <v>18500</v>
      </c>
      <c r="U21" s="30">
        <v>7500</v>
      </c>
      <c r="V21" s="30">
        <v>11000</v>
      </c>
      <c r="W21" s="31">
        <v>25</v>
      </c>
      <c r="X21" s="31">
        <v>50</v>
      </c>
      <c r="Y21" s="31">
        <v>75</v>
      </c>
      <c r="Z21" s="33">
        <v>18500</v>
      </c>
      <c r="AA21" s="33">
        <v>7500</v>
      </c>
      <c r="AB21" s="33">
        <v>11000</v>
      </c>
      <c r="AC21" s="34">
        <v>2</v>
      </c>
      <c r="AD21" s="34">
        <v>2</v>
      </c>
      <c r="AE21" s="34">
        <v>5</v>
      </c>
      <c r="AF21" s="108">
        <f>SUM(K21:M21)+SUM(Q21:S21)+SUM(W21:Y21)+SUM(AC21:AE21)</f>
        <v>179</v>
      </c>
      <c r="AG21" s="140">
        <f t="shared" si="0"/>
        <v>1342500</v>
      </c>
      <c r="AH21" s="28">
        <f>K21+Q21+W21+AC21</f>
        <v>30</v>
      </c>
      <c r="AI21" s="28">
        <f t="shared" si="1"/>
        <v>59</v>
      </c>
      <c r="AJ21" s="28">
        <f t="shared" si="2"/>
        <v>90</v>
      </c>
    </row>
    <row r="22" spans="1:39" x14ac:dyDescent="0.25">
      <c r="A22">
        <v>20</v>
      </c>
      <c r="B22" t="s">
        <v>39</v>
      </c>
      <c r="C22" s="21" t="s">
        <v>30</v>
      </c>
      <c r="D22" s="21" t="s">
        <v>79</v>
      </c>
      <c r="E22" s="14" t="s">
        <v>80</v>
      </c>
      <c r="F22" s="100" t="s">
        <v>236</v>
      </c>
      <c r="G22" s="100" t="s">
        <v>233</v>
      </c>
      <c r="H22" s="30">
        <v>32639</v>
      </c>
      <c r="I22" s="30">
        <v>15000</v>
      </c>
      <c r="J22" s="30">
        <v>17639</v>
      </c>
      <c r="K22" s="31">
        <v>1</v>
      </c>
      <c r="L22" s="31">
        <v>2</v>
      </c>
      <c r="M22" s="31">
        <v>3</v>
      </c>
      <c r="N22" s="33">
        <v>32639</v>
      </c>
      <c r="O22" s="33">
        <v>0</v>
      </c>
      <c r="P22" s="33">
        <v>32639</v>
      </c>
      <c r="Q22" s="34">
        <v>0</v>
      </c>
      <c r="R22" s="34">
        <v>0</v>
      </c>
      <c r="S22" s="34">
        <v>0</v>
      </c>
      <c r="T22" s="30">
        <v>32639</v>
      </c>
      <c r="U22" s="30">
        <v>15000</v>
      </c>
      <c r="V22" s="30">
        <v>17639</v>
      </c>
      <c r="W22" s="31">
        <v>5</v>
      </c>
      <c r="X22" s="31">
        <v>10</v>
      </c>
      <c r="Y22" s="31">
        <v>25</v>
      </c>
      <c r="Z22" s="33">
        <v>32639</v>
      </c>
      <c r="AA22" s="33">
        <v>15000</v>
      </c>
      <c r="AB22" s="33">
        <v>17639</v>
      </c>
      <c r="AC22" s="34">
        <v>2</v>
      </c>
      <c r="AD22" s="34">
        <v>2</v>
      </c>
      <c r="AE22" s="34">
        <v>5</v>
      </c>
      <c r="AF22" s="108">
        <f>SUM(K22:M22)+SUM(Q22:S22)+SUM(W22:Y22)+SUM(AC22:AE22)</f>
        <v>55</v>
      </c>
      <c r="AG22" s="140">
        <f t="shared" si="0"/>
        <v>825000</v>
      </c>
      <c r="AH22" s="28">
        <f>K22+Q22+W22+AC22</f>
        <v>8</v>
      </c>
      <c r="AI22" s="28">
        <f t="shared" si="1"/>
        <v>14</v>
      </c>
      <c r="AJ22" s="28">
        <f t="shared" si="2"/>
        <v>33</v>
      </c>
    </row>
    <row r="23" spans="1:39" x14ac:dyDescent="0.25">
      <c r="A23">
        <v>29</v>
      </c>
      <c r="B23" t="s">
        <v>39</v>
      </c>
      <c r="C23" s="21" t="s">
        <v>30</v>
      </c>
      <c r="D23" s="21" t="s">
        <v>97</v>
      </c>
      <c r="E23" s="14" t="s">
        <v>98</v>
      </c>
      <c r="F23" s="100" t="s">
        <v>236</v>
      </c>
      <c r="G23" s="100" t="s">
        <v>233</v>
      </c>
      <c r="H23" s="30">
        <v>19180</v>
      </c>
      <c r="I23" s="30">
        <v>16000</v>
      </c>
      <c r="J23" s="30">
        <v>3180</v>
      </c>
      <c r="K23" s="31">
        <v>6</v>
      </c>
      <c r="L23" s="31">
        <v>7</v>
      </c>
      <c r="M23" s="31">
        <v>11</v>
      </c>
      <c r="N23" s="33">
        <v>19180</v>
      </c>
      <c r="O23" s="33">
        <v>0</v>
      </c>
      <c r="P23" s="33">
        <v>19180</v>
      </c>
      <c r="Q23" s="34">
        <v>0</v>
      </c>
      <c r="R23" s="34">
        <v>0</v>
      </c>
      <c r="S23" s="34">
        <v>0</v>
      </c>
      <c r="T23" s="30">
        <v>19180</v>
      </c>
      <c r="U23" s="30">
        <v>16000</v>
      </c>
      <c r="V23" s="30">
        <v>3180</v>
      </c>
      <c r="W23" s="31">
        <v>5</v>
      </c>
      <c r="X23" s="31">
        <v>7</v>
      </c>
      <c r="Y23" s="31">
        <v>10</v>
      </c>
      <c r="Z23" s="33">
        <v>19180</v>
      </c>
      <c r="AA23" s="33">
        <v>16000</v>
      </c>
      <c r="AB23" s="33">
        <v>3180</v>
      </c>
      <c r="AC23" s="34">
        <v>17.25</v>
      </c>
      <c r="AD23" s="34">
        <v>34.5</v>
      </c>
      <c r="AE23" s="34">
        <v>69</v>
      </c>
      <c r="AF23" s="108">
        <f>SUM(K23:M23)+SUM(Q23:S23)+SUM(W23:Y23)+SUM(AC23:AE23)</f>
        <v>166.75</v>
      </c>
      <c r="AG23" s="140">
        <f t="shared" si="0"/>
        <v>2668000</v>
      </c>
      <c r="AH23" s="28">
        <f>K23+Q23+W23+AC23</f>
        <v>28.25</v>
      </c>
      <c r="AI23" s="28">
        <f t="shared" si="1"/>
        <v>48.5</v>
      </c>
      <c r="AJ23" s="28">
        <f t="shared" si="2"/>
        <v>90</v>
      </c>
    </row>
    <row r="24" spans="1:39" x14ac:dyDescent="0.25">
      <c r="A24">
        <v>33</v>
      </c>
      <c r="B24" t="s">
        <v>39</v>
      </c>
      <c r="C24" s="21" t="s">
        <v>30</v>
      </c>
      <c r="D24" s="21" t="s">
        <v>105</v>
      </c>
      <c r="E24" s="14" t="s">
        <v>106</v>
      </c>
      <c r="F24" s="100" t="s">
        <v>236</v>
      </c>
      <c r="G24" s="100" t="s">
        <v>233</v>
      </c>
      <c r="H24" s="30">
        <v>13015</v>
      </c>
      <c r="I24" s="30">
        <v>16000</v>
      </c>
      <c r="J24" s="30">
        <v>-2985</v>
      </c>
      <c r="K24" s="31">
        <v>26</v>
      </c>
      <c r="L24" s="31">
        <v>37</v>
      </c>
      <c r="M24" s="31">
        <v>54</v>
      </c>
      <c r="N24" s="33">
        <v>13015</v>
      </c>
      <c r="O24" s="33">
        <v>0</v>
      </c>
      <c r="P24" s="33">
        <v>13015</v>
      </c>
      <c r="Q24" s="34">
        <v>0</v>
      </c>
      <c r="R24" s="34">
        <v>1</v>
      </c>
      <c r="S24" s="34">
        <v>1</v>
      </c>
      <c r="T24" s="30">
        <v>13015</v>
      </c>
      <c r="U24" s="30">
        <v>16000</v>
      </c>
      <c r="V24" s="30">
        <v>-2985</v>
      </c>
      <c r="W24" s="31">
        <v>10</v>
      </c>
      <c r="X24" s="31">
        <v>20</v>
      </c>
      <c r="Y24" s="31">
        <v>40</v>
      </c>
      <c r="Z24" s="33">
        <v>13015</v>
      </c>
      <c r="AA24" s="33">
        <v>0</v>
      </c>
      <c r="AB24" s="33">
        <v>13015</v>
      </c>
      <c r="AC24" s="34">
        <v>0</v>
      </c>
      <c r="AD24" s="34">
        <v>0</v>
      </c>
      <c r="AE24" s="34">
        <v>0</v>
      </c>
      <c r="AF24" s="108">
        <f>SUM(K24:M24)+SUM(Q24:S24)+SUM(W24:Y24)+SUM(AC24:AE24)</f>
        <v>189</v>
      </c>
      <c r="AG24" s="140">
        <f t="shared" si="0"/>
        <v>3024000</v>
      </c>
      <c r="AH24" s="28">
        <f>K24+Q24+W24+AC24</f>
        <v>36</v>
      </c>
      <c r="AI24" s="28">
        <f t="shared" si="1"/>
        <v>58</v>
      </c>
      <c r="AJ24" s="28">
        <f t="shared" si="2"/>
        <v>95</v>
      </c>
    </row>
    <row r="25" spans="1:39" x14ac:dyDescent="0.25">
      <c r="A25">
        <v>35</v>
      </c>
      <c r="B25" t="s">
        <v>39</v>
      </c>
      <c r="C25" s="21" t="s">
        <v>30</v>
      </c>
      <c r="D25" s="21" t="s">
        <v>109</v>
      </c>
      <c r="E25" s="14" t="s">
        <v>110</v>
      </c>
      <c r="F25" s="100" t="s">
        <v>236</v>
      </c>
      <c r="G25" s="100" t="s">
        <v>233</v>
      </c>
      <c r="H25" s="30">
        <v>18500</v>
      </c>
      <c r="J25" s="30">
        <v>18500</v>
      </c>
      <c r="L25" s="31">
        <v>1</v>
      </c>
      <c r="M25" s="31">
        <v>1</v>
      </c>
      <c r="N25" s="33">
        <v>18500</v>
      </c>
      <c r="O25" s="33">
        <v>0</v>
      </c>
      <c r="P25" s="33">
        <v>18500</v>
      </c>
      <c r="Q25" s="34">
        <v>0</v>
      </c>
      <c r="R25" s="34">
        <v>0</v>
      </c>
      <c r="S25" s="34">
        <v>0</v>
      </c>
      <c r="T25" s="30">
        <v>18500</v>
      </c>
      <c r="U25" s="30">
        <v>0</v>
      </c>
      <c r="V25" s="30">
        <v>18500</v>
      </c>
      <c r="W25" s="31">
        <v>0</v>
      </c>
      <c r="X25" s="31">
        <v>0</v>
      </c>
      <c r="Y25" s="31">
        <v>0</v>
      </c>
      <c r="Z25" s="33">
        <v>18500</v>
      </c>
      <c r="AA25" s="33">
        <v>0</v>
      </c>
      <c r="AB25" s="33">
        <v>18500</v>
      </c>
      <c r="AC25" s="34">
        <v>0</v>
      </c>
      <c r="AD25" s="34">
        <v>0</v>
      </c>
      <c r="AE25" s="34">
        <v>0</v>
      </c>
      <c r="AF25" s="108">
        <f>SUM(K25:M25)+SUM(Q25:S25)+SUM(W25:Y25)+SUM(AC25:AE25)</f>
        <v>2</v>
      </c>
      <c r="AG25" s="146">
        <f>+AF25*MAX(U25,AA25,H25)</f>
        <v>37000</v>
      </c>
      <c r="AH25" s="28">
        <f>K25+Q25+W25+AC25</f>
        <v>0</v>
      </c>
      <c r="AI25" s="28">
        <f t="shared" si="1"/>
        <v>1</v>
      </c>
      <c r="AJ25" s="28">
        <f t="shared" si="2"/>
        <v>1</v>
      </c>
    </row>
    <row r="26" spans="1:39" x14ac:dyDescent="0.25">
      <c r="A26">
        <v>37</v>
      </c>
      <c r="B26" t="s">
        <v>39</v>
      </c>
      <c r="C26" s="21" t="s">
        <v>30</v>
      </c>
      <c r="D26" s="21" t="s">
        <v>113</v>
      </c>
      <c r="E26" s="14" t="s">
        <v>114</v>
      </c>
      <c r="F26" s="100" t="s">
        <v>236</v>
      </c>
      <c r="G26" s="100" t="s">
        <v>233</v>
      </c>
      <c r="H26" s="30">
        <v>38762</v>
      </c>
      <c r="J26" s="30">
        <v>38762</v>
      </c>
      <c r="N26" s="33">
        <v>38762</v>
      </c>
      <c r="O26" s="33">
        <v>0</v>
      </c>
      <c r="P26" s="33">
        <v>38762</v>
      </c>
      <c r="Q26" s="34">
        <v>0</v>
      </c>
      <c r="R26" s="34">
        <v>0</v>
      </c>
      <c r="S26" s="34">
        <v>0</v>
      </c>
      <c r="T26" s="30">
        <v>38762</v>
      </c>
      <c r="U26" s="30">
        <v>0</v>
      </c>
      <c r="V26" s="30">
        <v>38762</v>
      </c>
      <c r="W26" s="31">
        <v>0</v>
      </c>
      <c r="X26" s="31">
        <v>0</v>
      </c>
      <c r="Y26" s="31">
        <v>0</v>
      </c>
      <c r="Z26" s="33">
        <v>38762</v>
      </c>
      <c r="AA26" s="33">
        <v>0</v>
      </c>
      <c r="AB26" s="33">
        <v>38762</v>
      </c>
      <c r="AC26" s="34">
        <v>0</v>
      </c>
      <c r="AD26" s="34">
        <v>0</v>
      </c>
      <c r="AE26" s="34">
        <v>0</v>
      </c>
      <c r="AF26" s="108">
        <f>SUM(K26:M26)+SUM(Q26:S26)+SUM(W26:Y26)+SUM(AC26:AE26)</f>
        <v>0</v>
      </c>
      <c r="AG26" s="146">
        <f>+AF26*MAX(U26,AA26,H26)</f>
        <v>0</v>
      </c>
      <c r="AH26" s="28">
        <f>K26+Q26+W26+AC26</f>
        <v>0</v>
      </c>
      <c r="AI26" s="28">
        <f t="shared" si="1"/>
        <v>0</v>
      </c>
      <c r="AJ26" s="28">
        <f t="shared" si="2"/>
        <v>0</v>
      </c>
    </row>
    <row r="27" spans="1:39" x14ac:dyDescent="0.25">
      <c r="A27">
        <v>39</v>
      </c>
      <c r="B27" t="s">
        <v>39</v>
      </c>
      <c r="C27" s="21" t="s">
        <v>30</v>
      </c>
      <c r="D27" s="21" t="s">
        <v>117</v>
      </c>
      <c r="E27" s="14" t="s">
        <v>118</v>
      </c>
      <c r="F27" s="100" t="s">
        <v>236</v>
      </c>
      <c r="G27" s="100" t="s">
        <v>233</v>
      </c>
      <c r="H27" s="30">
        <v>26320</v>
      </c>
      <c r="J27" s="30">
        <v>26320</v>
      </c>
      <c r="N27" s="33">
        <v>26320</v>
      </c>
      <c r="O27" s="33">
        <v>0</v>
      </c>
      <c r="P27" s="33">
        <v>26320</v>
      </c>
      <c r="Q27" s="34">
        <v>0</v>
      </c>
      <c r="R27" s="34">
        <v>0</v>
      </c>
      <c r="S27" s="34">
        <v>0</v>
      </c>
      <c r="T27" s="30">
        <v>26320</v>
      </c>
      <c r="U27" s="30">
        <v>0</v>
      </c>
      <c r="V27" s="30">
        <v>26320</v>
      </c>
      <c r="W27" s="31">
        <v>0</v>
      </c>
      <c r="X27" s="31">
        <v>0</v>
      </c>
      <c r="Y27" s="31">
        <v>0</v>
      </c>
      <c r="Z27" s="33">
        <v>26320</v>
      </c>
      <c r="AA27" s="33">
        <v>0</v>
      </c>
      <c r="AB27" s="33">
        <v>26320</v>
      </c>
      <c r="AC27" s="34">
        <v>0</v>
      </c>
      <c r="AD27" s="34">
        <v>0</v>
      </c>
      <c r="AE27" s="34">
        <v>0</v>
      </c>
      <c r="AF27" s="108">
        <f>SUM(K27:M27)+SUM(Q27:S27)+SUM(W27:Y27)+SUM(AC27:AE27)</f>
        <v>0</v>
      </c>
      <c r="AG27" s="146">
        <f>+AF27*MAX(U27,AA27,H27)</f>
        <v>0</v>
      </c>
      <c r="AH27" s="28">
        <f>K27+Q27+W27+AC27</f>
        <v>0</v>
      </c>
      <c r="AI27" s="28">
        <f t="shared" si="1"/>
        <v>0</v>
      </c>
      <c r="AJ27" s="28">
        <f t="shared" si="2"/>
        <v>0</v>
      </c>
    </row>
    <row r="28" spans="1:39" x14ac:dyDescent="0.25">
      <c r="A28">
        <v>9</v>
      </c>
      <c r="B28" t="s">
        <v>39</v>
      </c>
      <c r="C28" s="21" t="s">
        <v>30</v>
      </c>
      <c r="D28" s="21" t="s">
        <v>57</v>
      </c>
      <c r="E28" s="14" t="s">
        <v>58</v>
      </c>
      <c r="F28" s="100" t="s">
        <v>237</v>
      </c>
      <c r="G28" s="100" t="s">
        <v>232</v>
      </c>
      <c r="H28" s="30">
        <v>12724</v>
      </c>
      <c r="I28" s="30">
        <v>4000</v>
      </c>
      <c r="J28" s="30">
        <v>8724</v>
      </c>
      <c r="K28" s="31">
        <v>40</v>
      </c>
      <c r="L28" s="31">
        <v>30</v>
      </c>
      <c r="M28" s="31">
        <v>20</v>
      </c>
      <c r="N28" s="33">
        <v>12724</v>
      </c>
      <c r="O28" s="33">
        <v>4000</v>
      </c>
      <c r="P28" s="33">
        <v>8724</v>
      </c>
      <c r="Q28" s="34">
        <v>4</v>
      </c>
      <c r="R28" s="34">
        <v>4</v>
      </c>
      <c r="S28" s="34">
        <v>4</v>
      </c>
      <c r="T28" s="30">
        <v>12724</v>
      </c>
      <c r="U28" s="30">
        <v>4000</v>
      </c>
      <c r="V28" s="30">
        <v>8724</v>
      </c>
      <c r="W28" s="31">
        <v>715</v>
      </c>
      <c r="X28" s="31">
        <v>1206</v>
      </c>
      <c r="Y28" s="31">
        <v>1350</v>
      </c>
      <c r="Z28" s="33">
        <v>12724</v>
      </c>
      <c r="AA28" s="33">
        <v>4000</v>
      </c>
      <c r="AB28" s="33">
        <v>8724</v>
      </c>
      <c r="AC28" s="34">
        <v>535</v>
      </c>
      <c r="AD28" s="34">
        <v>1070</v>
      </c>
      <c r="AE28" s="34">
        <v>2140</v>
      </c>
      <c r="AF28" s="108">
        <f>SUM(K28:M28)+SUM(Q28:S28)+SUM(W28:Y28)+SUM(AC28:AE28)</f>
        <v>7118</v>
      </c>
      <c r="AG28" s="140">
        <f t="shared" si="0"/>
        <v>28472000</v>
      </c>
      <c r="AH28" s="28">
        <f>K28+Q28+W28+AC28</f>
        <v>1294</v>
      </c>
      <c r="AI28" s="28">
        <f t="shared" si="1"/>
        <v>2310</v>
      </c>
      <c r="AJ28" s="28">
        <f t="shared" si="2"/>
        <v>3514</v>
      </c>
    </row>
    <row r="29" spans="1:39" x14ac:dyDescent="0.25">
      <c r="A29">
        <v>13</v>
      </c>
      <c r="B29" t="s">
        <v>39</v>
      </c>
      <c r="C29" s="21" t="s">
        <v>30</v>
      </c>
      <c r="D29" s="21" t="s">
        <v>65</v>
      </c>
      <c r="E29" s="14" t="s">
        <v>66</v>
      </c>
      <c r="F29" s="100" t="s">
        <v>237</v>
      </c>
      <c r="G29" s="100" t="s">
        <v>232</v>
      </c>
      <c r="H29" s="30">
        <v>11475</v>
      </c>
      <c r="I29" s="30">
        <v>4000</v>
      </c>
      <c r="J29" s="30">
        <v>7475</v>
      </c>
      <c r="K29" s="31">
        <v>75</v>
      </c>
      <c r="L29" s="31">
        <v>55</v>
      </c>
      <c r="M29" s="31">
        <v>35</v>
      </c>
      <c r="N29" s="33">
        <v>11475</v>
      </c>
      <c r="O29" s="33">
        <v>3250</v>
      </c>
      <c r="P29" s="33">
        <v>8225</v>
      </c>
      <c r="Q29" s="34">
        <v>50</v>
      </c>
      <c r="R29" s="34">
        <v>60</v>
      </c>
      <c r="S29" s="34">
        <v>72</v>
      </c>
      <c r="T29" s="30">
        <v>11475</v>
      </c>
      <c r="U29" s="30">
        <v>4000</v>
      </c>
      <c r="V29" s="30">
        <v>7475</v>
      </c>
      <c r="W29" s="31">
        <v>2808</v>
      </c>
      <c r="X29" s="31">
        <v>3992</v>
      </c>
      <c r="Y29" s="31">
        <v>6016</v>
      </c>
      <c r="Z29" s="33">
        <v>11475</v>
      </c>
      <c r="AA29" s="33">
        <v>4000</v>
      </c>
      <c r="AB29" s="33">
        <v>7475</v>
      </c>
      <c r="AC29" s="34">
        <v>810.25</v>
      </c>
      <c r="AD29" s="34">
        <v>1620.5</v>
      </c>
      <c r="AE29" s="34">
        <v>3241</v>
      </c>
      <c r="AF29" s="108">
        <f>SUM(K29:M29)+SUM(Q29:S29)+SUM(W29:Y29)+SUM(AC29:AE29)</f>
        <v>18834.75</v>
      </c>
      <c r="AG29" s="140">
        <f t="shared" si="0"/>
        <v>75339000</v>
      </c>
      <c r="AH29" s="28">
        <f>K29+Q29+W29+AC29</f>
        <v>3743.25</v>
      </c>
      <c r="AI29" s="28">
        <f t="shared" si="1"/>
        <v>5727.5</v>
      </c>
      <c r="AJ29" s="28">
        <f t="shared" si="2"/>
        <v>9364</v>
      </c>
    </row>
    <row r="30" spans="1:39" x14ac:dyDescent="0.25">
      <c r="A30">
        <v>26</v>
      </c>
      <c r="B30" t="s">
        <v>39</v>
      </c>
      <c r="C30" s="21" t="s">
        <v>30</v>
      </c>
      <c r="D30" s="21" t="s">
        <v>91</v>
      </c>
      <c r="E30" s="14" t="s">
        <v>92</v>
      </c>
      <c r="F30" s="100" t="s">
        <v>237</v>
      </c>
      <c r="G30" s="100" t="s">
        <v>232</v>
      </c>
      <c r="H30" s="30">
        <v>12388</v>
      </c>
      <c r="I30" s="30">
        <v>16000</v>
      </c>
      <c r="J30" s="30">
        <v>-3612</v>
      </c>
      <c r="K30" s="31">
        <v>6</v>
      </c>
      <c r="L30" s="31">
        <v>4</v>
      </c>
      <c r="M30" s="31">
        <v>3</v>
      </c>
      <c r="N30" s="33">
        <v>12388</v>
      </c>
      <c r="O30" s="33">
        <v>0</v>
      </c>
      <c r="P30" s="33">
        <v>12388</v>
      </c>
      <c r="Q30" s="34">
        <v>0</v>
      </c>
      <c r="R30" s="34">
        <v>0</v>
      </c>
      <c r="S30" s="34">
        <v>0</v>
      </c>
      <c r="T30" s="30">
        <v>12388</v>
      </c>
      <c r="U30" s="30">
        <v>8000</v>
      </c>
      <c r="V30" s="30">
        <v>4388</v>
      </c>
      <c r="W30" s="31">
        <v>30</v>
      </c>
      <c r="X30" s="31">
        <v>60</v>
      </c>
      <c r="Y30" s="31">
        <v>117</v>
      </c>
      <c r="Z30" s="33">
        <v>12388</v>
      </c>
      <c r="AA30" s="33">
        <v>0</v>
      </c>
      <c r="AB30" s="33">
        <v>12388</v>
      </c>
      <c r="AC30" s="34">
        <v>0</v>
      </c>
      <c r="AD30" s="34">
        <v>0</v>
      </c>
      <c r="AE30" s="34">
        <v>0</v>
      </c>
      <c r="AF30" s="108">
        <f>SUM(K30:M30)+SUM(Q30:S30)+SUM(W30:Y30)+SUM(AC30:AE30)</f>
        <v>220</v>
      </c>
      <c r="AG30" s="140">
        <f t="shared" si="0"/>
        <v>1760000</v>
      </c>
      <c r="AH30" s="28">
        <f>K30+Q30+W30+AC30</f>
        <v>36</v>
      </c>
      <c r="AI30" s="28">
        <f t="shared" si="1"/>
        <v>64</v>
      </c>
      <c r="AJ30" s="28">
        <f t="shared" si="2"/>
        <v>120</v>
      </c>
    </row>
    <row r="31" spans="1:39" x14ac:dyDescent="0.25">
      <c r="A31">
        <v>30</v>
      </c>
      <c r="B31" t="s">
        <v>39</v>
      </c>
      <c r="C31" s="21" t="s">
        <v>30</v>
      </c>
      <c r="D31" s="21" t="s">
        <v>99</v>
      </c>
      <c r="E31" s="14" t="s">
        <v>100</v>
      </c>
      <c r="F31" s="100" t="s">
        <v>237</v>
      </c>
      <c r="G31" s="100" t="s">
        <v>232</v>
      </c>
      <c r="H31" s="30">
        <v>11746</v>
      </c>
      <c r="I31" s="30">
        <v>16000</v>
      </c>
      <c r="J31" s="30">
        <v>-4254</v>
      </c>
      <c r="K31" s="31">
        <v>10</v>
      </c>
      <c r="L31" s="31">
        <v>9</v>
      </c>
      <c r="M31" s="31">
        <v>6</v>
      </c>
      <c r="N31" s="33">
        <v>11746</v>
      </c>
      <c r="O31" s="33">
        <v>8000</v>
      </c>
      <c r="P31" s="33">
        <v>3746</v>
      </c>
      <c r="Q31" s="34">
        <v>10</v>
      </c>
      <c r="R31" s="34">
        <v>12</v>
      </c>
      <c r="S31" s="34">
        <v>15</v>
      </c>
      <c r="T31" s="30">
        <v>11746</v>
      </c>
      <c r="U31" s="30">
        <v>8000</v>
      </c>
      <c r="V31" s="30">
        <v>3746</v>
      </c>
      <c r="W31" s="31">
        <v>30</v>
      </c>
      <c r="X31" s="31">
        <v>65</v>
      </c>
      <c r="Y31" s="31">
        <v>145</v>
      </c>
      <c r="Z31" s="33">
        <v>11746</v>
      </c>
      <c r="AA31" s="33">
        <v>0</v>
      </c>
      <c r="AB31" s="33">
        <v>11746</v>
      </c>
      <c r="AC31" s="34">
        <v>0</v>
      </c>
      <c r="AD31" s="34">
        <v>0</v>
      </c>
      <c r="AE31" s="34">
        <v>0</v>
      </c>
      <c r="AF31" s="108">
        <f>SUM(K31:M31)+SUM(Q31:S31)+SUM(W31:Y31)+SUM(AC31:AE31)</f>
        <v>302</v>
      </c>
      <c r="AG31" s="140">
        <f t="shared" si="0"/>
        <v>2416000</v>
      </c>
      <c r="AH31" s="28">
        <f>K31+Q31+W31+AC31</f>
        <v>50</v>
      </c>
      <c r="AI31" s="28">
        <f t="shared" si="1"/>
        <v>86</v>
      </c>
      <c r="AJ31" s="28">
        <f t="shared" si="2"/>
        <v>166</v>
      </c>
    </row>
    <row r="32" spans="1:39" x14ac:dyDescent="0.25">
      <c r="A32">
        <v>10</v>
      </c>
      <c r="B32" t="s">
        <v>39</v>
      </c>
      <c r="C32" s="21" t="s">
        <v>30</v>
      </c>
      <c r="D32" s="21" t="s">
        <v>59</v>
      </c>
      <c r="E32" s="14" t="s">
        <v>60</v>
      </c>
      <c r="F32" s="100" t="s">
        <v>237</v>
      </c>
      <c r="G32" s="100" t="s">
        <v>233</v>
      </c>
      <c r="H32" s="30">
        <v>12724</v>
      </c>
      <c r="I32" s="30">
        <v>4000</v>
      </c>
      <c r="J32" s="30">
        <v>8724</v>
      </c>
      <c r="K32" s="31">
        <v>35</v>
      </c>
      <c r="L32" s="31">
        <v>30</v>
      </c>
      <c r="M32" s="31">
        <v>25</v>
      </c>
      <c r="N32" s="33">
        <v>12724</v>
      </c>
      <c r="O32" s="33">
        <v>4000</v>
      </c>
      <c r="P32" s="33">
        <v>8724</v>
      </c>
      <c r="Q32" s="34">
        <v>3</v>
      </c>
      <c r="R32" s="34">
        <v>3</v>
      </c>
      <c r="S32" s="34">
        <v>3</v>
      </c>
      <c r="T32" s="30">
        <v>12724</v>
      </c>
      <c r="U32" s="30">
        <v>4000</v>
      </c>
      <c r="V32" s="30">
        <v>8724</v>
      </c>
      <c r="W32" s="31">
        <v>227</v>
      </c>
      <c r="X32" s="31">
        <v>280</v>
      </c>
      <c r="Y32" s="31">
        <v>343</v>
      </c>
      <c r="Z32" s="33">
        <v>12724</v>
      </c>
      <c r="AA32" s="33">
        <v>4000</v>
      </c>
      <c r="AB32" s="33">
        <v>8724</v>
      </c>
      <c r="AC32" s="34">
        <v>106</v>
      </c>
      <c r="AD32" s="34">
        <v>212</v>
      </c>
      <c r="AE32" s="34">
        <v>424</v>
      </c>
      <c r="AF32" s="108">
        <f>SUM(K32:M32)+SUM(Q32:S32)+SUM(W32:Y32)+SUM(AC32:AE32)</f>
        <v>1691</v>
      </c>
      <c r="AG32" s="140">
        <f t="shared" si="0"/>
        <v>6764000</v>
      </c>
      <c r="AH32" s="28">
        <f>K32+Q32+W32+AC32</f>
        <v>371</v>
      </c>
      <c r="AI32" s="28">
        <f t="shared" si="1"/>
        <v>525</v>
      </c>
      <c r="AJ32" s="28">
        <f t="shared" si="2"/>
        <v>795</v>
      </c>
    </row>
    <row r="33" spans="1:36" x14ac:dyDescent="0.25">
      <c r="A33">
        <v>14</v>
      </c>
      <c r="B33" t="s">
        <v>39</v>
      </c>
      <c r="C33" s="21" t="s">
        <v>30</v>
      </c>
      <c r="D33" s="21" t="s">
        <v>67</v>
      </c>
      <c r="E33" s="14" t="s">
        <v>68</v>
      </c>
      <c r="F33" s="100" t="s">
        <v>237</v>
      </c>
      <c r="G33" s="100" t="s">
        <v>233</v>
      </c>
      <c r="H33" s="30">
        <v>11475</v>
      </c>
      <c r="I33" s="30">
        <v>4000</v>
      </c>
      <c r="J33" s="30">
        <v>7475</v>
      </c>
      <c r="K33" s="31">
        <v>60</v>
      </c>
      <c r="L33" s="31">
        <v>40</v>
      </c>
      <c r="M33" s="31">
        <v>20</v>
      </c>
      <c r="N33" s="33">
        <v>11475</v>
      </c>
      <c r="O33" s="33">
        <v>3250</v>
      </c>
      <c r="P33" s="33">
        <v>8225</v>
      </c>
      <c r="Q33" s="34">
        <v>8</v>
      </c>
      <c r="R33" s="34">
        <v>8</v>
      </c>
      <c r="S33" s="34">
        <v>8</v>
      </c>
      <c r="T33" s="30">
        <v>11475</v>
      </c>
      <c r="U33" s="30">
        <v>4000</v>
      </c>
      <c r="V33" s="30">
        <v>7475</v>
      </c>
      <c r="W33" s="31">
        <v>400</v>
      </c>
      <c r="X33" s="31">
        <v>660</v>
      </c>
      <c r="Y33" s="31">
        <v>935</v>
      </c>
      <c r="Z33" s="33">
        <v>11475</v>
      </c>
      <c r="AA33" s="33">
        <v>4000</v>
      </c>
      <c r="AB33" s="33">
        <v>7475</v>
      </c>
      <c r="AC33" s="34">
        <v>147</v>
      </c>
      <c r="AD33" s="34">
        <v>294</v>
      </c>
      <c r="AE33" s="34">
        <v>588</v>
      </c>
      <c r="AF33" s="108">
        <f>SUM(K33:M33)+SUM(Q33:S33)+SUM(W33:Y33)+SUM(AC33:AE33)</f>
        <v>3168</v>
      </c>
      <c r="AG33" s="140">
        <f t="shared" si="0"/>
        <v>12672000</v>
      </c>
      <c r="AH33" s="28">
        <f>K33+Q33+W33+AC33</f>
        <v>615</v>
      </c>
      <c r="AI33" s="28">
        <f t="shared" si="1"/>
        <v>1002</v>
      </c>
      <c r="AJ33" s="28">
        <f t="shared" si="2"/>
        <v>1551</v>
      </c>
    </row>
    <row r="34" spans="1:36" x14ac:dyDescent="0.25">
      <c r="A34">
        <v>27</v>
      </c>
      <c r="B34" t="s">
        <v>39</v>
      </c>
      <c r="C34" s="21" t="s">
        <v>30</v>
      </c>
      <c r="D34" s="21" t="s">
        <v>93</v>
      </c>
      <c r="E34" s="14" t="s">
        <v>94</v>
      </c>
      <c r="F34" s="100" t="s">
        <v>237</v>
      </c>
      <c r="G34" s="100" t="s">
        <v>233</v>
      </c>
      <c r="H34" s="30">
        <v>12388</v>
      </c>
      <c r="I34" s="30">
        <v>16000</v>
      </c>
      <c r="J34" s="30">
        <v>-3612</v>
      </c>
      <c r="K34" s="31">
        <v>4</v>
      </c>
      <c r="L34" s="31">
        <v>4</v>
      </c>
      <c r="M34" s="31">
        <v>4</v>
      </c>
      <c r="N34" s="33">
        <v>12388</v>
      </c>
      <c r="O34" s="33">
        <v>0</v>
      </c>
      <c r="P34" s="33">
        <v>12388</v>
      </c>
      <c r="Q34" s="34">
        <v>0</v>
      </c>
      <c r="R34" s="34">
        <v>0</v>
      </c>
      <c r="S34" s="34">
        <v>0</v>
      </c>
      <c r="T34" s="30">
        <v>12388</v>
      </c>
      <c r="U34" s="30">
        <v>8000</v>
      </c>
      <c r="V34" s="30">
        <v>4388</v>
      </c>
      <c r="W34" s="31">
        <v>10</v>
      </c>
      <c r="X34" s="31">
        <v>20</v>
      </c>
      <c r="Y34" s="31">
        <v>40</v>
      </c>
      <c r="Z34" s="33">
        <v>12388</v>
      </c>
      <c r="AA34" s="33">
        <v>0</v>
      </c>
      <c r="AB34" s="33">
        <v>12388</v>
      </c>
      <c r="AC34" s="34">
        <v>0</v>
      </c>
      <c r="AD34" s="34">
        <v>0</v>
      </c>
      <c r="AE34" s="34">
        <v>0</v>
      </c>
      <c r="AF34" s="108">
        <f>SUM(K34:M34)+SUM(Q34:S34)+SUM(W34:Y34)+SUM(AC34:AE34)</f>
        <v>82</v>
      </c>
      <c r="AG34" s="140">
        <f t="shared" si="0"/>
        <v>656000</v>
      </c>
      <c r="AH34" s="28">
        <f>K34+Q34+W34+AC34</f>
        <v>14</v>
      </c>
      <c r="AI34" s="28">
        <f t="shared" si="1"/>
        <v>24</v>
      </c>
      <c r="AJ34" s="28">
        <f t="shared" si="2"/>
        <v>44</v>
      </c>
    </row>
    <row r="35" spans="1:36" x14ac:dyDescent="0.25">
      <c r="A35">
        <v>31</v>
      </c>
      <c r="B35" t="s">
        <v>39</v>
      </c>
      <c r="C35" s="21" t="s">
        <v>30</v>
      </c>
      <c r="D35" s="21" t="s">
        <v>101</v>
      </c>
      <c r="E35" s="14" t="s">
        <v>102</v>
      </c>
      <c r="F35" s="100" t="s">
        <v>237</v>
      </c>
      <c r="G35" s="100" t="s">
        <v>233</v>
      </c>
      <c r="H35" s="30">
        <v>11746</v>
      </c>
      <c r="I35" s="30">
        <v>16000</v>
      </c>
      <c r="J35" s="30">
        <v>-4254</v>
      </c>
      <c r="K35" s="31">
        <v>9</v>
      </c>
      <c r="L35" s="31">
        <v>6</v>
      </c>
      <c r="M35" s="31">
        <v>3</v>
      </c>
      <c r="N35" s="33">
        <v>11746</v>
      </c>
      <c r="O35" s="33">
        <v>8000</v>
      </c>
      <c r="P35" s="33">
        <v>3746</v>
      </c>
      <c r="Q35" s="34">
        <v>1</v>
      </c>
      <c r="R35" s="34">
        <v>3</v>
      </c>
      <c r="S35" s="34">
        <v>5</v>
      </c>
      <c r="T35" s="30">
        <v>11746</v>
      </c>
      <c r="U35" s="30">
        <v>8000</v>
      </c>
      <c r="V35" s="30">
        <v>3746</v>
      </c>
      <c r="W35" s="31">
        <v>10</v>
      </c>
      <c r="X35" s="31">
        <v>15</v>
      </c>
      <c r="Y35" s="31">
        <v>40</v>
      </c>
      <c r="Z35" s="33">
        <v>11746</v>
      </c>
      <c r="AA35" s="33">
        <v>0</v>
      </c>
      <c r="AB35" s="33">
        <v>11746</v>
      </c>
      <c r="AC35" s="34">
        <v>0</v>
      </c>
      <c r="AD35" s="34">
        <v>0</v>
      </c>
      <c r="AE35" s="34">
        <v>0</v>
      </c>
      <c r="AF35" s="108">
        <f>SUM(K35:M35)+SUM(Q35:S35)+SUM(W35:Y35)+SUM(AC35:AE35)</f>
        <v>92</v>
      </c>
      <c r="AG35" s="140">
        <f t="shared" si="0"/>
        <v>736000</v>
      </c>
      <c r="AH35" s="28">
        <f>K35+Q35+W35+AC35</f>
        <v>20</v>
      </c>
      <c r="AI35" s="28">
        <f t="shared" si="1"/>
        <v>24</v>
      </c>
      <c r="AJ35" s="28">
        <f t="shared" si="2"/>
        <v>48</v>
      </c>
    </row>
    <row r="36" spans="1:36" x14ac:dyDescent="0.25">
      <c r="A36">
        <v>45</v>
      </c>
      <c r="B36" t="s">
        <v>39</v>
      </c>
      <c r="C36" s="21" t="s">
        <v>30</v>
      </c>
      <c r="D36" s="21" t="s">
        <v>130</v>
      </c>
      <c r="E36" s="14" t="s">
        <v>131</v>
      </c>
      <c r="F36" s="100" t="s">
        <v>240</v>
      </c>
      <c r="G36" s="100" t="s">
        <v>232</v>
      </c>
      <c r="H36" s="30">
        <v>64</v>
      </c>
      <c r="I36" s="30">
        <v>1000</v>
      </c>
      <c r="J36" s="30">
        <v>-936</v>
      </c>
      <c r="K36" s="31">
        <v>20</v>
      </c>
      <c r="L36" s="31">
        <v>25</v>
      </c>
      <c r="M36" s="31">
        <v>30</v>
      </c>
      <c r="N36" s="33">
        <v>64</v>
      </c>
      <c r="O36" s="33">
        <v>1000</v>
      </c>
      <c r="P36" s="33">
        <v>-936</v>
      </c>
      <c r="Q36" s="34">
        <v>6</v>
      </c>
      <c r="R36" s="34">
        <v>7</v>
      </c>
      <c r="S36" s="34">
        <v>8</v>
      </c>
      <c r="T36" s="30">
        <v>64</v>
      </c>
      <c r="U36" s="30">
        <v>1000</v>
      </c>
      <c r="V36" s="30">
        <v>-936</v>
      </c>
      <c r="W36" s="31">
        <v>600</v>
      </c>
      <c r="X36" s="31">
        <v>800</v>
      </c>
      <c r="Y36" s="31">
        <v>1000</v>
      </c>
      <c r="Z36" s="106">
        <v>64</v>
      </c>
      <c r="AA36" s="33">
        <v>1000</v>
      </c>
      <c r="AB36" s="33">
        <v>-936</v>
      </c>
      <c r="AC36" s="34">
        <v>150</v>
      </c>
      <c r="AD36" s="34">
        <v>400</v>
      </c>
      <c r="AE36" s="34">
        <v>690</v>
      </c>
      <c r="AF36" s="108">
        <f>SUM(K36:M36)+SUM(Q36:S36)+SUM(W36:Y36)+SUM(AC36:AE36)</f>
        <v>3736</v>
      </c>
      <c r="AG36" s="140">
        <f t="shared" si="0"/>
        <v>3736000</v>
      </c>
      <c r="AH36" s="28">
        <f>K36+Q36+W36+AC36</f>
        <v>776</v>
      </c>
      <c r="AI36" s="28">
        <f t="shared" si="1"/>
        <v>1232</v>
      </c>
      <c r="AJ36" s="28">
        <f t="shared" si="2"/>
        <v>1728</v>
      </c>
    </row>
    <row r="37" spans="1:36" x14ac:dyDescent="0.25">
      <c r="A37">
        <v>46</v>
      </c>
      <c r="B37" t="s">
        <v>39</v>
      </c>
      <c r="C37" s="21" t="s">
        <v>30</v>
      </c>
      <c r="D37" s="21" t="s">
        <v>132</v>
      </c>
      <c r="E37" s="14" t="s">
        <v>133</v>
      </c>
      <c r="F37" s="100" t="s">
        <v>240</v>
      </c>
      <c r="G37" s="100" t="s">
        <v>233</v>
      </c>
      <c r="H37" s="30">
        <v>855</v>
      </c>
      <c r="I37" s="30">
        <v>200</v>
      </c>
      <c r="J37" s="30">
        <v>655</v>
      </c>
      <c r="K37" s="31">
        <v>15</v>
      </c>
      <c r="L37" s="31">
        <v>17</v>
      </c>
      <c r="M37" s="31">
        <v>20</v>
      </c>
      <c r="N37" s="33">
        <v>855</v>
      </c>
      <c r="O37" s="33">
        <v>200</v>
      </c>
      <c r="P37" s="33">
        <v>655</v>
      </c>
      <c r="Q37" s="34">
        <v>1</v>
      </c>
      <c r="R37" s="34">
        <v>1</v>
      </c>
      <c r="S37" s="34">
        <v>1</v>
      </c>
      <c r="T37" s="30">
        <v>855</v>
      </c>
      <c r="U37" s="30">
        <v>200</v>
      </c>
      <c r="V37" s="30">
        <v>655</v>
      </c>
      <c r="W37" s="31">
        <v>100</v>
      </c>
      <c r="X37" s="31">
        <v>200</v>
      </c>
      <c r="Y37" s="31">
        <v>300</v>
      </c>
      <c r="Z37" s="33">
        <v>855</v>
      </c>
      <c r="AA37" s="33">
        <v>200</v>
      </c>
      <c r="AB37" s="33">
        <v>655</v>
      </c>
      <c r="AC37" s="34">
        <v>20</v>
      </c>
      <c r="AD37" s="34">
        <v>40</v>
      </c>
      <c r="AE37" s="34">
        <v>100</v>
      </c>
      <c r="AF37" s="108">
        <f>SUM(K37:M37)+SUM(Q37:S37)+SUM(W37:Y37)+SUM(AC37:AE37)</f>
        <v>815</v>
      </c>
      <c r="AG37" s="140">
        <f t="shared" si="0"/>
        <v>163000</v>
      </c>
      <c r="AH37" s="28">
        <f>K37+Q37+W37+AC37</f>
        <v>136</v>
      </c>
      <c r="AI37" s="28">
        <f t="shared" si="1"/>
        <v>258</v>
      </c>
      <c r="AJ37" s="28">
        <f t="shared" si="2"/>
        <v>421</v>
      </c>
    </row>
    <row r="38" spans="1:36" x14ac:dyDescent="0.25">
      <c r="A38">
        <v>48</v>
      </c>
      <c r="B38" t="s">
        <v>39</v>
      </c>
      <c r="C38" s="20" t="s">
        <v>134</v>
      </c>
      <c r="D38" s="21" t="s">
        <v>135</v>
      </c>
      <c r="E38" s="14" t="s">
        <v>136</v>
      </c>
      <c r="F38" s="100" t="s">
        <v>39</v>
      </c>
      <c r="G38" s="100" t="s">
        <v>39</v>
      </c>
      <c r="H38" s="30">
        <v>18000</v>
      </c>
      <c r="I38" s="30">
        <v>18000</v>
      </c>
      <c r="J38" s="30">
        <v>0</v>
      </c>
      <c r="K38" s="31">
        <v>34</v>
      </c>
      <c r="L38" s="31">
        <v>48</v>
      </c>
      <c r="M38" s="31">
        <v>57</v>
      </c>
      <c r="N38" s="33">
        <v>18000</v>
      </c>
      <c r="O38" s="33">
        <v>18000</v>
      </c>
      <c r="P38" s="33">
        <v>0</v>
      </c>
      <c r="Q38" s="34">
        <v>0</v>
      </c>
      <c r="R38" s="34">
        <v>0</v>
      </c>
      <c r="S38" s="34">
        <v>0</v>
      </c>
      <c r="T38" s="30">
        <v>18000</v>
      </c>
      <c r="U38" s="30">
        <v>18000</v>
      </c>
      <c r="V38" s="30">
        <v>0</v>
      </c>
      <c r="W38" s="31">
        <v>100</v>
      </c>
      <c r="X38" s="31">
        <v>150</v>
      </c>
      <c r="Y38" s="31">
        <v>150</v>
      </c>
      <c r="Z38" s="33">
        <v>18000</v>
      </c>
      <c r="AA38" s="33">
        <v>18000</v>
      </c>
      <c r="AB38" s="33">
        <v>0</v>
      </c>
      <c r="AC38" s="34">
        <v>5</v>
      </c>
      <c r="AD38" s="34">
        <v>5.25</v>
      </c>
      <c r="AE38" s="34">
        <v>5.6175000000000006</v>
      </c>
      <c r="AF38" s="108">
        <f>SUM(K38:M38)+SUM(Q38:S38)+SUM(W38:Y38)+SUM(AC38:AE38)</f>
        <v>554.86749999999995</v>
      </c>
      <c r="AG38" s="140">
        <f t="shared" si="0"/>
        <v>9987615</v>
      </c>
      <c r="AH38" s="28">
        <f>K38+Q38+W38+AC38</f>
        <v>139</v>
      </c>
      <c r="AI38" s="28">
        <f t="shared" si="1"/>
        <v>203.25</v>
      </c>
      <c r="AJ38" s="28">
        <f t="shared" si="2"/>
        <v>212.61750000000001</v>
      </c>
    </row>
    <row r="39" spans="1:36" x14ac:dyDescent="0.25">
      <c r="A39">
        <v>65</v>
      </c>
      <c r="B39" t="s">
        <v>39</v>
      </c>
      <c r="C39" s="20" t="s">
        <v>134</v>
      </c>
      <c r="D39" s="21" t="s">
        <v>171</v>
      </c>
      <c r="E39" s="14" t="s">
        <v>172</v>
      </c>
      <c r="F39" s="100" t="s">
        <v>39</v>
      </c>
      <c r="G39" s="100" t="s">
        <v>39</v>
      </c>
      <c r="H39" s="30">
        <v>12000</v>
      </c>
      <c r="I39" s="30">
        <v>12000</v>
      </c>
      <c r="J39" s="30">
        <v>0</v>
      </c>
      <c r="K39" s="31">
        <v>80</v>
      </c>
      <c r="L39" s="31">
        <v>80</v>
      </c>
      <c r="M39" s="31">
        <v>80</v>
      </c>
      <c r="N39" s="33">
        <v>12000</v>
      </c>
      <c r="O39" s="33">
        <v>12000</v>
      </c>
      <c r="P39" s="33">
        <v>0</v>
      </c>
      <c r="Q39" s="34">
        <v>43</v>
      </c>
      <c r="R39" s="34">
        <v>43</v>
      </c>
      <c r="S39" s="34">
        <v>43</v>
      </c>
      <c r="T39" s="30">
        <v>12088</v>
      </c>
      <c r="U39" s="30">
        <v>12088</v>
      </c>
      <c r="V39" s="30">
        <v>0</v>
      </c>
      <c r="W39" s="31">
        <v>200</v>
      </c>
      <c r="X39" s="31">
        <v>150</v>
      </c>
      <c r="Y39" s="31">
        <v>150</v>
      </c>
      <c r="Z39" s="33">
        <v>15000</v>
      </c>
      <c r="AA39" s="33">
        <v>15000</v>
      </c>
      <c r="AB39" s="33">
        <v>0</v>
      </c>
      <c r="AC39" s="34">
        <v>464.95</v>
      </c>
      <c r="AD39" s="34">
        <v>488.19749999999999</v>
      </c>
      <c r="AE39" s="34">
        <v>522.37132500000007</v>
      </c>
      <c r="AF39" s="108">
        <f>SUM(K39:M39)+SUM(Q39:S39)+SUM(W39:Y39)+SUM(AC39:AE39)</f>
        <v>2344.5188250000001</v>
      </c>
      <c r="AG39" s="140">
        <f t="shared" si="0"/>
        <v>35167782.375</v>
      </c>
      <c r="AH39" s="28">
        <f>K39+Q39+W39+AC39</f>
        <v>787.95</v>
      </c>
      <c r="AI39" s="28">
        <f t="shared" si="1"/>
        <v>761.19749999999999</v>
      </c>
      <c r="AJ39" s="28">
        <f t="shared" si="2"/>
        <v>795.37132500000007</v>
      </c>
    </row>
    <row r="40" spans="1:36" x14ac:dyDescent="0.25">
      <c r="A40">
        <v>47</v>
      </c>
      <c r="B40" t="s">
        <v>39</v>
      </c>
      <c r="C40" s="20" t="s">
        <v>134</v>
      </c>
      <c r="D40" s="21" t="s">
        <v>161</v>
      </c>
      <c r="E40" s="14" t="s">
        <v>162</v>
      </c>
      <c r="F40" s="100" t="s">
        <v>236</v>
      </c>
      <c r="G40" s="100" t="s">
        <v>239</v>
      </c>
      <c r="H40" s="30">
        <v>5500</v>
      </c>
      <c r="I40" s="30">
        <v>5500</v>
      </c>
      <c r="J40" s="30">
        <v>0</v>
      </c>
      <c r="K40" s="31">
        <v>5</v>
      </c>
      <c r="L40" s="31">
        <v>5</v>
      </c>
      <c r="M40" s="31">
        <v>5</v>
      </c>
      <c r="N40" s="33">
        <v>0</v>
      </c>
      <c r="O40" s="33">
        <v>0</v>
      </c>
      <c r="P40" s="33">
        <v>0</v>
      </c>
      <c r="Q40" s="34">
        <v>0</v>
      </c>
      <c r="R40" s="34">
        <v>0</v>
      </c>
      <c r="S40" s="34">
        <v>0</v>
      </c>
      <c r="T40" s="30">
        <v>25000</v>
      </c>
      <c r="U40" s="30">
        <v>25000</v>
      </c>
      <c r="V40" s="30">
        <v>0</v>
      </c>
      <c r="W40" s="31">
        <v>0</v>
      </c>
      <c r="X40" s="31">
        <v>0</v>
      </c>
      <c r="Y40" s="31">
        <v>0</v>
      </c>
      <c r="Z40" s="33">
        <v>0</v>
      </c>
      <c r="AA40" s="33">
        <v>0</v>
      </c>
      <c r="AB40" s="33">
        <v>0</v>
      </c>
      <c r="AC40" s="34">
        <v>0</v>
      </c>
      <c r="AD40" s="34">
        <v>0</v>
      </c>
      <c r="AE40" s="34">
        <v>0</v>
      </c>
      <c r="AF40" s="108">
        <f>SUM(K40:M40)+SUM(Q40:S40)+SUM(W40:Y40)+SUM(AC40:AE40)</f>
        <v>15</v>
      </c>
      <c r="AG40" s="140">
        <f t="shared" si="0"/>
        <v>375000</v>
      </c>
      <c r="AH40" s="28">
        <f>K40+Q40+W40+AC40</f>
        <v>5</v>
      </c>
      <c r="AI40" s="28">
        <f t="shared" si="1"/>
        <v>5</v>
      </c>
      <c r="AJ40" s="28">
        <f t="shared" si="2"/>
        <v>5</v>
      </c>
    </row>
    <row r="41" spans="1:36" x14ac:dyDescent="0.25">
      <c r="A41">
        <v>51</v>
      </c>
      <c r="B41" t="s">
        <v>39</v>
      </c>
      <c r="C41" s="20" t="s">
        <v>134</v>
      </c>
      <c r="D41" s="21" t="s">
        <v>141</v>
      </c>
      <c r="E41" s="14" t="s">
        <v>142</v>
      </c>
      <c r="F41" s="100" t="s">
        <v>236</v>
      </c>
      <c r="G41" s="100" t="s">
        <v>232</v>
      </c>
      <c r="H41" s="30">
        <v>30000</v>
      </c>
      <c r="I41" s="30">
        <v>30000</v>
      </c>
      <c r="J41" s="30">
        <v>0</v>
      </c>
      <c r="K41" s="31">
        <v>7</v>
      </c>
      <c r="L41" s="31">
        <v>8</v>
      </c>
      <c r="M41" s="31">
        <v>10</v>
      </c>
      <c r="N41" s="33">
        <v>30000</v>
      </c>
      <c r="O41" s="33">
        <v>30000</v>
      </c>
      <c r="P41" s="33">
        <v>0</v>
      </c>
      <c r="Q41" s="34">
        <v>2</v>
      </c>
      <c r="R41" s="34">
        <v>2</v>
      </c>
      <c r="S41" s="34">
        <v>3</v>
      </c>
      <c r="T41" s="30">
        <v>30000</v>
      </c>
      <c r="U41" s="30">
        <v>30000</v>
      </c>
      <c r="V41" s="30">
        <v>0</v>
      </c>
      <c r="W41" s="31">
        <v>50</v>
      </c>
      <c r="X41" s="31">
        <v>64</v>
      </c>
      <c r="Y41" s="31">
        <v>84</v>
      </c>
      <c r="Z41" s="33">
        <v>30000</v>
      </c>
      <c r="AA41" s="33">
        <v>30000</v>
      </c>
      <c r="AB41" s="33">
        <v>0</v>
      </c>
      <c r="AC41" s="34">
        <v>275</v>
      </c>
      <c r="AD41" s="34">
        <v>288.75</v>
      </c>
      <c r="AE41" s="34">
        <v>308.96250000000003</v>
      </c>
      <c r="AF41" s="108">
        <f>SUM(K41:M41)+SUM(Q41:S41)+SUM(W41:Y41)+SUM(AC41:AE41)</f>
        <v>1102.7125000000001</v>
      </c>
      <c r="AG41" s="140">
        <f t="shared" si="0"/>
        <v>33081375.000000004</v>
      </c>
      <c r="AH41" s="28">
        <f>K41+Q41+W41+AC41</f>
        <v>334</v>
      </c>
      <c r="AI41" s="28">
        <f t="shared" si="1"/>
        <v>362.75</v>
      </c>
      <c r="AJ41" s="28">
        <f t="shared" si="2"/>
        <v>405.96250000000003</v>
      </c>
    </row>
    <row r="42" spans="1:36" x14ac:dyDescent="0.25">
      <c r="A42">
        <v>66</v>
      </c>
      <c r="B42" t="s">
        <v>39</v>
      </c>
      <c r="C42" s="20" t="s">
        <v>134</v>
      </c>
      <c r="D42" s="21" t="s">
        <v>173</v>
      </c>
      <c r="E42" s="14" t="s">
        <v>174</v>
      </c>
      <c r="F42" s="100" t="s">
        <v>236</v>
      </c>
      <c r="G42" s="100" t="s">
        <v>232</v>
      </c>
      <c r="H42" s="30">
        <v>12000</v>
      </c>
      <c r="I42" s="30">
        <v>12000</v>
      </c>
      <c r="J42" s="30">
        <v>0</v>
      </c>
      <c r="K42" s="31">
        <v>5</v>
      </c>
      <c r="L42" s="31">
        <v>5</v>
      </c>
      <c r="M42" s="31">
        <v>5</v>
      </c>
      <c r="N42" s="33">
        <v>0</v>
      </c>
      <c r="O42" s="33">
        <v>0</v>
      </c>
      <c r="P42" s="33">
        <v>0</v>
      </c>
      <c r="Q42" s="34">
        <v>0</v>
      </c>
      <c r="R42" s="34">
        <v>0</v>
      </c>
      <c r="S42" s="34">
        <v>0</v>
      </c>
      <c r="T42" s="30">
        <v>0</v>
      </c>
      <c r="U42" s="30">
        <v>0</v>
      </c>
      <c r="V42" s="30">
        <v>0</v>
      </c>
      <c r="W42" s="31">
        <v>0</v>
      </c>
      <c r="X42" s="31">
        <v>0</v>
      </c>
      <c r="Y42" s="31">
        <v>0</v>
      </c>
      <c r="Z42" s="33">
        <v>15000</v>
      </c>
      <c r="AA42" s="33">
        <v>15000</v>
      </c>
      <c r="AB42" s="33">
        <v>0</v>
      </c>
      <c r="AC42" s="34">
        <v>82</v>
      </c>
      <c r="AD42" s="34">
        <v>86.100000000000009</v>
      </c>
      <c r="AE42" s="34">
        <v>92.12700000000001</v>
      </c>
      <c r="AF42" s="108">
        <f>SUM(K42:M42)+SUM(Q42:S42)+SUM(W42:Y42)+SUM(AC42:AE42)</f>
        <v>275.22700000000003</v>
      </c>
      <c r="AG42" s="140">
        <f t="shared" si="0"/>
        <v>4128405.0000000005</v>
      </c>
      <c r="AH42" s="28">
        <f>K42+Q42+W42+AC42</f>
        <v>87</v>
      </c>
      <c r="AI42" s="28">
        <f t="shared" si="1"/>
        <v>91.100000000000009</v>
      </c>
      <c r="AJ42" s="28">
        <f t="shared" si="2"/>
        <v>97.12700000000001</v>
      </c>
    </row>
    <row r="43" spans="1:36" x14ac:dyDescent="0.25">
      <c r="A43">
        <v>55</v>
      </c>
      <c r="B43" t="s">
        <v>39</v>
      </c>
      <c r="C43" s="20" t="s">
        <v>134</v>
      </c>
      <c r="D43" s="21" t="s">
        <v>149</v>
      </c>
      <c r="E43" s="14" t="s">
        <v>150</v>
      </c>
      <c r="F43" s="100" t="s">
        <v>236</v>
      </c>
      <c r="G43" s="100" t="s">
        <v>232</v>
      </c>
      <c r="H43" s="30">
        <v>35000</v>
      </c>
      <c r="I43" s="30">
        <v>35000</v>
      </c>
      <c r="J43" s="30">
        <v>0</v>
      </c>
      <c r="K43" s="31">
        <v>0</v>
      </c>
      <c r="L43" s="31">
        <v>0</v>
      </c>
      <c r="M43" s="31">
        <v>0</v>
      </c>
      <c r="N43" s="33">
        <v>35000</v>
      </c>
      <c r="O43" s="33">
        <v>35000</v>
      </c>
      <c r="P43" s="33">
        <v>0</v>
      </c>
      <c r="Q43" s="34">
        <v>0</v>
      </c>
      <c r="R43" s="34">
        <v>0</v>
      </c>
      <c r="S43" s="34">
        <v>0</v>
      </c>
      <c r="T43" s="30">
        <v>35000</v>
      </c>
      <c r="U43" s="30">
        <v>35000</v>
      </c>
      <c r="V43" s="30">
        <v>0</v>
      </c>
      <c r="W43" s="31">
        <v>0</v>
      </c>
      <c r="X43" s="31">
        <v>0</v>
      </c>
      <c r="Y43" s="31">
        <v>0</v>
      </c>
      <c r="Z43" s="33">
        <v>35000</v>
      </c>
      <c r="AA43" s="33">
        <v>35000</v>
      </c>
      <c r="AB43" s="33">
        <v>0</v>
      </c>
      <c r="AC43" s="34">
        <v>0</v>
      </c>
      <c r="AD43" s="34">
        <v>0</v>
      </c>
      <c r="AE43" s="34">
        <v>0</v>
      </c>
      <c r="AF43" s="108">
        <f>SUM(K43:M43)+SUM(Q43:S43)+SUM(W43:Y43)+SUM(AC43:AE43)</f>
        <v>0</v>
      </c>
      <c r="AG43" s="146">
        <f>+AF43*MAX(U43,AA43,H43)</f>
        <v>0</v>
      </c>
      <c r="AH43" s="28">
        <f>K43+Q43+W43+AC43</f>
        <v>0</v>
      </c>
      <c r="AI43" s="28">
        <f t="shared" si="1"/>
        <v>0</v>
      </c>
      <c r="AJ43" s="28">
        <f t="shared" si="2"/>
        <v>0</v>
      </c>
    </row>
    <row r="44" spans="1:36" x14ac:dyDescent="0.25">
      <c r="A44">
        <v>67</v>
      </c>
      <c r="B44" t="s">
        <v>39</v>
      </c>
      <c r="C44" s="20" t="s">
        <v>134</v>
      </c>
      <c r="D44" s="21" t="s">
        <v>175</v>
      </c>
      <c r="E44" s="14" t="s">
        <v>176</v>
      </c>
      <c r="F44" s="100" t="s">
        <v>236</v>
      </c>
      <c r="G44" s="100" t="s">
        <v>233</v>
      </c>
      <c r="H44" s="30">
        <v>12000</v>
      </c>
      <c r="I44" s="30">
        <v>12000</v>
      </c>
      <c r="J44" s="30">
        <v>0</v>
      </c>
      <c r="K44" s="31">
        <v>10</v>
      </c>
      <c r="L44" s="31">
        <v>10</v>
      </c>
      <c r="M44" s="31">
        <v>10</v>
      </c>
      <c r="N44" s="33">
        <v>0</v>
      </c>
      <c r="O44" s="33">
        <v>0</v>
      </c>
      <c r="P44" s="33">
        <v>0</v>
      </c>
      <c r="Q44" s="34">
        <v>0</v>
      </c>
      <c r="R44" s="34">
        <v>0</v>
      </c>
      <c r="S44" s="34">
        <v>0</v>
      </c>
      <c r="T44" s="30">
        <v>0</v>
      </c>
      <c r="U44" s="30">
        <v>0</v>
      </c>
      <c r="V44" s="30">
        <v>0</v>
      </c>
      <c r="W44" s="31">
        <v>0</v>
      </c>
      <c r="X44" s="31">
        <v>0</v>
      </c>
      <c r="Y44" s="31">
        <v>0</v>
      </c>
      <c r="Z44" s="33">
        <v>0</v>
      </c>
      <c r="AA44" s="33">
        <v>0</v>
      </c>
      <c r="AB44" s="33">
        <v>0</v>
      </c>
      <c r="AC44" s="34">
        <v>0</v>
      </c>
      <c r="AD44" s="34">
        <v>0</v>
      </c>
      <c r="AE44" s="34">
        <v>0</v>
      </c>
      <c r="AF44" s="108">
        <f>SUM(K44:M44)+SUM(Q44:S44)+SUM(W44:Y44)+SUM(AC44:AE44)</f>
        <v>30</v>
      </c>
      <c r="AG44" s="146">
        <f>+AF44*MAX(U44,AA44,H44)</f>
        <v>360000</v>
      </c>
      <c r="AH44" s="28">
        <f>K44+Q44+W44+AC44</f>
        <v>10</v>
      </c>
      <c r="AI44" s="28">
        <f t="shared" si="1"/>
        <v>10</v>
      </c>
      <c r="AJ44" s="28">
        <f t="shared" si="2"/>
        <v>10</v>
      </c>
    </row>
    <row r="45" spans="1:36" x14ac:dyDescent="0.25">
      <c r="A45">
        <v>56</v>
      </c>
      <c r="B45" t="s">
        <v>39</v>
      </c>
      <c r="C45" s="20" t="s">
        <v>134</v>
      </c>
      <c r="D45" s="21" t="s">
        <v>151</v>
      </c>
      <c r="E45" s="14" t="s">
        <v>152</v>
      </c>
      <c r="F45" s="100" t="s">
        <v>236</v>
      </c>
      <c r="G45" s="100" t="s">
        <v>233</v>
      </c>
      <c r="H45" s="30">
        <v>35000</v>
      </c>
      <c r="I45" s="30">
        <v>35000</v>
      </c>
      <c r="J45" s="30">
        <v>0</v>
      </c>
      <c r="K45" s="31">
        <v>0</v>
      </c>
      <c r="L45" s="31">
        <v>0</v>
      </c>
      <c r="M45" s="31">
        <v>0</v>
      </c>
      <c r="N45" s="33">
        <v>35000</v>
      </c>
      <c r="O45" s="33">
        <v>35000</v>
      </c>
      <c r="P45" s="33">
        <v>0</v>
      </c>
      <c r="Q45" s="34">
        <v>0</v>
      </c>
      <c r="R45" s="34">
        <v>0</v>
      </c>
      <c r="S45" s="34">
        <v>0</v>
      </c>
      <c r="T45" s="30">
        <v>35000</v>
      </c>
      <c r="U45" s="30">
        <v>35000</v>
      </c>
      <c r="V45" s="30">
        <v>0</v>
      </c>
      <c r="W45" s="31">
        <v>0</v>
      </c>
      <c r="X45" s="31">
        <v>0</v>
      </c>
      <c r="Y45" s="31">
        <v>0</v>
      </c>
      <c r="Z45" s="33">
        <v>35000</v>
      </c>
      <c r="AA45" s="33">
        <v>35000</v>
      </c>
      <c r="AB45" s="33">
        <v>0</v>
      </c>
      <c r="AC45" s="34">
        <v>0</v>
      </c>
      <c r="AD45" s="34">
        <v>0</v>
      </c>
      <c r="AE45" s="34">
        <v>0</v>
      </c>
      <c r="AF45" s="108">
        <f>SUM(K45:M45)+SUM(Q45:S45)+SUM(W45:Y45)+SUM(AC45:AE45)</f>
        <v>0</v>
      </c>
      <c r="AG45" s="146">
        <f>+AF45*MAX(U45,AA45,H45)</f>
        <v>0</v>
      </c>
      <c r="AH45" s="28">
        <f>K45+Q45+W45+AC45</f>
        <v>0</v>
      </c>
      <c r="AI45" s="28">
        <f t="shared" si="1"/>
        <v>0</v>
      </c>
      <c r="AJ45" s="28">
        <f t="shared" si="2"/>
        <v>0</v>
      </c>
    </row>
    <row r="46" spans="1:36" x14ac:dyDescent="0.25">
      <c r="A46">
        <v>49</v>
      </c>
      <c r="B46" t="s">
        <v>39</v>
      </c>
      <c r="C46" s="20" t="s">
        <v>134</v>
      </c>
      <c r="D46" s="21" t="s">
        <v>137</v>
      </c>
      <c r="E46" s="14" t="s">
        <v>138</v>
      </c>
      <c r="F46" s="100" t="s">
        <v>237</v>
      </c>
      <c r="G46" s="100" t="s">
        <v>232</v>
      </c>
      <c r="H46" s="30">
        <v>13000</v>
      </c>
      <c r="I46" s="30">
        <v>13000</v>
      </c>
      <c r="J46" s="30">
        <v>0</v>
      </c>
      <c r="K46" s="31">
        <v>0</v>
      </c>
      <c r="L46" s="31">
        <v>0</v>
      </c>
      <c r="M46" s="31">
        <v>0</v>
      </c>
      <c r="N46" s="33">
        <v>13000</v>
      </c>
      <c r="O46" s="33">
        <v>13000</v>
      </c>
      <c r="P46" s="33">
        <v>0</v>
      </c>
      <c r="Q46" s="34">
        <v>2</v>
      </c>
      <c r="R46" s="34">
        <v>3</v>
      </c>
      <c r="S46" s="34">
        <v>4</v>
      </c>
      <c r="T46" s="30">
        <v>13000</v>
      </c>
      <c r="U46" s="30">
        <v>13000</v>
      </c>
      <c r="V46" s="30">
        <v>0</v>
      </c>
      <c r="W46" s="31">
        <v>50</v>
      </c>
      <c r="X46" s="31">
        <v>100</v>
      </c>
      <c r="Y46" s="31">
        <v>200</v>
      </c>
      <c r="Z46" s="33">
        <v>13000</v>
      </c>
      <c r="AA46" s="33">
        <v>13000</v>
      </c>
      <c r="AB46" s="33">
        <v>0</v>
      </c>
      <c r="AC46" s="34">
        <v>66.400000000000006</v>
      </c>
      <c r="AD46" s="34">
        <v>69.720000000000013</v>
      </c>
      <c r="AE46" s="34">
        <v>74.600400000000022</v>
      </c>
      <c r="AF46" s="108">
        <f>SUM(K46:M46)+SUM(Q46:S46)+SUM(W46:Y46)+SUM(AC46:AE46)</f>
        <v>569.72040000000004</v>
      </c>
      <c r="AG46" s="140">
        <f t="shared" si="0"/>
        <v>7406365.2000000002</v>
      </c>
      <c r="AH46" s="28">
        <f>K46+Q46+W46+AC46</f>
        <v>118.4</v>
      </c>
      <c r="AI46" s="28">
        <f t="shared" si="1"/>
        <v>172.72000000000003</v>
      </c>
      <c r="AJ46" s="28">
        <f t="shared" si="2"/>
        <v>278.60040000000004</v>
      </c>
    </row>
    <row r="47" spans="1:36" x14ac:dyDescent="0.25">
      <c r="A47">
        <v>53</v>
      </c>
      <c r="B47" t="s">
        <v>39</v>
      </c>
      <c r="C47" s="20" t="s">
        <v>134</v>
      </c>
      <c r="D47" s="21" t="s">
        <v>145</v>
      </c>
      <c r="E47" s="14" t="s">
        <v>146</v>
      </c>
      <c r="F47" s="100" t="s">
        <v>237</v>
      </c>
      <c r="G47" s="100" t="s">
        <v>232</v>
      </c>
      <c r="H47" s="30">
        <v>18000</v>
      </c>
      <c r="I47" s="30">
        <v>18000</v>
      </c>
      <c r="J47" s="30">
        <v>0</v>
      </c>
      <c r="K47" s="31">
        <v>0</v>
      </c>
      <c r="L47" s="31">
        <v>0</v>
      </c>
      <c r="M47" s="31">
        <v>0</v>
      </c>
      <c r="N47" s="33">
        <v>18000</v>
      </c>
      <c r="O47" s="33">
        <v>18000</v>
      </c>
      <c r="P47" s="33">
        <v>0</v>
      </c>
      <c r="Q47" s="34">
        <v>0</v>
      </c>
      <c r="R47" s="34">
        <v>0</v>
      </c>
      <c r="S47" s="34">
        <v>0</v>
      </c>
      <c r="T47" s="30">
        <v>18000</v>
      </c>
      <c r="U47" s="30">
        <v>18000</v>
      </c>
      <c r="V47" s="30">
        <v>0</v>
      </c>
      <c r="W47" s="31">
        <v>50</v>
      </c>
      <c r="X47" s="31">
        <v>64</v>
      </c>
      <c r="Y47" s="31">
        <v>84</v>
      </c>
      <c r="Z47" s="33">
        <v>18000</v>
      </c>
      <c r="AA47" s="33">
        <v>18000</v>
      </c>
      <c r="AB47" s="33">
        <v>0</v>
      </c>
      <c r="AC47" s="34">
        <v>200</v>
      </c>
      <c r="AD47" s="34">
        <v>210</v>
      </c>
      <c r="AE47" s="34">
        <v>224.70000000000002</v>
      </c>
      <c r="AF47" s="108">
        <f>SUM(K47:M47)+SUM(Q47:S47)+SUM(W47:Y47)+SUM(AC47:AE47)</f>
        <v>832.7</v>
      </c>
      <c r="AG47" s="140">
        <f t="shared" si="0"/>
        <v>14988600</v>
      </c>
      <c r="AH47" s="28">
        <f>K47+Q47+W47+AC47</f>
        <v>250</v>
      </c>
      <c r="AI47" s="28">
        <f t="shared" si="1"/>
        <v>274</v>
      </c>
      <c r="AJ47" s="28">
        <f t="shared" si="2"/>
        <v>308.70000000000005</v>
      </c>
    </row>
    <row r="48" spans="1:36" x14ac:dyDescent="0.25">
      <c r="A48">
        <v>50</v>
      </c>
      <c r="B48" t="s">
        <v>39</v>
      </c>
      <c r="C48" s="20" t="s">
        <v>134</v>
      </c>
      <c r="D48" s="21" t="s">
        <v>139</v>
      </c>
      <c r="E48" s="14" t="s">
        <v>140</v>
      </c>
      <c r="F48" s="100" t="s">
        <v>237</v>
      </c>
      <c r="G48" s="100" t="s">
        <v>233</v>
      </c>
      <c r="H48" s="30">
        <v>13000</v>
      </c>
      <c r="I48" s="30">
        <v>13000</v>
      </c>
      <c r="J48" s="30">
        <v>0</v>
      </c>
      <c r="K48" s="31">
        <v>0</v>
      </c>
      <c r="L48" s="31">
        <v>0</v>
      </c>
      <c r="M48" s="31">
        <v>0</v>
      </c>
      <c r="N48" s="33">
        <v>13000</v>
      </c>
      <c r="O48" s="33">
        <v>13000</v>
      </c>
      <c r="P48" s="33">
        <v>0</v>
      </c>
      <c r="Q48" s="34">
        <v>0</v>
      </c>
      <c r="R48" s="34">
        <v>0</v>
      </c>
      <c r="S48" s="34">
        <v>0</v>
      </c>
      <c r="T48" s="30">
        <v>13000</v>
      </c>
      <c r="U48" s="30">
        <v>13000</v>
      </c>
      <c r="V48" s="30">
        <v>0</v>
      </c>
      <c r="W48" s="31">
        <v>50</v>
      </c>
      <c r="X48" s="31">
        <v>64</v>
      </c>
      <c r="Y48" s="31">
        <v>84</v>
      </c>
      <c r="Z48" s="33">
        <v>13000</v>
      </c>
      <c r="AA48" s="33">
        <v>13000</v>
      </c>
      <c r="AB48" s="33">
        <v>0</v>
      </c>
      <c r="AC48" s="34">
        <v>3.2</v>
      </c>
      <c r="AD48" s="34">
        <v>3.3600000000000003</v>
      </c>
      <c r="AE48" s="34">
        <v>3.5952000000000006</v>
      </c>
      <c r="AF48" s="108">
        <f>SUM(K48:M48)+SUM(Q48:S48)+SUM(W48:Y48)+SUM(AC48:AE48)</f>
        <v>208.15520000000001</v>
      </c>
      <c r="AG48" s="140">
        <f t="shared" si="0"/>
        <v>2706017.6</v>
      </c>
      <c r="AH48" s="28">
        <f>K48+Q48+W48+AC48</f>
        <v>53.2</v>
      </c>
      <c r="AI48" s="28">
        <f t="shared" si="1"/>
        <v>67.36</v>
      </c>
      <c r="AJ48" s="28">
        <f t="shared" si="2"/>
        <v>87.595200000000006</v>
      </c>
    </row>
    <row r="49" spans="1:36" x14ac:dyDescent="0.25">
      <c r="A49">
        <v>54</v>
      </c>
      <c r="B49" t="s">
        <v>39</v>
      </c>
      <c r="C49" s="20" t="s">
        <v>134</v>
      </c>
      <c r="D49" s="21" t="s">
        <v>147</v>
      </c>
      <c r="E49" s="14" t="s">
        <v>148</v>
      </c>
      <c r="F49" s="100" t="s">
        <v>237</v>
      </c>
      <c r="G49" s="100" t="s">
        <v>233</v>
      </c>
      <c r="H49" s="30">
        <v>18000</v>
      </c>
      <c r="I49" s="30">
        <v>18000</v>
      </c>
      <c r="J49" s="30">
        <v>0</v>
      </c>
      <c r="K49" s="31">
        <v>5</v>
      </c>
      <c r="L49" s="31">
        <v>5</v>
      </c>
      <c r="M49" s="31">
        <v>5</v>
      </c>
      <c r="N49" s="33">
        <v>18000</v>
      </c>
      <c r="O49" s="33">
        <v>18000</v>
      </c>
      <c r="P49" s="33">
        <v>0</v>
      </c>
      <c r="Q49" s="34">
        <v>0</v>
      </c>
      <c r="R49" s="34">
        <v>0</v>
      </c>
      <c r="S49" s="34">
        <v>0</v>
      </c>
      <c r="T49" s="30">
        <v>18000</v>
      </c>
      <c r="U49" s="30">
        <v>18000</v>
      </c>
      <c r="V49" s="30">
        <v>0</v>
      </c>
      <c r="W49" s="31">
        <v>50</v>
      </c>
      <c r="X49" s="31">
        <v>64</v>
      </c>
      <c r="Y49" s="31">
        <v>84</v>
      </c>
      <c r="Z49" s="33">
        <v>18000</v>
      </c>
      <c r="AA49" s="33">
        <v>18000</v>
      </c>
      <c r="AB49" s="33">
        <v>0</v>
      </c>
      <c r="AC49" s="34">
        <v>0</v>
      </c>
      <c r="AD49" s="34">
        <v>0</v>
      </c>
      <c r="AE49" s="34">
        <v>0</v>
      </c>
      <c r="AF49" s="108">
        <f>SUM(K49:M49)+SUM(Q49:S49)+SUM(W49:Y49)+SUM(AC49:AE49)</f>
        <v>213</v>
      </c>
      <c r="AG49" s="140">
        <f t="shared" si="0"/>
        <v>3834000</v>
      </c>
      <c r="AH49" s="28">
        <f>K49+Q49+W49+AC49</f>
        <v>55</v>
      </c>
      <c r="AI49" s="28">
        <f t="shared" si="1"/>
        <v>69</v>
      </c>
      <c r="AJ49" s="28">
        <f t="shared" si="2"/>
        <v>89</v>
      </c>
    </row>
    <row r="50" spans="1:36" x14ac:dyDescent="0.25">
      <c r="A50">
        <v>52</v>
      </c>
      <c r="B50" t="s">
        <v>39</v>
      </c>
      <c r="C50" s="20" t="s">
        <v>134</v>
      </c>
      <c r="D50" s="21" t="s">
        <v>143</v>
      </c>
      <c r="E50" s="14" t="s">
        <v>144</v>
      </c>
      <c r="F50" s="100" t="s">
        <v>236</v>
      </c>
      <c r="G50" s="100" t="s">
        <v>233</v>
      </c>
      <c r="H50" s="30">
        <v>30000</v>
      </c>
      <c r="I50" s="30">
        <v>30000</v>
      </c>
      <c r="J50" s="30">
        <v>0</v>
      </c>
      <c r="K50" s="31">
        <v>6</v>
      </c>
      <c r="L50" s="31">
        <v>7</v>
      </c>
      <c r="M50" s="31">
        <v>9</v>
      </c>
      <c r="N50" s="33">
        <v>30000</v>
      </c>
      <c r="O50" s="33">
        <v>30000</v>
      </c>
      <c r="P50" s="33">
        <v>0</v>
      </c>
      <c r="Q50" s="34">
        <v>0</v>
      </c>
      <c r="R50" s="34">
        <v>0</v>
      </c>
      <c r="S50" s="34">
        <v>0</v>
      </c>
      <c r="T50" s="30">
        <v>30000</v>
      </c>
      <c r="U50" s="30">
        <v>30000</v>
      </c>
      <c r="V50" s="30">
        <v>0</v>
      </c>
      <c r="W50" s="31">
        <v>50</v>
      </c>
      <c r="X50" s="31">
        <v>64</v>
      </c>
      <c r="Y50" s="31">
        <v>84</v>
      </c>
      <c r="Z50" s="33">
        <v>30000</v>
      </c>
      <c r="AA50" s="33">
        <v>30000</v>
      </c>
      <c r="AB50" s="33">
        <v>0</v>
      </c>
      <c r="AC50" s="34">
        <v>7</v>
      </c>
      <c r="AD50" s="34">
        <v>7.3500000000000005</v>
      </c>
      <c r="AE50" s="34">
        <v>7.8645000000000014</v>
      </c>
      <c r="AF50" s="108">
        <f>SUM(K50:M50)+SUM(Q50:S50)+SUM(W50:Y50)+SUM(AC50:AE50)</f>
        <v>242.21449999999999</v>
      </c>
      <c r="AG50" s="140">
        <f t="shared" si="0"/>
        <v>7266435</v>
      </c>
      <c r="AH50" s="28">
        <f>K50+Q50+W50+AC50</f>
        <v>63</v>
      </c>
      <c r="AI50" s="28">
        <f t="shared" si="1"/>
        <v>78.349999999999994</v>
      </c>
      <c r="AJ50" s="28">
        <f t="shared" si="2"/>
        <v>100.86450000000001</v>
      </c>
    </row>
    <row r="51" spans="1:36" x14ac:dyDescent="0.25">
      <c r="A51">
        <v>59</v>
      </c>
      <c r="B51" t="s">
        <v>39</v>
      </c>
      <c r="C51" s="20" t="s">
        <v>134</v>
      </c>
      <c r="D51" s="21" t="s">
        <v>157</v>
      </c>
      <c r="E51" s="14" t="s">
        <v>158</v>
      </c>
      <c r="F51" s="100" t="s">
        <v>240</v>
      </c>
      <c r="G51" s="100" t="s">
        <v>232</v>
      </c>
      <c r="H51" s="30">
        <v>6000</v>
      </c>
      <c r="I51" s="30">
        <v>6000</v>
      </c>
      <c r="J51" s="30">
        <v>0</v>
      </c>
      <c r="K51" s="31">
        <v>3</v>
      </c>
      <c r="L51" s="31">
        <v>5</v>
      </c>
      <c r="M51" s="31">
        <v>6</v>
      </c>
      <c r="N51" s="33">
        <v>0</v>
      </c>
      <c r="O51" s="33">
        <v>0</v>
      </c>
      <c r="P51" s="33">
        <v>0</v>
      </c>
      <c r="Q51" s="34">
        <v>0</v>
      </c>
      <c r="R51" s="34">
        <v>0</v>
      </c>
      <c r="S51" s="34">
        <v>0</v>
      </c>
      <c r="T51" s="30">
        <v>5000</v>
      </c>
      <c r="U51" s="30">
        <v>5000</v>
      </c>
      <c r="V51" s="30">
        <v>0</v>
      </c>
      <c r="W51" s="31">
        <v>57</v>
      </c>
      <c r="X51" s="31">
        <v>57</v>
      </c>
      <c r="Y51" s="31">
        <v>58</v>
      </c>
      <c r="Z51" s="33">
        <v>2700</v>
      </c>
      <c r="AA51" s="33">
        <v>2700</v>
      </c>
      <c r="AB51" s="33">
        <v>0</v>
      </c>
      <c r="AC51" s="34">
        <v>130</v>
      </c>
      <c r="AD51" s="34">
        <v>130</v>
      </c>
      <c r="AE51" s="34">
        <v>130</v>
      </c>
      <c r="AF51" s="108">
        <f>SUM(K51:M51)+SUM(Q51:S51)+SUM(W51:Y51)+SUM(AC51:AE51)</f>
        <v>576</v>
      </c>
      <c r="AG51" s="140">
        <f t="shared" si="0"/>
        <v>2880000</v>
      </c>
      <c r="AH51" s="28">
        <f>K51+Q51+W51+AC51</f>
        <v>190</v>
      </c>
      <c r="AI51" s="28">
        <f t="shared" si="1"/>
        <v>192</v>
      </c>
      <c r="AJ51" s="28">
        <f t="shared" si="2"/>
        <v>194</v>
      </c>
    </row>
    <row r="52" spans="1:36" x14ac:dyDescent="0.25">
      <c r="A52">
        <v>63</v>
      </c>
      <c r="B52" t="s">
        <v>39</v>
      </c>
      <c r="C52" s="20" t="s">
        <v>134</v>
      </c>
      <c r="D52" s="21" t="s">
        <v>167</v>
      </c>
      <c r="E52" s="14" t="s">
        <v>168</v>
      </c>
      <c r="F52" s="100" t="s">
        <v>240</v>
      </c>
      <c r="G52" s="100" t="s">
        <v>232</v>
      </c>
      <c r="H52" s="30">
        <v>0</v>
      </c>
      <c r="I52" s="30">
        <v>0</v>
      </c>
      <c r="J52" s="30">
        <v>0</v>
      </c>
      <c r="N52" s="33">
        <v>0</v>
      </c>
      <c r="O52" s="33">
        <v>0</v>
      </c>
      <c r="P52" s="33">
        <v>0</v>
      </c>
      <c r="Q52" s="34">
        <v>0</v>
      </c>
      <c r="R52" s="34">
        <v>0</v>
      </c>
      <c r="S52" s="34">
        <v>0</v>
      </c>
      <c r="T52" s="30">
        <v>5000</v>
      </c>
      <c r="U52" s="30">
        <v>5000</v>
      </c>
      <c r="V52" s="30">
        <v>0</v>
      </c>
      <c r="W52" s="31">
        <v>10</v>
      </c>
      <c r="X52" s="31">
        <v>10</v>
      </c>
      <c r="Y52" s="31">
        <v>10</v>
      </c>
      <c r="Z52" s="33">
        <v>0</v>
      </c>
      <c r="AA52" s="33">
        <v>0</v>
      </c>
      <c r="AB52" s="33">
        <v>0</v>
      </c>
      <c r="AC52" s="34">
        <v>0</v>
      </c>
      <c r="AD52" s="34">
        <v>0</v>
      </c>
      <c r="AE52" s="34">
        <v>0</v>
      </c>
      <c r="AF52" s="108">
        <f>SUM(K52:M52)+SUM(Q52:S52)+SUM(W52:Y52)+SUM(AC52:AE52)</f>
        <v>30</v>
      </c>
      <c r="AG52" s="140">
        <f t="shared" si="0"/>
        <v>150000</v>
      </c>
      <c r="AH52" s="28">
        <f>K52+Q52+W52+AC52</f>
        <v>10</v>
      </c>
      <c r="AI52" s="28">
        <f t="shared" si="1"/>
        <v>10</v>
      </c>
      <c r="AJ52" s="28">
        <f t="shared" si="2"/>
        <v>10</v>
      </c>
    </row>
    <row r="53" spans="1:36" x14ac:dyDescent="0.25">
      <c r="A53">
        <v>60</v>
      </c>
      <c r="B53" t="s">
        <v>39</v>
      </c>
      <c r="C53" s="20" t="s">
        <v>134</v>
      </c>
      <c r="D53" s="21" t="s">
        <v>159</v>
      </c>
      <c r="E53" s="14" t="s">
        <v>160</v>
      </c>
      <c r="F53" s="100" t="s">
        <v>240</v>
      </c>
      <c r="G53" s="100" t="s">
        <v>233</v>
      </c>
      <c r="H53" s="30">
        <v>6000</v>
      </c>
      <c r="I53" s="30">
        <v>6000</v>
      </c>
      <c r="J53" s="30">
        <v>0</v>
      </c>
      <c r="K53" s="31">
        <v>7</v>
      </c>
      <c r="L53" s="31">
        <v>10</v>
      </c>
      <c r="M53" s="31">
        <v>11</v>
      </c>
      <c r="N53" s="33">
        <v>0</v>
      </c>
      <c r="O53" s="33">
        <v>0</v>
      </c>
      <c r="P53" s="33">
        <v>0</v>
      </c>
      <c r="Q53" s="34">
        <v>0</v>
      </c>
      <c r="R53" s="34">
        <v>0</v>
      </c>
      <c r="S53" s="34">
        <v>0</v>
      </c>
      <c r="T53" s="30">
        <v>5000</v>
      </c>
      <c r="U53" s="30">
        <v>5000</v>
      </c>
      <c r="V53" s="30">
        <v>0</v>
      </c>
      <c r="W53" s="31">
        <v>88</v>
      </c>
      <c r="X53" s="31">
        <v>94</v>
      </c>
      <c r="Y53" s="31">
        <v>94</v>
      </c>
      <c r="Z53" s="33">
        <v>2700</v>
      </c>
      <c r="AA53" s="33">
        <v>2700</v>
      </c>
      <c r="AB53" s="33">
        <v>0</v>
      </c>
      <c r="AC53" s="34">
        <v>20</v>
      </c>
      <c r="AD53" s="34">
        <v>20</v>
      </c>
      <c r="AE53" s="34">
        <v>20</v>
      </c>
      <c r="AF53" s="108">
        <f>SUM(K53:M53)+SUM(Q53:S53)+SUM(W53:Y53)+SUM(AC53:AE53)</f>
        <v>364</v>
      </c>
      <c r="AG53" s="140">
        <f t="shared" si="0"/>
        <v>1820000</v>
      </c>
      <c r="AH53" s="28">
        <f>K53+Q53+W53+AC53</f>
        <v>115</v>
      </c>
      <c r="AI53" s="28">
        <f t="shared" si="1"/>
        <v>124</v>
      </c>
      <c r="AJ53" s="28">
        <f t="shared" si="2"/>
        <v>125</v>
      </c>
    </row>
    <row r="54" spans="1:36" ht="15.75" thickBot="1" x14ac:dyDescent="0.3">
      <c r="A54">
        <v>64</v>
      </c>
      <c r="B54" t="s">
        <v>39</v>
      </c>
      <c r="C54" s="20" t="s">
        <v>134</v>
      </c>
      <c r="D54" s="21" t="s">
        <v>169</v>
      </c>
      <c r="E54" s="14" t="s">
        <v>170</v>
      </c>
      <c r="F54" s="100" t="s">
        <v>240</v>
      </c>
      <c r="G54" s="100" t="s">
        <v>233</v>
      </c>
      <c r="H54" s="30">
        <v>0</v>
      </c>
      <c r="I54" s="30">
        <v>0</v>
      </c>
      <c r="J54" s="30">
        <v>0</v>
      </c>
      <c r="N54" s="33">
        <v>0</v>
      </c>
      <c r="O54" s="33">
        <v>0</v>
      </c>
      <c r="P54" s="33">
        <v>0</v>
      </c>
      <c r="Q54" s="34">
        <v>0</v>
      </c>
      <c r="R54" s="34">
        <v>0</v>
      </c>
      <c r="S54" s="34">
        <v>0</v>
      </c>
      <c r="T54" s="30">
        <v>5000</v>
      </c>
      <c r="U54" s="30">
        <v>5000</v>
      </c>
      <c r="V54" s="30">
        <v>0</v>
      </c>
      <c r="W54" s="31">
        <v>10</v>
      </c>
      <c r="X54" s="31">
        <v>10</v>
      </c>
      <c r="Y54" s="31">
        <v>10</v>
      </c>
      <c r="Z54" s="33">
        <v>0</v>
      </c>
      <c r="AA54" s="33">
        <v>0</v>
      </c>
      <c r="AB54" s="33">
        <v>0</v>
      </c>
      <c r="AC54" s="34">
        <v>0</v>
      </c>
      <c r="AD54" s="34">
        <v>0</v>
      </c>
      <c r="AE54" s="34">
        <v>0</v>
      </c>
      <c r="AF54" s="108">
        <f>SUM(K54:M54)+SUM(Q54:S54)+SUM(W54:Y54)+SUM(AC54:AE54)</f>
        <v>30</v>
      </c>
      <c r="AG54" s="140">
        <f t="shared" si="0"/>
        <v>150000</v>
      </c>
      <c r="AH54" s="28">
        <f>K54+Q54+W54+AC54</f>
        <v>10</v>
      </c>
      <c r="AI54" s="28">
        <f t="shared" si="1"/>
        <v>10</v>
      </c>
      <c r="AJ54" s="28">
        <f t="shared" si="2"/>
        <v>10</v>
      </c>
    </row>
    <row r="55" spans="1:36" x14ac:dyDescent="0.25">
      <c r="A55" s="109">
        <v>68</v>
      </c>
      <c r="B55" s="110" t="s">
        <v>39</v>
      </c>
      <c r="C55" s="111" t="s">
        <v>177</v>
      </c>
      <c r="D55" s="111" t="s">
        <v>178</v>
      </c>
      <c r="E55" s="112" t="s">
        <v>179</v>
      </c>
      <c r="F55" s="113" t="s">
        <v>39</v>
      </c>
      <c r="G55" s="113" t="s">
        <v>39</v>
      </c>
      <c r="H55" s="114"/>
      <c r="I55" s="114"/>
      <c r="J55" s="114"/>
      <c r="K55" s="115">
        <v>0</v>
      </c>
      <c r="L55" s="115">
        <v>0</v>
      </c>
      <c r="M55" s="115">
        <v>0</v>
      </c>
      <c r="N55" s="116">
        <v>0</v>
      </c>
      <c r="O55" s="116">
        <v>0</v>
      </c>
      <c r="P55" s="116">
        <v>0</v>
      </c>
      <c r="Q55" s="117">
        <v>0</v>
      </c>
      <c r="R55" s="117">
        <v>0</v>
      </c>
      <c r="S55" s="117">
        <v>0</v>
      </c>
      <c r="T55" s="114">
        <v>0</v>
      </c>
      <c r="U55" s="114">
        <v>0</v>
      </c>
      <c r="V55" s="114">
        <v>0</v>
      </c>
      <c r="W55" s="115">
        <v>0</v>
      </c>
      <c r="X55" s="115">
        <v>0</v>
      </c>
      <c r="Y55" s="115">
        <v>0</v>
      </c>
      <c r="Z55" s="116">
        <v>0</v>
      </c>
      <c r="AA55" s="116">
        <v>0</v>
      </c>
      <c r="AB55" s="116">
        <v>0</v>
      </c>
      <c r="AC55" s="117">
        <v>0</v>
      </c>
      <c r="AD55" s="117">
        <v>0</v>
      </c>
      <c r="AE55" s="117">
        <v>0</v>
      </c>
      <c r="AF55" s="118">
        <f>SUM(K55:M55)+SUM(Q55:S55)+SUM(W55:Y55)+SUM(AC55:AE55)</f>
        <v>0</v>
      </c>
      <c r="AG55" s="140">
        <f t="shared" si="0"/>
        <v>0</v>
      </c>
    </row>
    <row r="56" spans="1:36" x14ac:dyDescent="0.25">
      <c r="A56" s="119">
        <v>71</v>
      </c>
      <c r="B56" s="54" t="s">
        <v>39</v>
      </c>
      <c r="C56" s="20" t="s">
        <v>29</v>
      </c>
      <c r="D56" s="43" t="s">
        <v>184</v>
      </c>
      <c r="E56" s="14" t="s">
        <v>185</v>
      </c>
      <c r="F56" s="100" t="s">
        <v>39</v>
      </c>
      <c r="G56" s="100" t="s">
        <v>39</v>
      </c>
      <c r="H56" s="120">
        <v>45390</v>
      </c>
      <c r="I56" s="120">
        <v>35000</v>
      </c>
      <c r="J56" s="120">
        <v>10390</v>
      </c>
      <c r="K56" s="121">
        <v>29</v>
      </c>
      <c r="L56" s="121">
        <v>35</v>
      </c>
      <c r="M56" s="121">
        <v>41</v>
      </c>
      <c r="N56" s="122">
        <v>0</v>
      </c>
      <c r="O56" s="122">
        <v>0</v>
      </c>
      <c r="P56" s="122">
        <v>0</v>
      </c>
      <c r="Q56" s="123">
        <v>0</v>
      </c>
      <c r="R56" s="123">
        <v>0</v>
      </c>
      <c r="S56" s="123">
        <v>0</v>
      </c>
      <c r="T56" s="120">
        <v>21933.333333333332</v>
      </c>
      <c r="U56" s="120">
        <v>16450</v>
      </c>
      <c r="V56" s="120">
        <v>5483.3333333333321</v>
      </c>
      <c r="W56" s="121">
        <v>17</v>
      </c>
      <c r="X56" s="121">
        <v>21</v>
      </c>
      <c r="Y56" s="121">
        <v>28</v>
      </c>
      <c r="Z56" s="122">
        <v>12500</v>
      </c>
      <c r="AA56" s="122">
        <v>8750</v>
      </c>
      <c r="AB56" s="122">
        <v>3750</v>
      </c>
      <c r="AC56" s="123">
        <v>5</v>
      </c>
      <c r="AD56" s="123">
        <v>10</v>
      </c>
      <c r="AE56" s="123">
        <v>15</v>
      </c>
      <c r="AF56" s="124">
        <f>SUM(K56:M56)+SUM(Q56:S56)+SUM(W56:Y56)+SUM(AC56:AE56)</f>
        <v>201</v>
      </c>
      <c r="AG56" s="140">
        <f t="shared" si="0"/>
        <v>3306450</v>
      </c>
    </row>
    <row r="57" spans="1:36" x14ac:dyDescent="0.25">
      <c r="A57" s="119">
        <v>76</v>
      </c>
      <c r="B57" s="54" t="s">
        <v>39</v>
      </c>
      <c r="C57" s="20" t="s">
        <v>29</v>
      </c>
      <c r="D57" s="43" t="s">
        <v>194</v>
      </c>
      <c r="E57" s="14" t="s">
        <v>195</v>
      </c>
      <c r="F57" s="100" t="s">
        <v>236</v>
      </c>
      <c r="G57" s="100" t="s">
        <v>232</v>
      </c>
      <c r="H57" s="120"/>
      <c r="I57" s="120"/>
      <c r="J57" s="120"/>
      <c r="K57" s="121" t="s">
        <v>119</v>
      </c>
      <c r="L57" s="121" t="s">
        <v>119</v>
      </c>
      <c r="M57" s="121" t="s">
        <v>119</v>
      </c>
      <c r="N57" s="122">
        <v>25000</v>
      </c>
      <c r="O57" s="122">
        <v>20000</v>
      </c>
      <c r="P57" s="122">
        <v>5000</v>
      </c>
      <c r="Q57" s="123">
        <v>1</v>
      </c>
      <c r="R57" s="123">
        <v>2</v>
      </c>
      <c r="S57" s="123">
        <v>3</v>
      </c>
      <c r="T57" s="120">
        <v>0</v>
      </c>
      <c r="U57" s="120">
        <v>0</v>
      </c>
      <c r="V57" s="120">
        <v>0</v>
      </c>
      <c r="W57" s="121">
        <v>0</v>
      </c>
      <c r="X57" s="121">
        <v>0</v>
      </c>
      <c r="Y57" s="121">
        <v>0</v>
      </c>
      <c r="Z57" s="122">
        <v>21428.571428571431</v>
      </c>
      <c r="AA57" s="122">
        <v>15000</v>
      </c>
      <c r="AB57" s="122">
        <v>6428.5714285714312</v>
      </c>
      <c r="AC57" s="123">
        <v>5</v>
      </c>
      <c r="AD57" s="123">
        <v>10</v>
      </c>
      <c r="AE57" s="123">
        <v>20</v>
      </c>
      <c r="AF57" s="124">
        <f>SUM(K57:M57)+SUM(Q57:S57)+SUM(W57:Y57)+SUM(AC57:AE57)</f>
        <v>41</v>
      </c>
      <c r="AG57" s="140">
        <f t="shared" si="0"/>
        <v>615000</v>
      </c>
    </row>
    <row r="58" spans="1:36" x14ac:dyDescent="0.25">
      <c r="A58" s="119">
        <v>77</v>
      </c>
      <c r="B58" s="54" t="s">
        <v>39</v>
      </c>
      <c r="C58" s="20" t="s">
        <v>29</v>
      </c>
      <c r="D58" s="43" t="s">
        <v>196</v>
      </c>
      <c r="E58" s="14" t="s">
        <v>197</v>
      </c>
      <c r="F58" s="100" t="s">
        <v>236</v>
      </c>
      <c r="G58" s="100" t="s">
        <v>232</v>
      </c>
      <c r="H58" s="120"/>
      <c r="I58" s="120"/>
      <c r="J58" s="120"/>
      <c r="K58" s="121" t="s">
        <v>119</v>
      </c>
      <c r="L58" s="121" t="s">
        <v>119</v>
      </c>
      <c r="M58" s="121" t="s">
        <v>119</v>
      </c>
      <c r="N58" s="122">
        <v>0</v>
      </c>
      <c r="O58" s="122">
        <v>0</v>
      </c>
      <c r="P58" s="122">
        <v>0</v>
      </c>
      <c r="Q58" s="123">
        <v>0</v>
      </c>
      <c r="R58" s="123">
        <v>0</v>
      </c>
      <c r="S58" s="123">
        <v>0</v>
      </c>
      <c r="T58" s="120">
        <v>0</v>
      </c>
      <c r="U58" s="120">
        <v>0</v>
      </c>
      <c r="V58" s="120">
        <v>0</v>
      </c>
      <c r="W58" s="121">
        <v>0</v>
      </c>
      <c r="X58" s="121">
        <v>0</v>
      </c>
      <c r="Y58" s="121">
        <v>0</v>
      </c>
      <c r="Z58" s="122">
        <v>21428.571428571431</v>
      </c>
      <c r="AA58" s="122">
        <v>15000</v>
      </c>
      <c r="AB58" s="122">
        <v>6428.5714285714312</v>
      </c>
      <c r="AC58" s="123">
        <v>1</v>
      </c>
      <c r="AD58" s="123">
        <v>1</v>
      </c>
      <c r="AE58" s="123">
        <v>2</v>
      </c>
      <c r="AF58" s="124">
        <f>SUM(K58:M58)+SUM(Q58:S58)+SUM(W58:Y58)+SUM(AC58:AE58)</f>
        <v>4</v>
      </c>
      <c r="AG58" s="140">
        <f t="shared" si="0"/>
        <v>60000</v>
      </c>
    </row>
    <row r="59" spans="1:36" x14ac:dyDescent="0.25">
      <c r="A59" s="119">
        <v>78</v>
      </c>
      <c r="B59" s="54" t="s">
        <v>39</v>
      </c>
      <c r="C59" s="20" t="s">
        <v>29</v>
      </c>
      <c r="D59" s="43" t="s">
        <v>198</v>
      </c>
      <c r="E59" s="14" t="s">
        <v>199</v>
      </c>
      <c r="F59" s="100" t="s">
        <v>236</v>
      </c>
      <c r="G59" s="100" t="s">
        <v>233</v>
      </c>
      <c r="H59" s="120"/>
      <c r="I59" s="120"/>
      <c r="J59" s="120"/>
      <c r="K59" s="121" t="s">
        <v>119</v>
      </c>
      <c r="L59" s="121" t="s">
        <v>119</v>
      </c>
      <c r="M59" s="121" t="s">
        <v>119</v>
      </c>
      <c r="N59" s="122">
        <v>0</v>
      </c>
      <c r="O59" s="122">
        <v>0</v>
      </c>
      <c r="P59" s="122">
        <v>0</v>
      </c>
      <c r="Q59" s="123">
        <v>0</v>
      </c>
      <c r="R59" s="123">
        <v>0</v>
      </c>
      <c r="S59" s="123">
        <v>0</v>
      </c>
      <c r="T59" s="120">
        <v>0</v>
      </c>
      <c r="U59" s="120">
        <v>0</v>
      </c>
      <c r="V59" s="120">
        <v>0</v>
      </c>
      <c r="W59" s="121">
        <v>0</v>
      </c>
      <c r="X59" s="121">
        <v>0</v>
      </c>
      <c r="Y59" s="121">
        <v>0</v>
      </c>
      <c r="Z59" s="122">
        <v>21428.571428571431</v>
      </c>
      <c r="AA59" s="122">
        <v>15000</v>
      </c>
      <c r="AB59" s="122">
        <v>6428.5714285714312</v>
      </c>
      <c r="AC59" s="123">
        <v>1</v>
      </c>
      <c r="AD59" s="123">
        <v>2</v>
      </c>
      <c r="AE59" s="123">
        <v>4</v>
      </c>
      <c r="AF59" s="124">
        <f>SUM(K59:M59)+SUM(Q59:S59)+SUM(W59:Y59)+SUM(AC59:AE59)</f>
        <v>7</v>
      </c>
      <c r="AG59" s="140">
        <f t="shared" si="0"/>
        <v>105000</v>
      </c>
    </row>
    <row r="60" spans="1:36" x14ac:dyDescent="0.25">
      <c r="A60" s="119">
        <v>79</v>
      </c>
      <c r="B60" s="54" t="s">
        <v>39</v>
      </c>
      <c r="C60" s="20" t="s">
        <v>29</v>
      </c>
      <c r="D60" s="43" t="s">
        <v>200</v>
      </c>
      <c r="E60" s="14" t="s">
        <v>201</v>
      </c>
      <c r="F60" s="100" t="s">
        <v>236</v>
      </c>
      <c r="G60" s="100" t="s">
        <v>233</v>
      </c>
      <c r="H60" s="120"/>
      <c r="I60" s="120"/>
      <c r="J60" s="120"/>
      <c r="K60" s="121" t="s">
        <v>119</v>
      </c>
      <c r="L60" s="121" t="s">
        <v>119</v>
      </c>
      <c r="M60" s="121" t="s">
        <v>119</v>
      </c>
      <c r="N60" s="122">
        <v>0</v>
      </c>
      <c r="O60" s="122">
        <v>0</v>
      </c>
      <c r="P60" s="122">
        <v>0</v>
      </c>
      <c r="Q60" s="123">
        <v>0</v>
      </c>
      <c r="R60" s="123">
        <v>0</v>
      </c>
      <c r="S60" s="123">
        <v>0</v>
      </c>
      <c r="T60" s="120">
        <v>0</v>
      </c>
      <c r="U60" s="120">
        <v>0</v>
      </c>
      <c r="V60" s="120">
        <v>0</v>
      </c>
      <c r="W60" s="121">
        <v>0</v>
      </c>
      <c r="X60" s="121">
        <v>0</v>
      </c>
      <c r="Y60" s="121">
        <v>0</v>
      </c>
      <c r="Z60" s="122">
        <v>21428.571428571431</v>
      </c>
      <c r="AA60" s="122">
        <v>15000</v>
      </c>
      <c r="AB60" s="122">
        <v>6428.5714285714312</v>
      </c>
      <c r="AC60" s="123">
        <v>1</v>
      </c>
      <c r="AD60" s="123">
        <v>1</v>
      </c>
      <c r="AE60" s="123">
        <v>1</v>
      </c>
      <c r="AF60" s="124">
        <f>SUM(K60:M60)+SUM(Q60:S60)+SUM(W60:Y60)+SUM(AC60:AE60)</f>
        <v>3</v>
      </c>
      <c r="AG60" s="140">
        <f t="shared" si="0"/>
        <v>45000</v>
      </c>
    </row>
    <row r="61" spans="1:36" x14ac:dyDescent="0.25">
      <c r="A61" s="119">
        <v>69</v>
      </c>
      <c r="B61" s="54" t="s">
        <v>39</v>
      </c>
      <c r="C61" s="20" t="s">
        <v>29</v>
      </c>
      <c r="D61" s="43" t="s">
        <v>180</v>
      </c>
      <c r="E61" s="14" t="s">
        <v>181</v>
      </c>
      <c r="F61" s="100" t="s">
        <v>237</v>
      </c>
      <c r="G61" s="100" t="s">
        <v>239</v>
      </c>
      <c r="H61" s="120">
        <v>706</v>
      </c>
      <c r="I61" s="120">
        <v>500</v>
      </c>
      <c r="J61" s="120">
        <v>206</v>
      </c>
      <c r="K61" s="121">
        <v>3</v>
      </c>
      <c r="L61" s="121">
        <v>3</v>
      </c>
      <c r="M61" s="121">
        <v>3</v>
      </c>
      <c r="N61" s="122">
        <v>0</v>
      </c>
      <c r="O61" s="122">
        <v>0</v>
      </c>
      <c r="P61" s="122">
        <v>0</v>
      </c>
      <c r="Q61" s="123">
        <v>0</v>
      </c>
      <c r="R61" s="123">
        <v>0</v>
      </c>
      <c r="S61" s="123">
        <v>0</v>
      </c>
      <c r="T61" s="120">
        <v>21933.333333333332</v>
      </c>
      <c r="U61" s="120">
        <v>16450</v>
      </c>
      <c r="V61" s="120">
        <v>5483.3333333333321</v>
      </c>
      <c r="W61" s="121">
        <v>85</v>
      </c>
      <c r="X61" s="121">
        <v>104</v>
      </c>
      <c r="Y61" s="121">
        <v>142</v>
      </c>
      <c r="Z61" s="122">
        <v>714.28571428571433</v>
      </c>
      <c r="AA61" s="122">
        <v>500</v>
      </c>
      <c r="AB61" s="122">
        <v>214.28571428571433</v>
      </c>
      <c r="AC61" s="123">
        <v>5</v>
      </c>
      <c r="AD61" s="123">
        <v>10</v>
      </c>
      <c r="AE61" s="123">
        <v>15</v>
      </c>
      <c r="AF61" s="124">
        <f>SUM(K61:M61)+SUM(Q61:S61)+SUM(W61:Y61)+SUM(AC61:AE61)</f>
        <v>370</v>
      </c>
      <c r="AG61" s="140">
        <f t="shared" si="0"/>
        <v>6086500</v>
      </c>
    </row>
    <row r="62" spans="1:36" x14ac:dyDescent="0.25">
      <c r="A62" s="119">
        <v>70</v>
      </c>
      <c r="B62" s="54" t="s">
        <v>39</v>
      </c>
      <c r="C62" s="20" t="s">
        <v>29</v>
      </c>
      <c r="D62" s="43" t="s">
        <v>182</v>
      </c>
      <c r="E62" s="14" t="s">
        <v>183</v>
      </c>
      <c r="F62" s="100" t="s">
        <v>237</v>
      </c>
      <c r="G62" s="100" t="s">
        <v>239</v>
      </c>
      <c r="H62" s="120">
        <v>500</v>
      </c>
      <c r="I62" s="120">
        <v>500</v>
      </c>
      <c r="J62" s="120"/>
      <c r="K62" s="121">
        <v>16</v>
      </c>
      <c r="L62" s="121">
        <v>19</v>
      </c>
      <c r="M62" s="121">
        <v>22</v>
      </c>
      <c r="N62" s="122">
        <v>0</v>
      </c>
      <c r="O62" s="122">
        <v>0</v>
      </c>
      <c r="P62" s="122">
        <v>0</v>
      </c>
      <c r="Q62" s="123">
        <v>0</v>
      </c>
      <c r="R62" s="123">
        <v>0</v>
      </c>
      <c r="S62" s="123">
        <v>0</v>
      </c>
      <c r="T62" s="120">
        <v>21933.333333333332</v>
      </c>
      <c r="U62" s="120">
        <v>16450</v>
      </c>
      <c r="V62" s="120">
        <v>5483.3333333333321</v>
      </c>
      <c r="W62" s="121">
        <v>85</v>
      </c>
      <c r="X62" s="121">
        <v>104</v>
      </c>
      <c r="Y62" s="121">
        <v>142</v>
      </c>
      <c r="Z62" s="122">
        <v>714.28571428571433</v>
      </c>
      <c r="AA62" s="122">
        <v>500</v>
      </c>
      <c r="AB62" s="122">
        <v>214.28571428571433</v>
      </c>
      <c r="AC62" s="123">
        <v>50</v>
      </c>
      <c r="AD62" s="123">
        <v>75</v>
      </c>
      <c r="AE62" s="123">
        <v>125</v>
      </c>
      <c r="AF62" s="124">
        <f>SUM(K62:M62)+SUM(Q62:S62)+SUM(W62:Y62)+SUM(AC62:AE62)</f>
        <v>638</v>
      </c>
      <c r="AG62" s="140">
        <f t="shared" si="0"/>
        <v>10495100</v>
      </c>
    </row>
    <row r="63" spans="1:36" x14ac:dyDescent="0.25">
      <c r="A63" s="119">
        <v>72</v>
      </c>
      <c r="B63" s="54" t="s">
        <v>39</v>
      </c>
      <c r="C63" s="20" t="s">
        <v>29</v>
      </c>
      <c r="D63" s="43" t="s">
        <v>186</v>
      </c>
      <c r="E63" s="14" t="s">
        <v>187</v>
      </c>
      <c r="F63" s="100" t="s">
        <v>237</v>
      </c>
      <c r="G63" s="100" t="s">
        <v>232</v>
      </c>
      <c r="H63" s="120">
        <v>10410</v>
      </c>
      <c r="I63" s="120">
        <v>7000</v>
      </c>
      <c r="J63" s="120">
        <v>3410</v>
      </c>
      <c r="K63" s="121">
        <v>4</v>
      </c>
      <c r="L63" s="121">
        <v>4</v>
      </c>
      <c r="M63" s="121">
        <v>4</v>
      </c>
      <c r="N63" s="122">
        <v>0</v>
      </c>
      <c r="O63" s="122">
        <v>0</v>
      </c>
      <c r="P63" s="122">
        <v>0</v>
      </c>
      <c r="Q63" s="123">
        <v>0</v>
      </c>
      <c r="R63" s="123">
        <v>0</v>
      </c>
      <c r="S63" s="123">
        <v>0</v>
      </c>
      <c r="T63" s="120">
        <v>23500</v>
      </c>
      <c r="U63" s="120">
        <v>16450</v>
      </c>
      <c r="V63" s="120">
        <v>7050</v>
      </c>
      <c r="W63" s="121">
        <v>41</v>
      </c>
      <c r="X63" s="121">
        <v>96</v>
      </c>
      <c r="Y63" s="121">
        <v>137</v>
      </c>
      <c r="Z63" s="122">
        <v>17142.857142857145</v>
      </c>
      <c r="AA63" s="122">
        <v>12000</v>
      </c>
      <c r="AB63" s="122">
        <v>5142.8571428571449</v>
      </c>
      <c r="AC63" s="123">
        <v>35</v>
      </c>
      <c r="AD63" s="123">
        <v>50</v>
      </c>
      <c r="AE63" s="123">
        <v>75</v>
      </c>
      <c r="AF63" s="124">
        <f>SUM(K63:M63)+SUM(Q63:S63)+SUM(W63:Y63)+SUM(AC63:AE63)</f>
        <v>446</v>
      </c>
      <c r="AG63" s="140">
        <f t="shared" si="0"/>
        <v>7336700</v>
      </c>
    </row>
    <row r="64" spans="1:36" x14ac:dyDescent="0.25">
      <c r="A64" s="119">
        <v>73</v>
      </c>
      <c r="B64" s="54" t="s">
        <v>39</v>
      </c>
      <c r="C64" s="20" t="s">
        <v>29</v>
      </c>
      <c r="D64" s="43" t="s">
        <v>188</v>
      </c>
      <c r="E64" s="14" t="s">
        <v>189</v>
      </c>
      <c r="F64" s="100" t="s">
        <v>237</v>
      </c>
      <c r="G64" s="100" t="s">
        <v>232</v>
      </c>
      <c r="H64" s="120">
        <v>43740</v>
      </c>
      <c r="I64" s="120">
        <v>35000</v>
      </c>
      <c r="J64" s="120">
        <v>8740</v>
      </c>
      <c r="K64" s="121">
        <v>12</v>
      </c>
      <c r="L64" s="121">
        <v>15</v>
      </c>
      <c r="M64" s="121">
        <v>18</v>
      </c>
      <c r="N64" s="122">
        <v>20000</v>
      </c>
      <c r="O64" s="122">
        <v>15000</v>
      </c>
      <c r="P64" s="122">
        <v>5000</v>
      </c>
      <c r="Q64" s="123">
        <v>8</v>
      </c>
      <c r="R64" s="123">
        <v>10</v>
      </c>
      <c r="S64" s="123">
        <v>13</v>
      </c>
      <c r="T64" s="120">
        <v>23500</v>
      </c>
      <c r="U64" s="120">
        <v>16450</v>
      </c>
      <c r="V64" s="120">
        <v>7050</v>
      </c>
      <c r="W64" s="121">
        <v>41</v>
      </c>
      <c r="X64" s="121">
        <v>96</v>
      </c>
      <c r="Y64" s="121">
        <v>137</v>
      </c>
      <c r="Z64" s="122">
        <v>17142.857142857145</v>
      </c>
      <c r="AA64" s="122">
        <v>12000</v>
      </c>
      <c r="AB64" s="122">
        <v>5142.8571428571449</v>
      </c>
      <c r="AC64" s="123">
        <v>75</v>
      </c>
      <c r="AD64" s="123">
        <v>125</v>
      </c>
      <c r="AE64" s="123">
        <v>175</v>
      </c>
      <c r="AF64" s="124">
        <f>SUM(K64:M64)+SUM(Q64:S64)+SUM(W64:Y64)+SUM(AC64:AE64)</f>
        <v>725</v>
      </c>
      <c r="AG64" s="140">
        <f t="shared" si="0"/>
        <v>11926250</v>
      </c>
    </row>
    <row r="65" spans="1:33" x14ac:dyDescent="0.25">
      <c r="A65" s="119">
        <v>74</v>
      </c>
      <c r="B65" s="54" t="s">
        <v>39</v>
      </c>
      <c r="C65" s="20" t="s">
        <v>29</v>
      </c>
      <c r="D65" s="43" t="s">
        <v>190</v>
      </c>
      <c r="E65" s="14" t="s">
        <v>191</v>
      </c>
      <c r="F65" s="100" t="s">
        <v>237</v>
      </c>
      <c r="G65" s="100" t="s">
        <v>233</v>
      </c>
      <c r="H65" s="120">
        <v>10530</v>
      </c>
      <c r="I65" s="120">
        <v>7000</v>
      </c>
      <c r="J65" s="120">
        <v>3530</v>
      </c>
      <c r="K65" s="121">
        <v>4</v>
      </c>
      <c r="L65" s="121">
        <v>6</v>
      </c>
      <c r="M65" s="121">
        <v>8</v>
      </c>
      <c r="N65" s="122">
        <v>0</v>
      </c>
      <c r="O65" s="122">
        <v>0</v>
      </c>
      <c r="P65" s="122">
        <v>0</v>
      </c>
      <c r="Q65" s="123">
        <v>0</v>
      </c>
      <c r="R65" s="123">
        <v>0</v>
      </c>
      <c r="S65" s="123">
        <v>0</v>
      </c>
      <c r="T65" s="120">
        <v>23500</v>
      </c>
      <c r="U65" s="120">
        <v>16450</v>
      </c>
      <c r="V65" s="120">
        <v>7050</v>
      </c>
      <c r="W65" s="121">
        <v>41</v>
      </c>
      <c r="X65" s="121">
        <v>96</v>
      </c>
      <c r="Y65" s="121">
        <v>137</v>
      </c>
      <c r="Z65" s="122">
        <v>17142.857142857145</v>
      </c>
      <c r="AA65" s="122">
        <v>12000</v>
      </c>
      <c r="AB65" s="122">
        <v>5142.8571428571449</v>
      </c>
      <c r="AC65" s="123">
        <v>5</v>
      </c>
      <c r="AD65" s="123">
        <v>10</v>
      </c>
      <c r="AE65" s="123">
        <v>15</v>
      </c>
      <c r="AF65" s="124">
        <f>SUM(K65:M65)+SUM(Q65:S65)+SUM(W65:Y65)+SUM(AC65:AE65)</f>
        <v>322</v>
      </c>
      <c r="AG65" s="140">
        <f t="shared" si="0"/>
        <v>5296900</v>
      </c>
    </row>
    <row r="66" spans="1:33" ht="15.75" thickBot="1" x14ac:dyDescent="0.3">
      <c r="A66" s="125">
        <v>75</v>
      </c>
      <c r="B66" s="126" t="s">
        <v>39</v>
      </c>
      <c r="C66" s="127" t="s">
        <v>29</v>
      </c>
      <c r="D66" s="128" t="s">
        <v>192</v>
      </c>
      <c r="E66" s="129" t="s">
        <v>193</v>
      </c>
      <c r="F66" s="130" t="s">
        <v>237</v>
      </c>
      <c r="G66" s="130" t="s">
        <v>233</v>
      </c>
      <c r="H66" s="131">
        <v>43740</v>
      </c>
      <c r="I66" s="131">
        <v>35000</v>
      </c>
      <c r="J66" s="131">
        <v>8740</v>
      </c>
      <c r="K66" s="132">
        <v>12</v>
      </c>
      <c r="L66" s="132">
        <v>14</v>
      </c>
      <c r="M66" s="132">
        <v>15</v>
      </c>
      <c r="N66" s="133">
        <v>0</v>
      </c>
      <c r="O66" s="133">
        <v>0</v>
      </c>
      <c r="P66" s="133">
        <v>0</v>
      </c>
      <c r="Q66" s="134">
        <v>0</v>
      </c>
      <c r="R66" s="134">
        <v>0</v>
      </c>
      <c r="S66" s="134">
        <v>0</v>
      </c>
      <c r="T66" s="131">
        <v>23500</v>
      </c>
      <c r="U66" s="131">
        <v>16450</v>
      </c>
      <c r="V66" s="131">
        <v>7050</v>
      </c>
      <c r="W66" s="132">
        <v>41</v>
      </c>
      <c r="X66" s="132">
        <v>96</v>
      </c>
      <c r="Y66" s="132">
        <v>137</v>
      </c>
      <c r="Z66" s="133">
        <v>17142.857142857145</v>
      </c>
      <c r="AA66" s="133">
        <v>12000</v>
      </c>
      <c r="AB66" s="133">
        <v>5142.8571428571449</v>
      </c>
      <c r="AC66" s="134">
        <v>5</v>
      </c>
      <c r="AD66" s="134">
        <v>10</v>
      </c>
      <c r="AE66" s="134">
        <v>15</v>
      </c>
      <c r="AF66" s="135">
        <f>SUM(K66:M66)+SUM(Q66:S66)+SUM(W66:Y66)+SUM(AC66:AE66)</f>
        <v>345</v>
      </c>
      <c r="AG66" s="140">
        <f t="shared" si="0"/>
        <v>5675250</v>
      </c>
    </row>
    <row r="67" spans="1:33" x14ac:dyDescent="0.25">
      <c r="B67" t="s">
        <v>230</v>
      </c>
    </row>
  </sheetData>
  <sortState xmlns:xlrd2="http://schemas.microsoft.com/office/spreadsheetml/2017/richdata2" ref="A3:AF66">
    <sortCondition ref="C3:C66"/>
    <sortCondition ref="F3:F66"/>
    <sortCondition ref="G3:G66"/>
    <sortCondition ref="E3:E66"/>
  </sortState>
  <mergeCells count="3">
    <mergeCell ref="N1:S1"/>
    <mergeCell ref="T1:Y1"/>
    <mergeCell ref="H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73DB-56E2-4924-9D85-DAB3356C5E11}">
  <dimension ref="A1:BK67"/>
  <sheetViews>
    <sheetView topLeftCell="A23" workbookViewId="0">
      <selection activeCell="AP7" sqref="AP7"/>
    </sheetView>
  </sheetViews>
  <sheetFormatPr defaultRowHeight="15" x14ac:dyDescent="0.25"/>
  <cols>
    <col min="3" max="3" width="37.42578125" style="19" customWidth="1"/>
    <col min="4" max="4" width="65.5703125" style="19" bestFit="1" customWidth="1"/>
    <col min="5" max="7" width="9.140625" style="19"/>
    <col min="8" max="8" width="9.140625" style="30" customWidth="1"/>
    <col min="9" max="9" width="11.5703125" style="30" hidden="1" customWidth="1"/>
    <col min="10" max="10" width="11.7109375" style="30" hidden="1" customWidth="1"/>
    <col min="11" max="13" width="9.5703125" style="31" hidden="1" customWidth="1"/>
    <col min="14" max="16" width="11.5703125" style="33" hidden="1" customWidth="1"/>
    <col min="17" max="19" width="9.5703125" style="34" hidden="1" customWidth="1"/>
    <col min="20" max="21" width="11.5703125" style="30" hidden="1" customWidth="1"/>
    <col min="22" max="22" width="10.85546875" style="30" hidden="1" customWidth="1"/>
    <col min="23" max="24" width="9.5703125" style="2" hidden="1" customWidth="1"/>
    <col min="25" max="25" width="10.5703125" style="2" hidden="1" customWidth="1"/>
    <col min="26" max="27" width="12.5703125" style="33" hidden="1" customWidth="1"/>
    <col min="28" max="28" width="11.28515625" style="33" hidden="1" customWidth="1"/>
    <col min="29" max="31" width="9.5703125" style="34" hidden="1" customWidth="1"/>
    <col min="32" max="32" width="10.85546875" style="107" customWidth="1"/>
    <col min="33" max="33" width="11.5703125" style="138" bestFit="1" customWidth="1"/>
  </cols>
  <sheetData>
    <row r="1" spans="1:42" x14ac:dyDescent="0.25">
      <c r="H1" s="29" t="s">
        <v>38</v>
      </c>
      <c r="I1" s="29"/>
      <c r="J1" s="29"/>
      <c r="K1" s="29"/>
      <c r="L1" s="29"/>
      <c r="M1" s="29"/>
      <c r="N1" s="32" t="s">
        <v>217</v>
      </c>
      <c r="O1" s="32"/>
      <c r="P1" s="32"/>
      <c r="Q1" s="32"/>
      <c r="R1" s="32"/>
      <c r="S1" s="32"/>
      <c r="T1" s="29" t="s">
        <v>218</v>
      </c>
      <c r="U1" s="29"/>
      <c r="V1" s="29"/>
      <c r="W1" s="29"/>
      <c r="X1" s="29"/>
      <c r="Y1" s="29"/>
      <c r="Z1" s="33" t="s">
        <v>219</v>
      </c>
      <c r="AC1" s="105"/>
      <c r="AD1" s="105"/>
      <c r="AE1" s="105"/>
    </row>
    <row r="2" spans="1:42" s="35" customFormat="1" ht="90" x14ac:dyDescent="0.25">
      <c r="A2" s="35" t="s">
        <v>231</v>
      </c>
      <c r="C2" s="36"/>
      <c r="D2" s="36"/>
      <c r="E2" s="36"/>
      <c r="F2" s="36" t="s">
        <v>255</v>
      </c>
      <c r="G2" s="36" t="s">
        <v>238</v>
      </c>
      <c r="H2" s="39" t="s">
        <v>14</v>
      </c>
      <c r="I2" s="39" t="s">
        <v>15</v>
      </c>
      <c r="J2" s="39" t="s">
        <v>16</v>
      </c>
      <c r="K2" s="37">
        <v>2022</v>
      </c>
      <c r="L2" s="37">
        <v>2023</v>
      </c>
      <c r="M2" s="37">
        <v>2024</v>
      </c>
      <c r="N2" s="40" t="s">
        <v>14</v>
      </c>
      <c r="O2" s="40" t="s">
        <v>15</v>
      </c>
      <c r="P2" s="40" t="s">
        <v>16</v>
      </c>
      <c r="Q2" s="41">
        <v>2022</v>
      </c>
      <c r="R2" s="41">
        <v>2023</v>
      </c>
      <c r="S2" s="41">
        <v>2024</v>
      </c>
      <c r="T2" s="30" t="s">
        <v>14</v>
      </c>
      <c r="U2" s="30" t="s">
        <v>15</v>
      </c>
      <c r="V2" s="30" t="s">
        <v>16</v>
      </c>
      <c r="W2" s="2">
        <v>2022</v>
      </c>
      <c r="X2" s="2">
        <v>2023</v>
      </c>
      <c r="Y2" s="2">
        <v>2024</v>
      </c>
      <c r="Z2" s="33" t="s">
        <v>14</v>
      </c>
      <c r="AA2" s="33" t="s">
        <v>15</v>
      </c>
      <c r="AB2" s="33" t="s">
        <v>16</v>
      </c>
      <c r="AC2" s="41">
        <v>2022</v>
      </c>
      <c r="AD2" s="41">
        <v>2023</v>
      </c>
      <c r="AE2" s="41">
        <v>2024</v>
      </c>
      <c r="AF2" s="99" t="s">
        <v>257</v>
      </c>
      <c r="AG2" s="139" t="s">
        <v>258</v>
      </c>
      <c r="AH2" s="41">
        <v>2022</v>
      </c>
      <c r="AI2" s="41">
        <v>2023</v>
      </c>
      <c r="AJ2" s="41">
        <v>2024</v>
      </c>
      <c r="AP2" s="35" t="s">
        <v>261</v>
      </c>
    </row>
    <row r="3" spans="1:42" x14ac:dyDescent="0.25">
      <c r="A3">
        <v>1</v>
      </c>
      <c r="B3" t="s">
        <v>39</v>
      </c>
      <c r="C3" s="17" t="s">
        <v>40</v>
      </c>
      <c r="D3" s="19" t="s">
        <v>41</v>
      </c>
      <c r="E3" s="19" t="s">
        <v>42</v>
      </c>
      <c r="F3" s="19" t="s">
        <v>39</v>
      </c>
      <c r="G3" s="19" t="s">
        <v>39</v>
      </c>
      <c r="H3" s="30">
        <v>15000</v>
      </c>
      <c r="I3" s="30">
        <v>11250</v>
      </c>
      <c r="J3" s="30">
        <v>3750</v>
      </c>
      <c r="K3" s="31">
        <v>77</v>
      </c>
      <c r="L3" s="31">
        <v>77</v>
      </c>
      <c r="M3" s="31">
        <v>77</v>
      </c>
      <c r="N3" s="33">
        <v>0</v>
      </c>
      <c r="O3" s="33">
        <v>0</v>
      </c>
      <c r="P3" s="33">
        <v>0</v>
      </c>
      <c r="Q3" s="34">
        <v>0</v>
      </c>
      <c r="R3" s="34">
        <v>0</v>
      </c>
      <c r="S3" s="34">
        <v>0</v>
      </c>
      <c r="T3" s="30">
        <v>0</v>
      </c>
      <c r="U3" s="30">
        <v>0</v>
      </c>
      <c r="V3" s="30">
        <v>0</v>
      </c>
      <c r="W3" s="31">
        <v>0</v>
      </c>
      <c r="X3" s="31">
        <v>0</v>
      </c>
      <c r="Y3" s="31">
        <v>0</v>
      </c>
      <c r="Z3" s="33">
        <v>20000</v>
      </c>
      <c r="AA3" s="33">
        <v>5000</v>
      </c>
      <c r="AB3" s="33">
        <v>15000</v>
      </c>
      <c r="AC3" s="34">
        <v>30</v>
      </c>
      <c r="AD3" s="34">
        <v>31.5</v>
      </c>
      <c r="AE3" s="34">
        <v>33.075000000000003</v>
      </c>
      <c r="AF3" s="108">
        <f>SUM(K3:M3)+SUM(Q3:S3)+SUM(W3:Y3)+SUM(AC3:AE3)</f>
        <v>325.57499999999999</v>
      </c>
      <c r="AG3" s="140">
        <f>+AF3*MAX(U3,AA3)</f>
        <v>1627875</v>
      </c>
      <c r="AH3" s="28">
        <f>K3+Q3+W3+AC3</f>
        <v>107</v>
      </c>
      <c r="AI3" s="28">
        <f>L3+R3+X3+AD3</f>
        <v>108.5</v>
      </c>
      <c r="AJ3" s="28">
        <f>M3+S3+Y3+AE3</f>
        <v>110.075</v>
      </c>
      <c r="AO3" t="s">
        <v>39</v>
      </c>
      <c r="AP3" s="28">
        <f>SUM(AF3:AF9)</f>
        <v>11256.961325</v>
      </c>
    </row>
    <row r="4" spans="1:42" x14ac:dyDescent="0.25">
      <c r="A4">
        <v>6</v>
      </c>
      <c r="B4" t="s">
        <v>39</v>
      </c>
      <c r="C4" s="21" t="s">
        <v>30</v>
      </c>
      <c r="D4" s="102" t="s">
        <v>51</v>
      </c>
      <c r="E4" s="100" t="s">
        <v>52</v>
      </c>
      <c r="F4" s="100" t="s">
        <v>39</v>
      </c>
      <c r="G4" s="100" t="s">
        <v>39</v>
      </c>
      <c r="H4" s="30">
        <v>8196</v>
      </c>
      <c r="I4" s="30">
        <v>7500</v>
      </c>
      <c r="J4" s="30">
        <v>696</v>
      </c>
      <c r="K4" s="31">
        <v>83</v>
      </c>
      <c r="L4" s="31">
        <v>76</v>
      </c>
      <c r="M4" s="31">
        <v>43</v>
      </c>
      <c r="N4" s="33">
        <v>353</v>
      </c>
      <c r="O4" s="33">
        <v>500</v>
      </c>
      <c r="P4" s="33">
        <v>-147</v>
      </c>
      <c r="Q4" s="34">
        <v>82</v>
      </c>
      <c r="R4" s="34">
        <v>93</v>
      </c>
      <c r="S4" s="34">
        <v>106</v>
      </c>
      <c r="T4" s="30">
        <v>8196</v>
      </c>
      <c r="U4" s="30">
        <v>2000</v>
      </c>
      <c r="V4" s="30">
        <v>6196</v>
      </c>
      <c r="W4" s="31">
        <v>1700</v>
      </c>
      <c r="X4" s="31">
        <v>1750</v>
      </c>
      <c r="Y4" s="31">
        <v>1800</v>
      </c>
      <c r="Z4" s="33">
        <v>8196</v>
      </c>
      <c r="AA4" s="33">
        <v>2000</v>
      </c>
      <c r="AB4" s="33">
        <v>6196</v>
      </c>
      <c r="AC4" s="34">
        <v>350</v>
      </c>
      <c r="AD4" s="34">
        <v>420</v>
      </c>
      <c r="AE4" s="34">
        <v>504</v>
      </c>
      <c r="AF4" s="108">
        <f>SUM(K4:M4)+SUM(Q4:S4)+SUM(W4:Y4)+SUM(AC4:AE4)</f>
        <v>7007</v>
      </c>
      <c r="AG4" s="140">
        <f>+AF4*MAX(U4,AA4)</f>
        <v>14014000</v>
      </c>
      <c r="AH4" s="28">
        <f>K4+Q4+W4+AC4</f>
        <v>2215</v>
      </c>
      <c r="AI4" s="28">
        <f t="shared" ref="AI4:AJ54" si="0">L4+R4+X4+AD4</f>
        <v>2339</v>
      </c>
      <c r="AJ4" s="28">
        <f t="shared" si="0"/>
        <v>2453</v>
      </c>
      <c r="AO4" t="s">
        <v>239</v>
      </c>
      <c r="AP4" s="28">
        <f>SUM(AF10:AF12)</f>
        <v>1023</v>
      </c>
    </row>
    <row r="5" spans="1:42" x14ac:dyDescent="0.25">
      <c r="A5">
        <v>23</v>
      </c>
      <c r="B5" t="s">
        <v>39</v>
      </c>
      <c r="C5" s="101" t="s">
        <v>30</v>
      </c>
      <c r="D5" s="102" t="s">
        <v>85</v>
      </c>
      <c r="E5" s="100" t="s">
        <v>86</v>
      </c>
      <c r="F5" s="100" t="s">
        <v>39</v>
      </c>
      <c r="G5" s="100" t="s">
        <v>39</v>
      </c>
      <c r="H5" s="30">
        <v>6447</v>
      </c>
      <c r="I5" s="30">
        <v>16000</v>
      </c>
      <c r="J5" s="30">
        <v>-9553</v>
      </c>
      <c r="K5" s="31">
        <v>26</v>
      </c>
      <c r="L5" s="31">
        <v>36</v>
      </c>
      <c r="M5" s="31">
        <v>52</v>
      </c>
      <c r="N5" s="33">
        <v>6447</v>
      </c>
      <c r="O5" s="33">
        <v>0</v>
      </c>
      <c r="P5" s="33">
        <v>6447</v>
      </c>
      <c r="Q5" s="34">
        <v>0</v>
      </c>
      <c r="R5" s="34">
        <v>1</v>
      </c>
      <c r="S5" s="34">
        <v>1</v>
      </c>
      <c r="T5" s="30">
        <v>6447</v>
      </c>
      <c r="U5" s="30">
        <v>8000</v>
      </c>
      <c r="V5" s="30">
        <v>-1553</v>
      </c>
      <c r="W5" s="31">
        <v>30</v>
      </c>
      <c r="X5" s="31">
        <v>60</v>
      </c>
      <c r="Y5" s="31">
        <v>100</v>
      </c>
      <c r="Z5" s="33">
        <v>6447</v>
      </c>
      <c r="AA5" s="33">
        <v>8000</v>
      </c>
      <c r="AB5" s="33">
        <v>-1553</v>
      </c>
      <c r="AC5" s="34">
        <v>74</v>
      </c>
      <c r="AD5" s="34">
        <v>148</v>
      </c>
      <c r="AE5" s="34">
        <v>296</v>
      </c>
      <c r="AF5" s="108">
        <f>SUM(K5:M5)+SUM(Q5:S5)+SUM(W5:Y5)+SUM(AC5:AE5)</f>
        <v>824</v>
      </c>
      <c r="AG5" s="140">
        <f>+AF5*MAX(U5,AA5)</f>
        <v>6592000</v>
      </c>
      <c r="AH5" s="28">
        <f>K5+Q5+W5+AC5</f>
        <v>130</v>
      </c>
      <c r="AI5" s="28">
        <f t="shared" si="0"/>
        <v>245</v>
      </c>
      <c r="AJ5" s="28">
        <f t="shared" si="0"/>
        <v>449</v>
      </c>
      <c r="AO5" t="s">
        <v>232</v>
      </c>
      <c r="AP5" s="28">
        <f>SUM(AF13:AF40)</f>
        <v>39980.609899999996</v>
      </c>
    </row>
    <row r="6" spans="1:42" x14ac:dyDescent="0.25">
      <c r="A6">
        <v>48</v>
      </c>
      <c r="B6" t="s">
        <v>39</v>
      </c>
      <c r="C6" s="20" t="s">
        <v>134</v>
      </c>
      <c r="D6" s="21" t="s">
        <v>135</v>
      </c>
      <c r="E6" s="14" t="s">
        <v>136</v>
      </c>
      <c r="F6" s="100" t="s">
        <v>39</v>
      </c>
      <c r="G6" s="100" t="s">
        <v>39</v>
      </c>
      <c r="H6" s="30">
        <v>18000</v>
      </c>
      <c r="I6" s="30">
        <v>18000</v>
      </c>
      <c r="J6" s="30">
        <v>0</v>
      </c>
      <c r="K6" s="31">
        <v>34</v>
      </c>
      <c r="L6" s="31">
        <v>48</v>
      </c>
      <c r="M6" s="31">
        <v>57</v>
      </c>
      <c r="N6" s="33">
        <v>18000</v>
      </c>
      <c r="O6" s="33">
        <v>18000</v>
      </c>
      <c r="P6" s="33">
        <v>0</v>
      </c>
      <c r="Q6" s="34">
        <v>0</v>
      </c>
      <c r="R6" s="34">
        <v>0</v>
      </c>
      <c r="S6" s="34">
        <v>0</v>
      </c>
      <c r="T6" s="30">
        <v>18000</v>
      </c>
      <c r="U6" s="30">
        <v>18000</v>
      </c>
      <c r="V6" s="30">
        <v>0</v>
      </c>
      <c r="W6" s="31">
        <v>100</v>
      </c>
      <c r="X6" s="31">
        <v>150</v>
      </c>
      <c r="Y6" s="31">
        <v>150</v>
      </c>
      <c r="Z6" s="33">
        <v>18000</v>
      </c>
      <c r="AA6" s="33">
        <v>18000</v>
      </c>
      <c r="AB6" s="33">
        <v>0</v>
      </c>
      <c r="AC6" s="34">
        <v>5</v>
      </c>
      <c r="AD6" s="34">
        <v>5.25</v>
      </c>
      <c r="AE6" s="34">
        <v>5.6175000000000006</v>
      </c>
      <c r="AF6" s="108">
        <f>SUM(K6:M6)+SUM(Q6:S6)+SUM(W6:Y6)+SUM(AC6:AE6)</f>
        <v>554.86749999999995</v>
      </c>
      <c r="AG6" s="140">
        <f>+AF6*MAX(U6,AA6)</f>
        <v>9987615</v>
      </c>
      <c r="AH6" s="28">
        <f>K6+Q6+W6+AC6</f>
        <v>139</v>
      </c>
      <c r="AI6" s="28">
        <f t="shared" si="0"/>
        <v>203.25</v>
      </c>
      <c r="AJ6" s="28">
        <f t="shared" si="0"/>
        <v>212.61750000000001</v>
      </c>
      <c r="AO6" t="s">
        <v>233</v>
      </c>
      <c r="AP6" s="28">
        <f>SUM(AF41:AF66)</f>
        <v>9757.8696999999993</v>
      </c>
    </row>
    <row r="7" spans="1:42" x14ac:dyDescent="0.25">
      <c r="A7">
        <v>65</v>
      </c>
      <c r="B7" t="s">
        <v>39</v>
      </c>
      <c r="C7" s="20" t="s">
        <v>134</v>
      </c>
      <c r="D7" s="21" t="s">
        <v>171</v>
      </c>
      <c r="E7" s="14" t="s">
        <v>172</v>
      </c>
      <c r="F7" s="100" t="s">
        <v>39</v>
      </c>
      <c r="G7" s="100" t="s">
        <v>39</v>
      </c>
      <c r="H7" s="30">
        <v>12000</v>
      </c>
      <c r="I7" s="30">
        <v>12000</v>
      </c>
      <c r="J7" s="30">
        <v>0</v>
      </c>
      <c r="K7" s="31">
        <v>80</v>
      </c>
      <c r="L7" s="31">
        <v>80</v>
      </c>
      <c r="M7" s="31">
        <v>80</v>
      </c>
      <c r="N7" s="33">
        <v>12000</v>
      </c>
      <c r="O7" s="33">
        <v>12000</v>
      </c>
      <c r="P7" s="33">
        <v>0</v>
      </c>
      <c r="Q7" s="34">
        <v>43</v>
      </c>
      <c r="R7" s="34">
        <v>43</v>
      </c>
      <c r="S7" s="34">
        <v>43</v>
      </c>
      <c r="T7" s="30">
        <v>12088</v>
      </c>
      <c r="U7" s="30">
        <v>12088</v>
      </c>
      <c r="V7" s="30">
        <v>0</v>
      </c>
      <c r="W7" s="31">
        <v>200</v>
      </c>
      <c r="X7" s="31">
        <v>150</v>
      </c>
      <c r="Y7" s="31">
        <v>150</v>
      </c>
      <c r="Z7" s="33">
        <v>15000</v>
      </c>
      <c r="AA7" s="33">
        <v>15000</v>
      </c>
      <c r="AB7" s="33">
        <v>0</v>
      </c>
      <c r="AC7" s="34">
        <v>464.95</v>
      </c>
      <c r="AD7" s="34">
        <v>488.19749999999999</v>
      </c>
      <c r="AE7" s="34">
        <v>522.37132500000007</v>
      </c>
      <c r="AF7" s="108">
        <f>SUM(K7:M7)+SUM(Q7:S7)+SUM(W7:Y7)+SUM(AC7:AE7)</f>
        <v>2344.5188250000001</v>
      </c>
      <c r="AG7" s="140">
        <f>+AF7*MAX(U7,AA7)</f>
        <v>35167782.375</v>
      </c>
      <c r="AH7" s="28">
        <f>K7+Q7+W7+AC7</f>
        <v>787.95</v>
      </c>
      <c r="AI7" s="28">
        <f t="shared" si="0"/>
        <v>761.19749999999999</v>
      </c>
      <c r="AJ7" s="28">
        <f t="shared" si="0"/>
        <v>795.37132500000007</v>
      </c>
    </row>
    <row r="8" spans="1:42" x14ac:dyDescent="0.25">
      <c r="A8" s="54">
        <v>68</v>
      </c>
      <c r="B8" s="54" t="s">
        <v>39</v>
      </c>
      <c r="C8" s="20" t="s">
        <v>177</v>
      </c>
      <c r="D8" s="20" t="s">
        <v>178</v>
      </c>
      <c r="E8" s="14" t="s">
        <v>179</v>
      </c>
      <c r="F8" s="100" t="s">
        <v>39</v>
      </c>
      <c r="G8" s="100" t="s">
        <v>39</v>
      </c>
      <c r="H8" s="120"/>
      <c r="I8" s="120"/>
      <c r="J8" s="120"/>
      <c r="K8" s="121">
        <v>0</v>
      </c>
      <c r="L8" s="121">
        <v>0</v>
      </c>
      <c r="M8" s="121">
        <v>0</v>
      </c>
      <c r="N8" s="122">
        <v>0</v>
      </c>
      <c r="O8" s="122">
        <v>0</v>
      </c>
      <c r="P8" s="122">
        <v>0</v>
      </c>
      <c r="Q8" s="123">
        <v>0</v>
      </c>
      <c r="R8" s="123">
        <v>0</v>
      </c>
      <c r="S8" s="123">
        <v>0</v>
      </c>
      <c r="T8" s="120">
        <v>0</v>
      </c>
      <c r="U8" s="120">
        <v>0</v>
      </c>
      <c r="V8" s="120">
        <v>0</v>
      </c>
      <c r="W8" s="121">
        <v>0</v>
      </c>
      <c r="X8" s="121">
        <v>0</v>
      </c>
      <c r="Y8" s="121">
        <v>0</v>
      </c>
      <c r="Z8" s="122">
        <v>0</v>
      </c>
      <c r="AA8" s="122">
        <v>0</v>
      </c>
      <c r="AB8" s="122">
        <v>0</v>
      </c>
      <c r="AC8" s="123">
        <v>0</v>
      </c>
      <c r="AD8" s="123">
        <v>0</v>
      </c>
      <c r="AE8" s="123">
        <v>0</v>
      </c>
      <c r="AF8" s="137">
        <f>SUM(K8:M8)+SUM(Q8:S8)+SUM(W8:Y8)+SUM(AC8:AE8)</f>
        <v>0</v>
      </c>
      <c r="AG8" s="140">
        <f>+AF8*MAX(U8,AA8)</f>
        <v>0</v>
      </c>
      <c r="AH8" s="28">
        <f>K8+Q8+W8+AC8</f>
        <v>0</v>
      </c>
      <c r="AI8" s="28">
        <f t="shared" si="0"/>
        <v>0</v>
      </c>
      <c r="AJ8" s="28">
        <f t="shared" si="0"/>
        <v>0</v>
      </c>
    </row>
    <row r="9" spans="1:42" x14ac:dyDescent="0.25">
      <c r="A9" s="54">
        <v>71</v>
      </c>
      <c r="B9" s="54" t="s">
        <v>39</v>
      </c>
      <c r="C9" s="20" t="s">
        <v>29</v>
      </c>
      <c r="D9" s="43" t="s">
        <v>184</v>
      </c>
      <c r="E9" s="14" t="s">
        <v>185</v>
      </c>
      <c r="F9" s="100" t="s">
        <v>39</v>
      </c>
      <c r="G9" s="100" t="s">
        <v>39</v>
      </c>
      <c r="H9" s="120">
        <v>45390</v>
      </c>
      <c r="I9" s="120">
        <v>35000</v>
      </c>
      <c r="J9" s="120">
        <v>10390</v>
      </c>
      <c r="K9" s="121">
        <v>29</v>
      </c>
      <c r="L9" s="121">
        <v>35</v>
      </c>
      <c r="M9" s="121">
        <v>41</v>
      </c>
      <c r="N9" s="122">
        <v>0</v>
      </c>
      <c r="O9" s="122">
        <v>0</v>
      </c>
      <c r="P9" s="122">
        <v>0</v>
      </c>
      <c r="Q9" s="123">
        <v>0</v>
      </c>
      <c r="R9" s="123">
        <v>0</v>
      </c>
      <c r="S9" s="123">
        <v>0</v>
      </c>
      <c r="T9" s="120">
        <v>21933.333333333332</v>
      </c>
      <c r="U9" s="120">
        <v>16450</v>
      </c>
      <c r="V9" s="120">
        <v>5483.3333333333321</v>
      </c>
      <c r="W9" s="121">
        <v>17</v>
      </c>
      <c r="X9" s="121">
        <v>21</v>
      </c>
      <c r="Y9" s="121">
        <v>28</v>
      </c>
      <c r="Z9" s="122">
        <v>12500</v>
      </c>
      <c r="AA9" s="122">
        <v>8750</v>
      </c>
      <c r="AB9" s="122">
        <v>3750</v>
      </c>
      <c r="AC9" s="123">
        <v>5</v>
      </c>
      <c r="AD9" s="123">
        <v>10</v>
      </c>
      <c r="AE9" s="123">
        <v>15</v>
      </c>
      <c r="AF9" s="137">
        <f>SUM(K9:M9)+SUM(Q9:S9)+SUM(W9:Y9)+SUM(AC9:AE9)</f>
        <v>201</v>
      </c>
      <c r="AG9" s="140">
        <f>+AF9*MAX(U9,AA9)</f>
        <v>3306450</v>
      </c>
      <c r="AH9" s="28">
        <f>K9+Q9+W9+AC9</f>
        <v>51</v>
      </c>
      <c r="AI9" s="28">
        <f t="shared" si="0"/>
        <v>66</v>
      </c>
      <c r="AJ9" s="28">
        <f t="shared" si="0"/>
        <v>84</v>
      </c>
    </row>
    <row r="10" spans="1:42" x14ac:dyDescent="0.25">
      <c r="A10">
        <v>47</v>
      </c>
      <c r="B10" t="s">
        <v>39</v>
      </c>
      <c r="C10" s="20" t="s">
        <v>134</v>
      </c>
      <c r="D10" s="21" t="s">
        <v>161</v>
      </c>
      <c r="E10" s="14" t="s">
        <v>162</v>
      </c>
      <c r="F10" s="100" t="s">
        <v>236</v>
      </c>
      <c r="G10" s="100" t="s">
        <v>239</v>
      </c>
      <c r="H10" s="30">
        <v>5500</v>
      </c>
      <c r="I10" s="30">
        <v>5500</v>
      </c>
      <c r="J10" s="30">
        <v>0</v>
      </c>
      <c r="K10" s="31">
        <v>5</v>
      </c>
      <c r="L10" s="31">
        <v>5</v>
      </c>
      <c r="M10" s="31">
        <v>5</v>
      </c>
      <c r="N10" s="33">
        <v>0</v>
      </c>
      <c r="O10" s="33">
        <v>0</v>
      </c>
      <c r="P10" s="33">
        <v>0</v>
      </c>
      <c r="Q10" s="34">
        <v>0</v>
      </c>
      <c r="R10" s="34">
        <v>0</v>
      </c>
      <c r="S10" s="34">
        <v>0</v>
      </c>
      <c r="T10" s="30">
        <v>25000</v>
      </c>
      <c r="U10" s="30">
        <v>25000</v>
      </c>
      <c r="V10" s="30">
        <v>0</v>
      </c>
      <c r="W10" s="31">
        <v>0</v>
      </c>
      <c r="X10" s="31">
        <v>0</v>
      </c>
      <c r="Y10" s="31">
        <v>0</v>
      </c>
      <c r="Z10" s="33">
        <v>0</v>
      </c>
      <c r="AA10" s="33">
        <v>0</v>
      </c>
      <c r="AB10" s="33">
        <v>0</v>
      </c>
      <c r="AC10" s="34">
        <v>0</v>
      </c>
      <c r="AD10" s="34">
        <v>0</v>
      </c>
      <c r="AE10" s="34">
        <v>0</v>
      </c>
      <c r="AF10" s="108">
        <f>SUM(K10:M10)+SUM(Q10:S10)+SUM(W10:Y10)+SUM(AC10:AE10)</f>
        <v>15</v>
      </c>
      <c r="AG10" s="140">
        <f>+AF10*MAX(U10,AA10)</f>
        <v>375000</v>
      </c>
      <c r="AH10" s="28">
        <f>K10+Q10+W10+AC10</f>
        <v>5</v>
      </c>
      <c r="AI10" s="28">
        <f t="shared" si="0"/>
        <v>5</v>
      </c>
      <c r="AJ10" s="28">
        <f t="shared" si="0"/>
        <v>5</v>
      </c>
    </row>
    <row r="11" spans="1:42" x14ac:dyDescent="0.25">
      <c r="A11" s="54">
        <v>69</v>
      </c>
      <c r="B11" s="54" t="s">
        <v>39</v>
      </c>
      <c r="C11" s="20" t="s">
        <v>29</v>
      </c>
      <c r="D11" s="43" t="s">
        <v>180</v>
      </c>
      <c r="E11" s="14" t="s">
        <v>181</v>
      </c>
      <c r="F11" s="100" t="s">
        <v>237</v>
      </c>
      <c r="G11" s="100" t="s">
        <v>239</v>
      </c>
      <c r="H11" s="120">
        <v>706</v>
      </c>
      <c r="I11" s="120">
        <v>500</v>
      </c>
      <c r="J11" s="120">
        <v>206</v>
      </c>
      <c r="K11" s="121">
        <v>3</v>
      </c>
      <c r="L11" s="121">
        <v>3</v>
      </c>
      <c r="M11" s="121">
        <v>3</v>
      </c>
      <c r="N11" s="122">
        <v>0</v>
      </c>
      <c r="O11" s="122">
        <v>0</v>
      </c>
      <c r="P11" s="122">
        <v>0</v>
      </c>
      <c r="Q11" s="123">
        <v>0</v>
      </c>
      <c r="R11" s="123">
        <v>0</v>
      </c>
      <c r="S11" s="123">
        <v>0</v>
      </c>
      <c r="T11" s="120">
        <v>21933.333333333332</v>
      </c>
      <c r="U11" s="120">
        <v>16450</v>
      </c>
      <c r="V11" s="120">
        <v>5483.3333333333321</v>
      </c>
      <c r="W11" s="121">
        <v>85</v>
      </c>
      <c r="X11" s="121">
        <v>104</v>
      </c>
      <c r="Y11" s="121">
        <v>142</v>
      </c>
      <c r="Z11" s="122">
        <v>714.28571428571433</v>
      </c>
      <c r="AA11" s="122">
        <v>500</v>
      </c>
      <c r="AB11" s="122">
        <v>214.28571428571433</v>
      </c>
      <c r="AC11" s="123">
        <v>5</v>
      </c>
      <c r="AD11" s="123">
        <v>10</v>
      </c>
      <c r="AE11" s="123">
        <v>15</v>
      </c>
      <c r="AF11" s="137">
        <f>SUM(K11:M11)+SUM(Q11:S11)+SUM(W11:Y11)+SUM(AC11:AE11)</f>
        <v>370</v>
      </c>
      <c r="AG11" s="140">
        <f>+AF11*MAX(U11,AA11)</f>
        <v>6086500</v>
      </c>
      <c r="AH11" s="28">
        <f>K11+Q11+W11+AC11</f>
        <v>93</v>
      </c>
      <c r="AI11" s="28">
        <f t="shared" si="0"/>
        <v>117</v>
      </c>
      <c r="AJ11" s="28">
        <f t="shared" si="0"/>
        <v>160</v>
      </c>
    </row>
    <row r="12" spans="1:42" x14ac:dyDescent="0.25">
      <c r="A12" s="54">
        <v>70</v>
      </c>
      <c r="B12" s="54" t="s">
        <v>39</v>
      </c>
      <c r="C12" s="20" t="s">
        <v>29</v>
      </c>
      <c r="D12" s="43" t="s">
        <v>182</v>
      </c>
      <c r="E12" s="14" t="s">
        <v>183</v>
      </c>
      <c r="F12" s="100" t="s">
        <v>237</v>
      </c>
      <c r="G12" s="100" t="s">
        <v>239</v>
      </c>
      <c r="H12" s="120">
        <v>500</v>
      </c>
      <c r="I12" s="120">
        <v>500</v>
      </c>
      <c r="J12" s="120"/>
      <c r="K12" s="121">
        <v>16</v>
      </c>
      <c r="L12" s="121">
        <v>19</v>
      </c>
      <c r="M12" s="121">
        <v>22</v>
      </c>
      <c r="N12" s="122">
        <v>0</v>
      </c>
      <c r="O12" s="122">
        <v>0</v>
      </c>
      <c r="P12" s="122">
        <v>0</v>
      </c>
      <c r="Q12" s="123">
        <v>0</v>
      </c>
      <c r="R12" s="123">
        <v>0</v>
      </c>
      <c r="S12" s="123">
        <v>0</v>
      </c>
      <c r="T12" s="120">
        <v>21933.333333333332</v>
      </c>
      <c r="U12" s="120">
        <v>16450</v>
      </c>
      <c r="V12" s="120">
        <v>5483.3333333333321</v>
      </c>
      <c r="W12" s="121">
        <v>85</v>
      </c>
      <c r="X12" s="121">
        <v>104</v>
      </c>
      <c r="Y12" s="121">
        <v>142</v>
      </c>
      <c r="Z12" s="122">
        <v>714.28571428571433</v>
      </c>
      <c r="AA12" s="122">
        <v>500</v>
      </c>
      <c r="AB12" s="122">
        <v>214.28571428571433</v>
      </c>
      <c r="AC12" s="123">
        <v>50</v>
      </c>
      <c r="AD12" s="123">
        <v>75</v>
      </c>
      <c r="AE12" s="123">
        <v>125</v>
      </c>
      <c r="AF12" s="137">
        <f>SUM(K12:M12)+SUM(Q12:S12)+SUM(W12:Y12)+SUM(AC12:AE12)</f>
        <v>638</v>
      </c>
      <c r="AG12" s="140">
        <f>+AF12*MAX(U12,AA12)</f>
        <v>10495100</v>
      </c>
      <c r="AH12" s="28">
        <f>K12+Q12+W12+AC12</f>
        <v>151</v>
      </c>
      <c r="AI12" s="28">
        <f t="shared" si="0"/>
        <v>198</v>
      </c>
      <c r="AJ12" s="28">
        <f t="shared" si="0"/>
        <v>289</v>
      </c>
    </row>
    <row r="13" spans="1:42" x14ac:dyDescent="0.25">
      <c r="A13">
        <v>2</v>
      </c>
      <c r="B13" t="s">
        <v>39</v>
      </c>
      <c r="C13" s="17" t="s">
        <v>40</v>
      </c>
      <c r="D13" s="103" t="s">
        <v>43</v>
      </c>
      <c r="E13" s="104" t="s">
        <v>44</v>
      </c>
      <c r="F13" s="19" t="s">
        <v>236</v>
      </c>
      <c r="G13" s="19" t="s">
        <v>232</v>
      </c>
      <c r="H13" s="30">
        <v>18000</v>
      </c>
      <c r="I13" s="30">
        <v>13500</v>
      </c>
      <c r="J13" s="30">
        <v>4500</v>
      </c>
      <c r="K13" s="31">
        <v>6</v>
      </c>
      <c r="L13" s="31">
        <v>6</v>
      </c>
      <c r="M13" s="31">
        <v>6</v>
      </c>
      <c r="N13" s="33">
        <v>0</v>
      </c>
      <c r="O13" s="33">
        <v>0</v>
      </c>
      <c r="P13" s="33">
        <v>0</v>
      </c>
      <c r="Q13" s="34">
        <v>0</v>
      </c>
      <c r="R13" s="34">
        <v>0</v>
      </c>
      <c r="S13" s="34">
        <v>0</v>
      </c>
      <c r="T13" s="30">
        <v>0</v>
      </c>
      <c r="U13" s="30">
        <v>0</v>
      </c>
      <c r="V13" s="30">
        <v>0</v>
      </c>
      <c r="W13" s="31">
        <v>0</v>
      </c>
      <c r="X13" s="31">
        <v>0</v>
      </c>
      <c r="Y13" s="31">
        <v>0</v>
      </c>
      <c r="Z13" s="33">
        <v>300000</v>
      </c>
      <c r="AA13" s="33">
        <v>300000</v>
      </c>
      <c r="AB13" s="33">
        <v>0</v>
      </c>
      <c r="AC13" s="34">
        <v>10</v>
      </c>
      <c r="AD13" s="34">
        <v>40</v>
      </c>
      <c r="AE13" s="34">
        <v>100</v>
      </c>
      <c r="AF13" s="108">
        <f>SUM(K13:M13)+SUM(Q13:S13)+SUM(W13:Y13)+SUM(AC13:AE13)</f>
        <v>168</v>
      </c>
      <c r="AG13" s="140">
        <f>+AF13*MAX(U13,AA13)</f>
        <v>50400000</v>
      </c>
      <c r="AH13" s="28">
        <f>K13+Q13+W13+AC13</f>
        <v>16</v>
      </c>
      <c r="AI13" s="28">
        <f t="shared" si="0"/>
        <v>46</v>
      </c>
      <c r="AJ13" s="28">
        <f t="shared" si="0"/>
        <v>106</v>
      </c>
    </row>
    <row r="14" spans="1:42" x14ac:dyDescent="0.25">
      <c r="A14">
        <v>11</v>
      </c>
      <c r="B14" t="s">
        <v>39</v>
      </c>
      <c r="C14" s="21" t="s">
        <v>30</v>
      </c>
      <c r="D14" s="21" t="s">
        <v>61</v>
      </c>
      <c r="E14" s="14" t="s">
        <v>62</v>
      </c>
      <c r="F14" s="100" t="s">
        <v>236</v>
      </c>
      <c r="G14" s="100" t="s">
        <v>232</v>
      </c>
      <c r="H14" s="30">
        <v>16163</v>
      </c>
      <c r="I14" s="30">
        <v>7500</v>
      </c>
      <c r="J14" s="30">
        <v>8663</v>
      </c>
      <c r="K14" s="31">
        <v>60</v>
      </c>
      <c r="L14" s="31">
        <v>75</v>
      </c>
      <c r="M14" s="31">
        <v>95</v>
      </c>
      <c r="N14" s="33">
        <v>16163</v>
      </c>
      <c r="O14" s="33">
        <v>8000</v>
      </c>
      <c r="P14" s="33">
        <v>8163</v>
      </c>
      <c r="Q14" s="34">
        <v>1</v>
      </c>
      <c r="R14" s="34">
        <v>1</v>
      </c>
      <c r="S14" s="34">
        <v>1</v>
      </c>
      <c r="T14" s="30">
        <v>16163</v>
      </c>
      <c r="U14" s="30">
        <v>10000</v>
      </c>
      <c r="V14" s="30">
        <v>6163</v>
      </c>
      <c r="W14" s="31">
        <v>150</v>
      </c>
      <c r="X14" s="31">
        <v>250</v>
      </c>
      <c r="Y14" s="31">
        <v>300</v>
      </c>
      <c r="Z14" s="33">
        <v>16163</v>
      </c>
      <c r="AA14" s="33">
        <v>10000</v>
      </c>
      <c r="AB14" s="33">
        <v>6163</v>
      </c>
      <c r="AC14" s="34">
        <v>63</v>
      </c>
      <c r="AD14" s="34">
        <v>267.75</v>
      </c>
      <c r="AE14" s="34">
        <v>1071</v>
      </c>
      <c r="AF14" s="108">
        <f>SUM(K14:M14)+SUM(Q14:S14)+SUM(W14:Y14)+SUM(AC14:AE14)</f>
        <v>2334.75</v>
      </c>
      <c r="AG14" s="140">
        <f>+AF14*MAX(U14,AA14)</f>
        <v>23347500</v>
      </c>
      <c r="AH14" s="28">
        <f>K14+Q14+W14+AC14</f>
        <v>274</v>
      </c>
      <c r="AI14" s="28">
        <f t="shared" si="0"/>
        <v>593.75</v>
      </c>
      <c r="AJ14" s="28">
        <f t="shared" si="0"/>
        <v>1467</v>
      </c>
    </row>
    <row r="15" spans="1:42" x14ac:dyDescent="0.25">
      <c r="A15">
        <v>15</v>
      </c>
      <c r="B15" t="s">
        <v>39</v>
      </c>
      <c r="C15" s="21" t="s">
        <v>30</v>
      </c>
      <c r="D15" s="21" t="s">
        <v>69</v>
      </c>
      <c r="E15" s="14" t="s">
        <v>70</v>
      </c>
      <c r="F15" s="100" t="s">
        <v>236</v>
      </c>
      <c r="G15" s="100" t="s">
        <v>232</v>
      </c>
      <c r="H15" s="30">
        <v>15984</v>
      </c>
      <c r="I15" s="30">
        <v>7500</v>
      </c>
      <c r="J15" s="30">
        <v>8484</v>
      </c>
      <c r="K15" s="31">
        <v>191</v>
      </c>
      <c r="L15" s="31">
        <v>251</v>
      </c>
      <c r="M15" s="31">
        <v>327</v>
      </c>
      <c r="N15" s="33">
        <v>15984</v>
      </c>
      <c r="O15" s="33">
        <v>10000</v>
      </c>
      <c r="P15" s="33">
        <v>5984</v>
      </c>
      <c r="Q15" s="34">
        <v>8</v>
      </c>
      <c r="R15" s="34">
        <v>9</v>
      </c>
      <c r="S15" s="34">
        <v>10</v>
      </c>
      <c r="T15" s="30">
        <v>15984</v>
      </c>
      <c r="U15" s="30">
        <v>10000</v>
      </c>
      <c r="V15" s="30">
        <v>5984</v>
      </c>
      <c r="W15" s="31">
        <v>125</v>
      </c>
      <c r="X15" s="31">
        <v>150</v>
      </c>
      <c r="Y15" s="31">
        <v>200</v>
      </c>
      <c r="Z15" s="33">
        <v>15984</v>
      </c>
      <c r="AA15" s="33">
        <v>10000</v>
      </c>
      <c r="AB15" s="33">
        <v>5984</v>
      </c>
      <c r="AC15" s="34">
        <v>36</v>
      </c>
      <c r="AD15" s="34">
        <v>72</v>
      </c>
      <c r="AE15" s="34">
        <v>144</v>
      </c>
      <c r="AF15" s="108">
        <f>SUM(K15:M15)+SUM(Q15:S15)+SUM(W15:Y15)+SUM(AC15:AE15)</f>
        <v>1523</v>
      </c>
      <c r="AG15" s="140">
        <f>+AF15*MAX(U15,AA15)</f>
        <v>15230000</v>
      </c>
      <c r="AH15" s="28">
        <f>K15+Q15+W15+AC15</f>
        <v>360</v>
      </c>
      <c r="AI15" s="28">
        <f t="shared" si="0"/>
        <v>482</v>
      </c>
      <c r="AJ15" s="28">
        <f t="shared" si="0"/>
        <v>681</v>
      </c>
    </row>
    <row r="16" spans="1:42" x14ac:dyDescent="0.25">
      <c r="A16">
        <v>17</v>
      </c>
      <c r="B16" t="s">
        <v>39</v>
      </c>
      <c r="C16" s="21" t="s">
        <v>30</v>
      </c>
      <c r="D16" s="21" t="s">
        <v>73</v>
      </c>
      <c r="E16" s="14" t="s">
        <v>74</v>
      </c>
      <c r="F16" s="100" t="s">
        <v>236</v>
      </c>
      <c r="G16" s="100" t="s">
        <v>232</v>
      </c>
      <c r="H16" s="30">
        <v>18500</v>
      </c>
      <c r="I16" s="30">
        <v>7500</v>
      </c>
      <c r="J16" s="30">
        <v>11000</v>
      </c>
      <c r="K16" s="31">
        <v>5</v>
      </c>
      <c r="L16" s="31">
        <v>10</v>
      </c>
      <c r="M16" s="31">
        <v>15</v>
      </c>
      <c r="N16" s="33">
        <v>18500</v>
      </c>
      <c r="O16" s="33">
        <v>7500</v>
      </c>
      <c r="P16" s="33">
        <v>11000</v>
      </c>
      <c r="Q16" s="34">
        <v>0</v>
      </c>
      <c r="R16" s="34">
        <v>0</v>
      </c>
      <c r="S16" s="34">
        <v>0</v>
      </c>
      <c r="T16" s="30">
        <v>18500</v>
      </c>
      <c r="U16" s="30">
        <v>7500</v>
      </c>
      <c r="V16" s="30">
        <v>11000</v>
      </c>
      <c r="W16" s="31">
        <v>50</v>
      </c>
      <c r="X16" s="31">
        <v>75</v>
      </c>
      <c r="Y16" s="31">
        <v>100</v>
      </c>
      <c r="Z16" s="33">
        <v>18500</v>
      </c>
      <c r="AA16" s="33">
        <v>7500</v>
      </c>
      <c r="AB16" s="33">
        <v>11000</v>
      </c>
      <c r="AC16" s="34">
        <v>2</v>
      </c>
      <c r="AD16" s="34">
        <v>2</v>
      </c>
      <c r="AE16" s="34">
        <v>5</v>
      </c>
      <c r="AF16" s="108">
        <f>SUM(K16:M16)+SUM(Q16:S16)+SUM(W16:Y16)+SUM(AC16:AE16)</f>
        <v>264</v>
      </c>
      <c r="AG16" s="140">
        <f>+AF16*MAX(U16,AA16)</f>
        <v>1980000</v>
      </c>
      <c r="AH16" s="28">
        <f>K16+Q16+W16+AC16</f>
        <v>57</v>
      </c>
      <c r="AI16" s="28">
        <f t="shared" si="0"/>
        <v>87</v>
      </c>
      <c r="AJ16" s="28">
        <f t="shared" si="0"/>
        <v>120</v>
      </c>
    </row>
    <row r="17" spans="1:36" x14ac:dyDescent="0.25">
      <c r="A17">
        <v>19</v>
      </c>
      <c r="B17" t="s">
        <v>39</v>
      </c>
      <c r="C17" s="21" t="s">
        <v>30</v>
      </c>
      <c r="D17" s="21" t="s">
        <v>77</v>
      </c>
      <c r="E17" s="14" t="s">
        <v>78</v>
      </c>
      <c r="F17" s="100" t="s">
        <v>236</v>
      </c>
      <c r="G17" s="100" t="s">
        <v>232</v>
      </c>
      <c r="H17" s="30">
        <v>32499</v>
      </c>
      <c r="I17" s="30">
        <v>15000</v>
      </c>
      <c r="J17" s="30">
        <v>17499</v>
      </c>
      <c r="K17" s="31">
        <v>2</v>
      </c>
      <c r="L17" s="31">
        <v>5</v>
      </c>
      <c r="M17" s="31">
        <v>7</v>
      </c>
      <c r="N17" s="33">
        <v>32499</v>
      </c>
      <c r="O17" s="33">
        <v>0</v>
      </c>
      <c r="P17" s="33">
        <v>32499</v>
      </c>
      <c r="Q17" s="34">
        <v>0</v>
      </c>
      <c r="R17" s="34">
        <v>0</v>
      </c>
      <c r="S17" s="34">
        <v>0</v>
      </c>
      <c r="T17" s="30">
        <v>32499</v>
      </c>
      <c r="U17" s="30">
        <v>15000</v>
      </c>
      <c r="V17" s="30">
        <v>17499</v>
      </c>
      <c r="W17" s="31">
        <v>10</v>
      </c>
      <c r="X17" s="31">
        <v>15</v>
      </c>
      <c r="Y17" s="31">
        <v>20</v>
      </c>
      <c r="Z17" s="33">
        <v>32499</v>
      </c>
      <c r="AA17" s="33">
        <v>15000</v>
      </c>
      <c r="AB17" s="33">
        <v>17499</v>
      </c>
      <c r="AC17" s="34">
        <v>2</v>
      </c>
      <c r="AD17" s="34">
        <v>2</v>
      </c>
      <c r="AE17" s="34">
        <v>5</v>
      </c>
      <c r="AF17" s="108">
        <f>SUM(K17:M17)+SUM(Q17:S17)+SUM(W17:Y17)+SUM(AC17:AE17)</f>
        <v>68</v>
      </c>
      <c r="AG17" s="140">
        <f>+AF17*MAX(U17,AA17)</f>
        <v>1020000</v>
      </c>
      <c r="AH17" s="28">
        <f>K17+Q17+W17+AC17</f>
        <v>14</v>
      </c>
      <c r="AI17" s="28">
        <f t="shared" si="0"/>
        <v>22</v>
      </c>
      <c r="AJ17" s="28">
        <f t="shared" si="0"/>
        <v>32</v>
      </c>
    </row>
    <row r="18" spans="1:36" x14ac:dyDescent="0.25">
      <c r="A18">
        <v>21</v>
      </c>
      <c r="B18" t="s">
        <v>39</v>
      </c>
      <c r="C18" s="21" t="s">
        <v>30</v>
      </c>
      <c r="D18" s="21" t="s">
        <v>81</v>
      </c>
      <c r="E18" s="14" t="s">
        <v>82</v>
      </c>
      <c r="F18" s="100" t="s">
        <v>236</v>
      </c>
      <c r="G18" s="100" t="s">
        <v>232</v>
      </c>
      <c r="H18" s="30">
        <v>20057</v>
      </c>
      <c r="J18" s="30">
        <v>20057</v>
      </c>
      <c r="N18" s="33">
        <v>20057</v>
      </c>
      <c r="O18" s="33">
        <v>0</v>
      </c>
      <c r="P18" s="33">
        <v>20057</v>
      </c>
      <c r="T18" s="30">
        <v>20057</v>
      </c>
      <c r="U18" s="30">
        <v>15000</v>
      </c>
      <c r="V18" s="30">
        <v>5057</v>
      </c>
      <c r="W18" s="31">
        <v>10</v>
      </c>
      <c r="X18" s="31">
        <v>15</v>
      </c>
      <c r="Y18" s="31">
        <v>20</v>
      </c>
      <c r="Z18" s="33">
        <v>20057</v>
      </c>
      <c r="AA18" s="33">
        <v>15000</v>
      </c>
      <c r="AB18" s="33">
        <v>5057</v>
      </c>
      <c r="AF18" s="108">
        <f>SUM(K18:M18)+SUM(Q18:S18)+SUM(W18:Y18)+SUM(AC18:AE18)</f>
        <v>45</v>
      </c>
      <c r="AG18" s="140">
        <f>+AF18*MAX(U18,AA18)</f>
        <v>675000</v>
      </c>
      <c r="AH18" s="28">
        <f>K18+Q18+W18+AC18</f>
        <v>10</v>
      </c>
      <c r="AI18" s="28">
        <f t="shared" si="0"/>
        <v>15</v>
      </c>
      <c r="AJ18" s="28">
        <f t="shared" si="0"/>
        <v>20</v>
      </c>
    </row>
    <row r="19" spans="1:36" x14ac:dyDescent="0.25">
      <c r="A19">
        <v>22</v>
      </c>
      <c r="B19" t="s">
        <v>39</v>
      </c>
      <c r="C19" s="21" t="s">
        <v>30</v>
      </c>
      <c r="D19" s="21" t="s">
        <v>83</v>
      </c>
      <c r="E19" s="14" t="s">
        <v>84</v>
      </c>
      <c r="F19" s="100" t="s">
        <v>236</v>
      </c>
      <c r="G19" s="100" t="s">
        <v>232</v>
      </c>
      <c r="H19" s="30">
        <v>20197</v>
      </c>
      <c r="J19" s="30">
        <v>20197</v>
      </c>
      <c r="N19" s="33">
        <v>20197</v>
      </c>
      <c r="O19" s="33">
        <v>0</v>
      </c>
      <c r="P19" s="33">
        <v>20197</v>
      </c>
      <c r="T19" s="30">
        <v>20197</v>
      </c>
      <c r="U19" s="30">
        <v>15000</v>
      </c>
      <c r="V19" s="30">
        <v>5197</v>
      </c>
      <c r="W19" s="31">
        <v>5</v>
      </c>
      <c r="X19" s="31">
        <v>10</v>
      </c>
      <c r="Y19" s="31">
        <v>25</v>
      </c>
      <c r="Z19" s="33">
        <v>20197</v>
      </c>
      <c r="AA19" s="33">
        <v>15000</v>
      </c>
      <c r="AB19" s="33">
        <v>5197</v>
      </c>
      <c r="AF19" s="108">
        <f>SUM(K19:M19)+SUM(Q19:S19)+SUM(W19:Y19)+SUM(AC19:AE19)</f>
        <v>40</v>
      </c>
      <c r="AG19" s="140">
        <f>+AF19*MAX(U19,AA19)</f>
        <v>600000</v>
      </c>
      <c r="AH19" s="28">
        <f>K19+Q19+W19+AC19</f>
        <v>5</v>
      </c>
      <c r="AI19" s="28">
        <f t="shared" si="0"/>
        <v>10</v>
      </c>
      <c r="AJ19" s="28">
        <f t="shared" si="0"/>
        <v>25</v>
      </c>
    </row>
    <row r="20" spans="1:36" x14ac:dyDescent="0.25">
      <c r="A20">
        <v>28</v>
      </c>
      <c r="B20" t="s">
        <v>39</v>
      </c>
      <c r="C20" s="21" t="s">
        <v>30</v>
      </c>
      <c r="D20" s="21" t="s">
        <v>95</v>
      </c>
      <c r="E20" s="14" t="s">
        <v>96</v>
      </c>
      <c r="F20" s="100" t="s">
        <v>236</v>
      </c>
      <c r="G20" s="100" t="s">
        <v>232</v>
      </c>
      <c r="H20" s="30">
        <v>19180</v>
      </c>
      <c r="I20" s="30">
        <v>16000</v>
      </c>
      <c r="J20" s="30">
        <v>3180</v>
      </c>
      <c r="K20" s="31">
        <v>9</v>
      </c>
      <c r="L20" s="31">
        <v>11</v>
      </c>
      <c r="M20" s="31">
        <v>16</v>
      </c>
      <c r="N20" s="33">
        <v>19180</v>
      </c>
      <c r="O20" s="33">
        <v>0</v>
      </c>
      <c r="P20" s="33">
        <v>19180</v>
      </c>
      <c r="T20" s="30">
        <v>19180</v>
      </c>
      <c r="U20" s="30">
        <v>16000</v>
      </c>
      <c r="V20" s="30">
        <v>3180</v>
      </c>
      <c r="W20" s="31">
        <v>10</v>
      </c>
      <c r="X20" s="31">
        <v>20</v>
      </c>
      <c r="Y20" s="31">
        <v>40</v>
      </c>
      <c r="Z20" s="33">
        <v>19180</v>
      </c>
      <c r="AA20" s="33">
        <v>0</v>
      </c>
      <c r="AB20" s="33">
        <v>19180</v>
      </c>
      <c r="AC20" s="34">
        <v>0</v>
      </c>
      <c r="AD20" s="34">
        <v>0</v>
      </c>
      <c r="AE20" s="34">
        <v>0</v>
      </c>
      <c r="AF20" s="108">
        <f>SUM(K20:M20)+SUM(Q20:S20)+SUM(W20:Y20)+SUM(AC20:AE20)</f>
        <v>106</v>
      </c>
      <c r="AG20" s="140">
        <f>+AF20*MAX(U20,AA20)</f>
        <v>1696000</v>
      </c>
      <c r="AH20" s="28">
        <f>K20+Q20+W20+AC20</f>
        <v>19</v>
      </c>
      <c r="AI20" s="28">
        <f t="shared" si="0"/>
        <v>31</v>
      </c>
      <c r="AJ20" s="28">
        <f t="shared" si="0"/>
        <v>56</v>
      </c>
    </row>
    <row r="21" spans="1:36" x14ac:dyDescent="0.25">
      <c r="A21">
        <v>32</v>
      </c>
      <c r="B21" t="s">
        <v>39</v>
      </c>
      <c r="C21" s="21" t="s">
        <v>30</v>
      </c>
      <c r="D21" s="21" t="s">
        <v>103</v>
      </c>
      <c r="E21" s="14" t="s">
        <v>104</v>
      </c>
      <c r="F21" s="100" t="s">
        <v>236</v>
      </c>
      <c r="G21" s="100" t="s">
        <v>232</v>
      </c>
      <c r="H21" s="30">
        <v>13015</v>
      </c>
      <c r="I21" s="30">
        <v>16000</v>
      </c>
      <c r="J21" s="30">
        <v>-2985</v>
      </c>
      <c r="K21" s="31">
        <v>30</v>
      </c>
      <c r="L21" s="31">
        <v>46</v>
      </c>
      <c r="M21" s="31">
        <v>70</v>
      </c>
      <c r="N21" s="33">
        <v>13015</v>
      </c>
      <c r="O21" s="33">
        <v>16000</v>
      </c>
      <c r="P21" s="33">
        <v>-2985</v>
      </c>
      <c r="Q21" s="34">
        <v>1</v>
      </c>
      <c r="R21" s="34">
        <v>2</v>
      </c>
      <c r="S21" s="34">
        <v>3</v>
      </c>
      <c r="T21" s="30">
        <v>13015</v>
      </c>
      <c r="U21" s="30">
        <v>16000</v>
      </c>
      <c r="V21" s="30">
        <v>-2985</v>
      </c>
      <c r="W21" s="31">
        <v>20</v>
      </c>
      <c r="X21" s="31">
        <v>40</v>
      </c>
      <c r="Y21" s="31">
        <v>80</v>
      </c>
      <c r="Z21" s="33">
        <v>13015</v>
      </c>
      <c r="AA21" s="33">
        <v>16000</v>
      </c>
      <c r="AB21" s="33">
        <v>-2985</v>
      </c>
      <c r="AC21" s="34">
        <v>46.25</v>
      </c>
      <c r="AD21" s="34">
        <v>92.5</v>
      </c>
      <c r="AE21" s="34">
        <v>185</v>
      </c>
      <c r="AF21" s="108">
        <f>SUM(K21:M21)+SUM(Q21:S21)+SUM(W21:Y21)+SUM(AC21:AE21)</f>
        <v>615.75</v>
      </c>
      <c r="AG21" s="140">
        <f>+AF21*MAX(U21,AA21)</f>
        <v>9852000</v>
      </c>
      <c r="AH21" s="28">
        <f>K21+Q21+W21+AC21</f>
        <v>97.25</v>
      </c>
      <c r="AI21" s="28">
        <f t="shared" si="0"/>
        <v>180.5</v>
      </c>
      <c r="AJ21" s="28">
        <f t="shared" si="0"/>
        <v>338</v>
      </c>
    </row>
    <row r="22" spans="1:36" x14ac:dyDescent="0.25">
      <c r="A22">
        <v>34</v>
      </c>
      <c r="B22" t="s">
        <v>39</v>
      </c>
      <c r="C22" s="21" t="s">
        <v>30</v>
      </c>
      <c r="D22" s="21" t="s">
        <v>107</v>
      </c>
      <c r="E22" s="14" t="s">
        <v>108</v>
      </c>
      <c r="F22" s="100" t="s">
        <v>236</v>
      </c>
      <c r="G22" s="100" t="s">
        <v>232</v>
      </c>
      <c r="H22" s="30">
        <v>18500</v>
      </c>
      <c r="J22" s="30">
        <v>18500</v>
      </c>
      <c r="L22" s="31">
        <v>1</v>
      </c>
      <c r="M22" s="31">
        <v>2</v>
      </c>
      <c r="N22" s="33">
        <v>18500</v>
      </c>
      <c r="O22" s="33">
        <v>0</v>
      </c>
      <c r="P22" s="33">
        <v>18500</v>
      </c>
      <c r="T22" s="30">
        <v>18500</v>
      </c>
      <c r="U22" s="30">
        <v>0</v>
      </c>
      <c r="V22" s="30">
        <v>18500</v>
      </c>
      <c r="W22" s="31"/>
      <c r="X22" s="31"/>
      <c r="Y22" s="31"/>
      <c r="Z22" s="33">
        <v>18500</v>
      </c>
      <c r="AA22" s="33">
        <v>0</v>
      </c>
      <c r="AB22" s="33">
        <v>18500</v>
      </c>
      <c r="AF22" s="108">
        <f>SUM(K22:M22)+SUM(Q22:S22)+SUM(W22:Y22)+SUM(AC22:AE22)</f>
        <v>3</v>
      </c>
      <c r="AG22" s="140">
        <f>+AF22*MAX(U22,AA22)</f>
        <v>0</v>
      </c>
      <c r="AH22" s="28">
        <f>K22+Q22+W22+AC22</f>
        <v>0</v>
      </c>
      <c r="AI22" s="28">
        <f t="shared" si="0"/>
        <v>1</v>
      </c>
      <c r="AJ22" s="28">
        <f t="shared" si="0"/>
        <v>2</v>
      </c>
    </row>
    <row r="23" spans="1:36" x14ac:dyDescent="0.25">
      <c r="A23">
        <v>36</v>
      </c>
      <c r="B23" t="s">
        <v>39</v>
      </c>
      <c r="C23" s="21" t="s">
        <v>30</v>
      </c>
      <c r="D23" s="21" t="s">
        <v>111</v>
      </c>
      <c r="E23" s="14" t="s">
        <v>112</v>
      </c>
      <c r="F23" s="100" t="s">
        <v>236</v>
      </c>
      <c r="G23" s="100" t="s">
        <v>232</v>
      </c>
      <c r="H23" s="30">
        <v>38762</v>
      </c>
      <c r="J23" s="30">
        <v>38762</v>
      </c>
      <c r="N23" s="33">
        <v>38762</v>
      </c>
      <c r="O23" s="33">
        <v>0</v>
      </c>
      <c r="P23" s="33">
        <v>38762</v>
      </c>
      <c r="T23" s="30">
        <v>38762</v>
      </c>
      <c r="U23" s="30">
        <v>0</v>
      </c>
      <c r="V23" s="30">
        <v>38762</v>
      </c>
      <c r="W23" s="31"/>
      <c r="X23" s="31"/>
      <c r="Y23" s="31"/>
      <c r="Z23" s="33">
        <v>38762</v>
      </c>
      <c r="AA23" s="33">
        <v>0</v>
      </c>
      <c r="AB23" s="33">
        <v>38762</v>
      </c>
      <c r="AF23" s="108">
        <f>SUM(K23:M23)+SUM(Q23:S23)+SUM(W23:Y23)+SUM(AC23:AE23)</f>
        <v>0</v>
      </c>
      <c r="AG23" s="140">
        <f>+AF23*MAX(U23,AA23)</f>
        <v>0</v>
      </c>
      <c r="AH23" s="28">
        <f>K23+Q23+W23+AC23</f>
        <v>0</v>
      </c>
      <c r="AI23" s="28">
        <f t="shared" si="0"/>
        <v>0</v>
      </c>
      <c r="AJ23" s="28">
        <f t="shared" si="0"/>
        <v>0</v>
      </c>
    </row>
    <row r="24" spans="1:36" x14ac:dyDescent="0.25">
      <c r="A24">
        <v>38</v>
      </c>
      <c r="B24" t="s">
        <v>39</v>
      </c>
      <c r="C24" s="21" t="s">
        <v>30</v>
      </c>
      <c r="D24" s="21" t="s">
        <v>115</v>
      </c>
      <c r="E24" s="14" t="s">
        <v>116</v>
      </c>
      <c r="F24" s="100" t="s">
        <v>236</v>
      </c>
      <c r="G24" s="100" t="s">
        <v>232</v>
      </c>
      <c r="H24" s="30">
        <v>26320</v>
      </c>
      <c r="J24" s="30">
        <v>26320</v>
      </c>
      <c r="N24" s="33">
        <v>26320</v>
      </c>
      <c r="O24" s="33">
        <v>0</v>
      </c>
      <c r="P24" s="33">
        <v>26320</v>
      </c>
      <c r="T24" s="30">
        <v>26320</v>
      </c>
      <c r="U24" s="30">
        <v>0</v>
      </c>
      <c r="V24" s="30">
        <v>26320</v>
      </c>
      <c r="W24" s="31"/>
      <c r="X24" s="31"/>
      <c r="Y24" s="31"/>
      <c r="Z24" s="33">
        <v>26320</v>
      </c>
      <c r="AA24" s="33">
        <v>0</v>
      </c>
      <c r="AB24" s="33">
        <v>26320</v>
      </c>
      <c r="AF24" s="108">
        <f>SUM(K24:M24)+SUM(Q24:S24)+SUM(W24:Y24)+SUM(AC24:AE24)</f>
        <v>0</v>
      </c>
      <c r="AG24" s="140">
        <f>+AF24*MAX(U24,AA24)</f>
        <v>0</v>
      </c>
      <c r="AH24" s="28">
        <f>K24+Q24+W24+AC24</f>
        <v>0</v>
      </c>
      <c r="AI24" s="28">
        <f t="shared" si="0"/>
        <v>0</v>
      </c>
      <c r="AJ24" s="28">
        <f t="shared" si="0"/>
        <v>0</v>
      </c>
    </row>
    <row r="25" spans="1:36" x14ac:dyDescent="0.25">
      <c r="A25">
        <v>51</v>
      </c>
      <c r="B25" t="s">
        <v>39</v>
      </c>
      <c r="C25" s="20" t="s">
        <v>134</v>
      </c>
      <c r="D25" s="21" t="s">
        <v>141</v>
      </c>
      <c r="E25" s="14" t="s">
        <v>142</v>
      </c>
      <c r="F25" s="100" t="s">
        <v>236</v>
      </c>
      <c r="G25" s="100" t="s">
        <v>232</v>
      </c>
      <c r="H25" s="30">
        <v>30000</v>
      </c>
      <c r="I25" s="30">
        <v>30000</v>
      </c>
      <c r="J25" s="30">
        <v>0</v>
      </c>
      <c r="K25" s="31">
        <v>7</v>
      </c>
      <c r="L25" s="31">
        <v>8</v>
      </c>
      <c r="M25" s="31">
        <v>10</v>
      </c>
      <c r="N25" s="33">
        <v>30000</v>
      </c>
      <c r="O25" s="33">
        <v>30000</v>
      </c>
      <c r="P25" s="33">
        <v>0</v>
      </c>
      <c r="Q25" s="34">
        <v>2</v>
      </c>
      <c r="R25" s="34">
        <v>2</v>
      </c>
      <c r="S25" s="34">
        <v>3</v>
      </c>
      <c r="T25" s="30">
        <v>30000</v>
      </c>
      <c r="U25" s="30">
        <v>30000</v>
      </c>
      <c r="V25" s="30">
        <v>0</v>
      </c>
      <c r="W25" s="31">
        <v>50</v>
      </c>
      <c r="X25" s="31">
        <v>64</v>
      </c>
      <c r="Y25" s="31">
        <v>84</v>
      </c>
      <c r="Z25" s="33">
        <v>30000</v>
      </c>
      <c r="AA25" s="33">
        <v>30000</v>
      </c>
      <c r="AB25" s="33">
        <v>0</v>
      </c>
      <c r="AC25" s="34">
        <v>275</v>
      </c>
      <c r="AD25" s="34">
        <v>288.75</v>
      </c>
      <c r="AE25" s="34">
        <v>308.96250000000003</v>
      </c>
      <c r="AF25" s="108">
        <f>SUM(K25:M25)+SUM(Q25:S25)+SUM(W25:Y25)+SUM(AC25:AE25)</f>
        <v>1102.7125000000001</v>
      </c>
      <c r="AG25" s="140">
        <f>+AF25*MAX(U25,AA25)</f>
        <v>33081375.000000004</v>
      </c>
      <c r="AH25" s="28">
        <f>K25+Q25+W25+AC25</f>
        <v>334</v>
      </c>
      <c r="AI25" s="28">
        <f t="shared" si="0"/>
        <v>362.75</v>
      </c>
      <c r="AJ25" s="28">
        <f t="shared" si="0"/>
        <v>405.96250000000003</v>
      </c>
    </row>
    <row r="26" spans="1:36" x14ac:dyDescent="0.25">
      <c r="A26">
        <v>66</v>
      </c>
      <c r="B26" t="s">
        <v>39</v>
      </c>
      <c r="C26" s="20" t="s">
        <v>134</v>
      </c>
      <c r="D26" s="21" t="s">
        <v>173</v>
      </c>
      <c r="E26" s="14" t="s">
        <v>174</v>
      </c>
      <c r="F26" s="100" t="s">
        <v>236</v>
      </c>
      <c r="G26" s="100" t="s">
        <v>232</v>
      </c>
      <c r="H26" s="30">
        <v>12000</v>
      </c>
      <c r="I26" s="30">
        <v>12000</v>
      </c>
      <c r="J26" s="30">
        <v>0</v>
      </c>
      <c r="K26" s="31">
        <v>5</v>
      </c>
      <c r="L26" s="31">
        <v>5</v>
      </c>
      <c r="M26" s="31">
        <v>5</v>
      </c>
      <c r="N26" s="33">
        <v>0</v>
      </c>
      <c r="O26" s="33">
        <v>0</v>
      </c>
      <c r="P26" s="33">
        <v>0</v>
      </c>
      <c r="Q26" s="34">
        <v>0</v>
      </c>
      <c r="R26" s="34">
        <v>0</v>
      </c>
      <c r="S26" s="34">
        <v>0</v>
      </c>
      <c r="T26" s="30">
        <v>0</v>
      </c>
      <c r="U26" s="30">
        <v>0</v>
      </c>
      <c r="V26" s="30">
        <v>0</v>
      </c>
      <c r="W26" s="31">
        <v>0</v>
      </c>
      <c r="X26" s="31">
        <v>0</v>
      </c>
      <c r="Y26" s="31">
        <v>0</v>
      </c>
      <c r="Z26" s="33">
        <v>15000</v>
      </c>
      <c r="AA26" s="33">
        <v>15000</v>
      </c>
      <c r="AB26" s="33">
        <v>0</v>
      </c>
      <c r="AC26" s="34">
        <v>82</v>
      </c>
      <c r="AD26" s="34">
        <v>86.100000000000009</v>
      </c>
      <c r="AE26" s="34">
        <v>92.12700000000001</v>
      </c>
      <c r="AF26" s="108">
        <f>SUM(K26:M26)+SUM(Q26:S26)+SUM(W26:Y26)+SUM(AC26:AE26)</f>
        <v>275.22700000000003</v>
      </c>
      <c r="AG26" s="140">
        <f>+AF26*MAX(U26,AA26)</f>
        <v>4128405.0000000005</v>
      </c>
      <c r="AH26" s="28">
        <f>K26+Q26+W26+AC26</f>
        <v>87</v>
      </c>
      <c r="AI26" s="28">
        <f t="shared" si="0"/>
        <v>91.100000000000009</v>
      </c>
      <c r="AJ26" s="28">
        <f t="shared" si="0"/>
        <v>97.12700000000001</v>
      </c>
    </row>
    <row r="27" spans="1:36" x14ac:dyDescent="0.25">
      <c r="A27">
        <v>55</v>
      </c>
      <c r="B27" t="s">
        <v>39</v>
      </c>
      <c r="C27" s="20" t="s">
        <v>134</v>
      </c>
      <c r="D27" s="21" t="s">
        <v>149</v>
      </c>
      <c r="E27" s="14" t="s">
        <v>150</v>
      </c>
      <c r="F27" s="100" t="s">
        <v>236</v>
      </c>
      <c r="G27" s="100" t="s">
        <v>232</v>
      </c>
      <c r="H27" s="30">
        <v>35000</v>
      </c>
      <c r="I27" s="30">
        <v>35000</v>
      </c>
      <c r="J27" s="30">
        <v>0</v>
      </c>
      <c r="K27" s="31">
        <v>0</v>
      </c>
      <c r="L27" s="31">
        <v>0</v>
      </c>
      <c r="M27" s="31">
        <v>0</v>
      </c>
      <c r="N27" s="33">
        <v>35000</v>
      </c>
      <c r="O27" s="33">
        <v>35000</v>
      </c>
      <c r="P27" s="33">
        <v>0</v>
      </c>
      <c r="Q27" s="34">
        <v>0</v>
      </c>
      <c r="R27" s="34">
        <v>0</v>
      </c>
      <c r="S27" s="34">
        <v>0</v>
      </c>
      <c r="T27" s="30">
        <v>35000</v>
      </c>
      <c r="U27" s="30">
        <v>35000</v>
      </c>
      <c r="V27" s="30">
        <v>0</v>
      </c>
      <c r="W27" s="31">
        <v>0</v>
      </c>
      <c r="X27" s="31">
        <v>0</v>
      </c>
      <c r="Y27" s="31">
        <v>0</v>
      </c>
      <c r="Z27" s="33">
        <v>35000</v>
      </c>
      <c r="AA27" s="33">
        <v>35000</v>
      </c>
      <c r="AB27" s="33">
        <v>0</v>
      </c>
      <c r="AC27" s="34">
        <v>0</v>
      </c>
      <c r="AD27" s="34">
        <v>0</v>
      </c>
      <c r="AE27" s="34">
        <v>0</v>
      </c>
      <c r="AF27" s="108">
        <f>SUM(K27:M27)+SUM(Q27:S27)+SUM(W27:Y27)+SUM(AC27:AE27)</f>
        <v>0</v>
      </c>
      <c r="AG27" s="140">
        <f>+AF27*MAX(U27,AA27)</f>
        <v>0</v>
      </c>
      <c r="AH27" s="28">
        <f>K27+Q27+W27+AC27</f>
        <v>0</v>
      </c>
      <c r="AI27" s="28">
        <f t="shared" si="0"/>
        <v>0</v>
      </c>
      <c r="AJ27" s="28">
        <f t="shared" si="0"/>
        <v>0</v>
      </c>
    </row>
    <row r="28" spans="1:36" x14ac:dyDescent="0.25">
      <c r="A28" s="54">
        <v>76</v>
      </c>
      <c r="B28" s="54" t="s">
        <v>39</v>
      </c>
      <c r="C28" s="20" t="s">
        <v>29</v>
      </c>
      <c r="D28" s="43" t="s">
        <v>194</v>
      </c>
      <c r="E28" s="14" t="s">
        <v>195</v>
      </c>
      <c r="F28" s="100" t="s">
        <v>236</v>
      </c>
      <c r="G28" s="100" t="s">
        <v>232</v>
      </c>
      <c r="H28" s="120"/>
      <c r="I28" s="120"/>
      <c r="J28" s="120"/>
      <c r="K28" s="121"/>
      <c r="L28" s="121"/>
      <c r="M28" s="121"/>
      <c r="N28" s="122">
        <v>25000</v>
      </c>
      <c r="O28" s="122">
        <v>20000</v>
      </c>
      <c r="P28" s="122">
        <v>5000</v>
      </c>
      <c r="Q28" s="123">
        <v>1</v>
      </c>
      <c r="R28" s="123">
        <v>2</v>
      </c>
      <c r="S28" s="123">
        <v>3</v>
      </c>
      <c r="T28" s="120">
        <v>0</v>
      </c>
      <c r="U28" s="120">
        <v>0</v>
      </c>
      <c r="V28" s="120">
        <v>0</v>
      </c>
      <c r="W28" s="121">
        <v>0</v>
      </c>
      <c r="X28" s="121">
        <v>0</v>
      </c>
      <c r="Y28" s="121">
        <v>0</v>
      </c>
      <c r="Z28" s="122">
        <v>21428.571428571431</v>
      </c>
      <c r="AA28" s="122">
        <v>15000</v>
      </c>
      <c r="AB28" s="122">
        <v>6428.5714285714312</v>
      </c>
      <c r="AC28" s="123">
        <v>5</v>
      </c>
      <c r="AD28" s="123">
        <v>10</v>
      </c>
      <c r="AE28" s="123">
        <v>20</v>
      </c>
      <c r="AF28" s="137">
        <f>SUM(K28:M28)+SUM(Q28:S28)+SUM(W28:Y28)+SUM(AC28:AE28)</f>
        <v>41</v>
      </c>
      <c r="AG28" s="140">
        <f>+AF28*MAX(U28,AA28)</f>
        <v>615000</v>
      </c>
      <c r="AH28" s="28">
        <f>K28+Q28+W28+AC28</f>
        <v>6</v>
      </c>
      <c r="AI28" s="28">
        <f t="shared" si="0"/>
        <v>12</v>
      </c>
      <c r="AJ28" s="28">
        <f t="shared" si="0"/>
        <v>23</v>
      </c>
    </row>
    <row r="29" spans="1:36" x14ac:dyDescent="0.25">
      <c r="A29" s="54">
        <v>77</v>
      </c>
      <c r="B29" s="54" t="s">
        <v>39</v>
      </c>
      <c r="C29" s="20" t="s">
        <v>29</v>
      </c>
      <c r="D29" s="43" t="s">
        <v>196</v>
      </c>
      <c r="E29" s="14" t="s">
        <v>197</v>
      </c>
      <c r="F29" s="100" t="s">
        <v>236</v>
      </c>
      <c r="G29" s="100" t="s">
        <v>232</v>
      </c>
      <c r="H29" s="120"/>
      <c r="I29" s="120"/>
      <c r="J29" s="120"/>
      <c r="K29" s="121"/>
      <c r="L29" s="121"/>
      <c r="M29" s="121"/>
      <c r="N29" s="122">
        <v>0</v>
      </c>
      <c r="O29" s="122">
        <v>0</v>
      </c>
      <c r="P29" s="122">
        <v>0</v>
      </c>
      <c r="Q29" s="123">
        <v>0</v>
      </c>
      <c r="R29" s="123">
        <v>0</v>
      </c>
      <c r="S29" s="123">
        <v>0</v>
      </c>
      <c r="T29" s="120">
        <v>0</v>
      </c>
      <c r="U29" s="120">
        <v>0</v>
      </c>
      <c r="V29" s="120">
        <v>0</v>
      </c>
      <c r="W29" s="121">
        <v>0</v>
      </c>
      <c r="X29" s="121">
        <v>0</v>
      </c>
      <c r="Y29" s="121">
        <v>0</v>
      </c>
      <c r="Z29" s="122">
        <v>21428.571428571431</v>
      </c>
      <c r="AA29" s="122">
        <v>15000</v>
      </c>
      <c r="AB29" s="122">
        <v>6428.5714285714312</v>
      </c>
      <c r="AC29" s="123">
        <v>1</v>
      </c>
      <c r="AD29" s="123">
        <v>1</v>
      </c>
      <c r="AE29" s="123">
        <v>2</v>
      </c>
      <c r="AF29" s="137">
        <f>SUM(K29:M29)+SUM(Q29:S29)+SUM(W29:Y29)+SUM(AC29:AE29)</f>
        <v>4</v>
      </c>
      <c r="AG29" s="140">
        <f>+AF29*MAX(U29,AA29)</f>
        <v>60000</v>
      </c>
      <c r="AH29" s="28">
        <f>K29+Q29+W29+AC29</f>
        <v>1</v>
      </c>
      <c r="AI29" s="28">
        <f t="shared" si="0"/>
        <v>1</v>
      </c>
      <c r="AJ29" s="28">
        <f t="shared" si="0"/>
        <v>2</v>
      </c>
    </row>
    <row r="30" spans="1:36" x14ac:dyDescent="0.25">
      <c r="A30">
        <v>9</v>
      </c>
      <c r="B30" t="s">
        <v>39</v>
      </c>
      <c r="C30" s="21" t="s">
        <v>30</v>
      </c>
      <c r="D30" s="21" t="s">
        <v>57</v>
      </c>
      <c r="E30" s="14" t="s">
        <v>58</v>
      </c>
      <c r="F30" s="100" t="s">
        <v>237</v>
      </c>
      <c r="G30" s="100" t="s">
        <v>232</v>
      </c>
      <c r="H30" s="30">
        <v>12724</v>
      </c>
      <c r="I30" s="30">
        <v>4000</v>
      </c>
      <c r="J30" s="30">
        <v>8724</v>
      </c>
      <c r="K30" s="31">
        <v>40</v>
      </c>
      <c r="L30" s="31">
        <v>30</v>
      </c>
      <c r="M30" s="31">
        <v>20</v>
      </c>
      <c r="N30" s="33">
        <v>12724</v>
      </c>
      <c r="O30" s="33">
        <v>4000</v>
      </c>
      <c r="P30" s="33">
        <v>8724</v>
      </c>
      <c r="Q30" s="34">
        <v>4</v>
      </c>
      <c r="R30" s="34">
        <v>4</v>
      </c>
      <c r="S30" s="34">
        <v>4</v>
      </c>
      <c r="T30" s="30">
        <v>12724</v>
      </c>
      <c r="U30" s="30">
        <v>4000</v>
      </c>
      <c r="V30" s="30">
        <v>8724</v>
      </c>
      <c r="W30" s="31">
        <v>715</v>
      </c>
      <c r="X30" s="31">
        <v>1206</v>
      </c>
      <c r="Y30" s="31">
        <v>1350</v>
      </c>
      <c r="Z30" s="33">
        <v>12724</v>
      </c>
      <c r="AA30" s="33">
        <v>4000</v>
      </c>
      <c r="AB30" s="33">
        <v>8724</v>
      </c>
      <c r="AC30" s="34">
        <v>535</v>
      </c>
      <c r="AD30" s="34">
        <v>1070</v>
      </c>
      <c r="AE30" s="34">
        <v>2140</v>
      </c>
      <c r="AF30" s="108">
        <f>SUM(K30:M30)+SUM(Q30:S30)+SUM(W30:Y30)+SUM(AC30:AE30)</f>
        <v>7118</v>
      </c>
      <c r="AG30" s="140">
        <f>+AF30*MAX(U30,AA30)</f>
        <v>28472000</v>
      </c>
      <c r="AH30" s="28">
        <f>K30+Q30+W30+AC30</f>
        <v>1294</v>
      </c>
      <c r="AI30" s="28">
        <f t="shared" si="0"/>
        <v>2310</v>
      </c>
      <c r="AJ30" s="28">
        <f t="shared" si="0"/>
        <v>3514</v>
      </c>
    </row>
    <row r="31" spans="1:36" x14ac:dyDescent="0.25">
      <c r="A31">
        <v>13</v>
      </c>
      <c r="B31" t="s">
        <v>39</v>
      </c>
      <c r="C31" s="21" t="s">
        <v>30</v>
      </c>
      <c r="D31" s="21" t="s">
        <v>65</v>
      </c>
      <c r="E31" s="14" t="s">
        <v>66</v>
      </c>
      <c r="F31" s="100" t="s">
        <v>237</v>
      </c>
      <c r="G31" s="100" t="s">
        <v>232</v>
      </c>
      <c r="H31" s="30">
        <v>11475</v>
      </c>
      <c r="I31" s="30">
        <v>4000</v>
      </c>
      <c r="J31" s="30">
        <v>7475</v>
      </c>
      <c r="K31" s="31">
        <v>75</v>
      </c>
      <c r="L31" s="31">
        <v>55</v>
      </c>
      <c r="M31" s="31">
        <v>35</v>
      </c>
      <c r="N31" s="33">
        <v>11475</v>
      </c>
      <c r="O31" s="33">
        <v>3250</v>
      </c>
      <c r="P31" s="33">
        <v>8225</v>
      </c>
      <c r="Q31" s="34">
        <v>50</v>
      </c>
      <c r="R31" s="34">
        <v>60</v>
      </c>
      <c r="S31" s="34">
        <v>72</v>
      </c>
      <c r="T31" s="30">
        <v>11475</v>
      </c>
      <c r="U31" s="30">
        <v>4000</v>
      </c>
      <c r="V31" s="30">
        <v>7475</v>
      </c>
      <c r="W31" s="31">
        <v>2808</v>
      </c>
      <c r="X31" s="31">
        <v>3992</v>
      </c>
      <c r="Y31" s="31">
        <v>6016</v>
      </c>
      <c r="Z31" s="33">
        <v>11475</v>
      </c>
      <c r="AA31" s="33">
        <v>4000</v>
      </c>
      <c r="AB31" s="33">
        <v>7475</v>
      </c>
      <c r="AC31" s="34">
        <v>810.25</v>
      </c>
      <c r="AD31" s="34">
        <v>1620.5</v>
      </c>
      <c r="AE31" s="34">
        <v>3241</v>
      </c>
      <c r="AF31" s="108">
        <f>SUM(K31:M31)+SUM(Q31:S31)+SUM(W31:Y31)+SUM(AC31:AE31)</f>
        <v>18834.75</v>
      </c>
      <c r="AG31" s="140">
        <f>+AF31*MAX(U31,AA31)</f>
        <v>75339000</v>
      </c>
      <c r="AH31" s="28">
        <f>K31+Q31+W31+AC31</f>
        <v>3743.25</v>
      </c>
      <c r="AI31" s="28">
        <f t="shared" si="0"/>
        <v>5727.5</v>
      </c>
      <c r="AJ31" s="28">
        <f t="shared" si="0"/>
        <v>9364</v>
      </c>
    </row>
    <row r="32" spans="1:36" x14ac:dyDescent="0.25">
      <c r="A32">
        <v>26</v>
      </c>
      <c r="B32" t="s">
        <v>39</v>
      </c>
      <c r="C32" s="21" t="s">
        <v>30</v>
      </c>
      <c r="D32" s="21" t="s">
        <v>91</v>
      </c>
      <c r="E32" s="14" t="s">
        <v>92</v>
      </c>
      <c r="F32" s="100" t="s">
        <v>237</v>
      </c>
      <c r="G32" s="100" t="s">
        <v>232</v>
      </c>
      <c r="H32" s="30">
        <v>12388</v>
      </c>
      <c r="I32" s="30">
        <v>16000</v>
      </c>
      <c r="J32" s="30">
        <v>-3612</v>
      </c>
      <c r="K32" s="31">
        <v>6</v>
      </c>
      <c r="L32" s="31">
        <v>4</v>
      </c>
      <c r="M32" s="31">
        <v>3</v>
      </c>
      <c r="N32" s="33">
        <v>12388</v>
      </c>
      <c r="O32" s="33">
        <v>0</v>
      </c>
      <c r="P32" s="33">
        <v>12388</v>
      </c>
      <c r="Q32" s="34">
        <v>0</v>
      </c>
      <c r="R32" s="34">
        <v>0</v>
      </c>
      <c r="S32" s="34">
        <v>0</v>
      </c>
      <c r="T32" s="30">
        <v>12388</v>
      </c>
      <c r="U32" s="30">
        <v>8000</v>
      </c>
      <c r="V32" s="30">
        <v>4388</v>
      </c>
      <c r="W32" s="31">
        <v>30</v>
      </c>
      <c r="X32" s="31">
        <v>60</v>
      </c>
      <c r="Y32" s="31">
        <v>117</v>
      </c>
      <c r="Z32" s="33">
        <v>12388</v>
      </c>
      <c r="AA32" s="33">
        <v>0</v>
      </c>
      <c r="AB32" s="33">
        <v>12388</v>
      </c>
      <c r="AC32" s="34">
        <v>0</v>
      </c>
      <c r="AD32" s="34">
        <v>0</v>
      </c>
      <c r="AE32" s="34">
        <v>0</v>
      </c>
      <c r="AF32" s="108">
        <f>SUM(K32:M32)+SUM(Q32:S32)+SUM(W32:Y32)+SUM(AC32:AE32)</f>
        <v>220</v>
      </c>
      <c r="AG32" s="140">
        <f>+AF32*MAX(U32,AA32)</f>
        <v>1760000</v>
      </c>
      <c r="AH32" s="28">
        <f>K32+Q32+W32+AC32</f>
        <v>36</v>
      </c>
      <c r="AI32" s="28">
        <f t="shared" si="0"/>
        <v>64</v>
      </c>
      <c r="AJ32" s="28">
        <f t="shared" si="0"/>
        <v>120</v>
      </c>
    </row>
    <row r="33" spans="1:36" x14ac:dyDescent="0.25">
      <c r="A33">
        <v>30</v>
      </c>
      <c r="B33" t="s">
        <v>39</v>
      </c>
      <c r="C33" s="21" t="s">
        <v>30</v>
      </c>
      <c r="D33" s="21" t="s">
        <v>99</v>
      </c>
      <c r="E33" s="14" t="s">
        <v>100</v>
      </c>
      <c r="F33" s="100" t="s">
        <v>237</v>
      </c>
      <c r="G33" s="100" t="s">
        <v>232</v>
      </c>
      <c r="H33" s="30">
        <v>11746</v>
      </c>
      <c r="I33" s="30">
        <v>16000</v>
      </c>
      <c r="J33" s="30">
        <v>-4254</v>
      </c>
      <c r="K33" s="31">
        <v>10</v>
      </c>
      <c r="L33" s="31">
        <v>9</v>
      </c>
      <c r="M33" s="31">
        <v>6</v>
      </c>
      <c r="N33" s="33">
        <v>11746</v>
      </c>
      <c r="O33" s="33">
        <v>8000</v>
      </c>
      <c r="P33" s="33">
        <v>3746</v>
      </c>
      <c r="Q33" s="34">
        <v>10</v>
      </c>
      <c r="R33" s="34">
        <v>12</v>
      </c>
      <c r="S33" s="34">
        <v>15</v>
      </c>
      <c r="T33" s="30">
        <v>11746</v>
      </c>
      <c r="U33" s="30">
        <v>8000</v>
      </c>
      <c r="V33" s="30">
        <v>3746</v>
      </c>
      <c r="W33" s="31">
        <v>30</v>
      </c>
      <c r="X33" s="31">
        <v>65</v>
      </c>
      <c r="Y33" s="31">
        <v>145</v>
      </c>
      <c r="Z33" s="33">
        <v>11746</v>
      </c>
      <c r="AA33" s="33">
        <v>0</v>
      </c>
      <c r="AB33" s="33">
        <v>11746</v>
      </c>
      <c r="AC33" s="34">
        <v>0</v>
      </c>
      <c r="AD33" s="34">
        <v>0</v>
      </c>
      <c r="AE33" s="34">
        <v>0</v>
      </c>
      <c r="AF33" s="108">
        <f>SUM(K33:M33)+SUM(Q33:S33)+SUM(W33:Y33)+SUM(AC33:AE33)</f>
        <v>302</v>
      </c>
      <c r="AG33" s="140">
        <f>+AF33*MAX(U33,AA33)</f>
        <v>2416000</v>
      </c>
      <c r="AH33" s="28">
        <f>K33+Q33+W33+AC33</f>
        <v>50</v>
      </c>
      <c r="AI33" s="28">
        <f t="shared" si="0"/>
        <v>86</v>
      </c>
      <c r="AJ33" s="28">
        <f t="shared" si="0"/>
        <v>166</v>
      </c>
    </row>
    <row r="34" spans="1:36" x14ac:dyDescent="0.25">
      <c r="A34">
        <v>49</v>
      </c>
      <c r="B34" t="s">
        <v>39</v>
      </c>
      <c r="C34" s="20" t="s">
        <v>134</v>
      </c>
      <c r="D34" s="21" t="s">
        <v>137</v>
      </c>
      <c r="E34" s="14" t="s">
        <v>138</v>
      </c>
      <c r="F34" s="100" t="s">
        <v>237</v>
      </c>
      <c r="G34" s="100" t="s">
        <v>232</v>
      </c>
      <c r="H34" s="30">
        <v>13000</v>
      </c>
      <c r="I34" s="30">
        <v>13000</v>
      </c>
      <c r="J34" s="30">
        <v>0</v>
      </c>
      <c r="K34" s="31">
        <v>0</v>
      </c>
      <c r="L34" s="31">
        <v>0</v>
      </c>
      <c r="M34" s="31">
        <v>0</v>
      </c>
      <c r="N34" s="33">
        <v>13000</v>
      </c>
      <c r="O34" s="33">
        <v>13000</v>
      </c>
      <c r="P34" s="33">
        <v>0</v>
      </c>
      <c r="Q34" s="34">
        <v>2</v>
      </c>
      <c r="R34" s="34">
        <v>3</v>
      </c>
      <c r="S34" s="34">
        <v>4</v>
      </c>
      <c r="T34" s="30">
        <v>13000</v>
      </c>
      <c r="U34" s="30">
        <v>13000</v>
      </c>
      <c r="V34" s="30">
        <v>0</v>
      </c>
      <c r="W34" s="31">
        <v>50</v>
      </c>
      <c r="X34" s="31">
        <v>100</v>
      </c>
      <c r="Y34" s="31">
        <v>200</v>
      </c>
      <c r="Z34" s="33">
        <v>13000</v>
      </c>
      <c r="AA34" s="33">
        <v>13000</v>
      </c>
      <c r="AB34" s="33">
        <v>0</v>
      </c>
      <c r="AC34" s="34">
        <v>66.400000000000006</v>
      </c>
      <c r="AD34" s="34">
        <v>69.720000000000013</v>
      </c>
      <c r="AE34" s="34">
        <v>74.600400000000022</v>
      </c>
      <c r="AF34" s="108">
        <f>SUM(K34:M34)+SUM(Q34:S34)+SUM(W34:Y34)+SUM(AC34:AE34)</f>
        <v>569.72040000000004</v>
      </c>
      <c r="AG34" s="140">
        <f>+AF34*MAX(U34,AA34)</f>
        <v>7406365.2000000002</v>
      </c>
      <c r="AH34" s="28">
        <f>K34+Q34+W34+AC34</f>
        <v>118.4</v>
      </c>
      <c r="AI34" s="28">
        <f t="shared" si="0"/>
        <v>172.72000000000003</v>
      </c>
      <c r="AJ34" s="28">
        <f t="shared" si="0"/>
        <v>278.60040000000004</v>
      </c>
    </row>
    <row r="35" spans="1:36" x14ac:dyDescent="0.25">
      <c r="A35">
        <v>53</v>
      </c>
      <c r="B35" t="s">
        <v>39</v>
      </c>
      <c r="C35" s="20" t="s">
        <v>134</v>
      </c>
      <c r="D35" s="21" t="s">
        <v>145</v>
      </c>
      <c r="E35" s="14" t="s">
        <v>146</v>
      </c>
      <c r="F35" s="100" t="s">
        <v>237</v>
      </c>
      <c r="G35" s="100" t="s">
        <v>232</v>
      </c>
      <c r="H35" s="30">
        <v>18000</v>
      </c>
      <c r="I35" s="30">
        <v>18000</v>
      </c>
      <c r="J35" s="30">
        <v>0</v>
      </c>
      <c r="K35" s="31">
        <v>0</v>
      </c>
      <c r="L35" s="31">
        <v>0</v>
      </c>
      <c r="M35" s="31">
        <v>0</v>
      </c>
      <c r="N35" s="33">
        <v>18000</v>
      </c>
      <c r="O35" s="33">
        <v>18000</v>
      </c>
      <c r="P35" s="33">
        <v>0</v>
      </c>
      <c r="Q35" s="34">
        <v>0</v>
      </c>
      <c r="R35" s="34">
        <v>0</v>
      </c>
      <c r="S35" s="34">
        <v>0</v>
      </c>
      <c r="T35" s="30">
        <v>18000</v>
      </c>
      <c r="U35" s="30">
        <v>18000</v>
      </c>
      <c r="V35" s="30">
        <v>0</v>
      </c>
      <c r="W35" s="31">
        <v>50</v>
      </c>
      <c r="X35" s="31">
        <v>64</v>
      </c>
      <c r="Y35" s="31">
        <v>84</v>
      </c>
      <c r="Z35" s="33">
        <v>18000</v>
      </c>
      <c r="AA35" s="33">
        <v>18000</v>
      </c>
      <c r="AB35" s="33">
        <v>0</v>
      </c>
      <c r="AC35" s="34">
        <v>200</v>
      </c>
      <c r="AD35" s="34">
        <v>210</v>
      </c>
      <c r="AE35" s="34">
        <v>224.70000000000002</v>
      </c>
      <c r="AF35" s="108">
        <f>SUM(K35:M35)+SUM(Q35:S35)+SUM(W35:Y35)+SUM(AC35:AE35)</f>
        <v>832.7</v>
      </c>
      <c r="AG35" s="140">
        <f>+AF35*MAX(U35,AA35)</f>
        <v>14988600</v>
      </c>
      <c r="AH35" s="28">
        <f>K35+Q35+W35+AC35</f>
        <v>250</v>
      </c>
      <c r="AI35" s="28">
        <f t="shared" si="0"/>
        <v>274</v>
      </c>
      <c r="AJ35" s="28">
        <f t="shared" si="0"/>
        <v>308.70000000000005</v>
      </c>
    </row>
    <row r="36" spans="1:36" x14ac:dyDescent="0.25">
      <c r="A36" s="54">
        <v>72</v>
      </c>
      <c r="B36" s="54" t="s">
        <v>39</v>
      </c>
      <c r="C36" s="20" t="s">
        <v>29</v>
      </c>
      <c r="D36" s="43" t="s">
        <v>186</v>
      </c>
      <c r="E36" s="14" t="s">
        <v>187</v>
      </c>
      <c r="F36" s="100" t="s">
        <v>237</v>
      </c>
      <c r="G36" s="100" t="s">
        <v>232</v>
      </c>
      <c r="H36" s="120">
        <v>10410</v>
      </c>
      <c r="I36" s="120">
        <v>7000</v>
      </c>
      <c r="J36" s="120">
        <v>3410</v>
      </c>
      <c r="K36" s="121">
        <v>4</v>
      </c>
      <c r="L36" s="121">
        <v>4</v>
      </c>
      <c r="M36" s="121">
        <v>4</v>
      </c>
      <c r="N36" s="122">
        <v>0</v>
      </c>
      <c r="O36" s="122">
        <v>0</v>
      </c>
      <c r="P36" s="122">
        <v>0</v>
      </c>
      <c r="Q36" s="123">
        <v>0</v>
      </c>
      <c r="R36" s="123">
        <v>0</v>
      </c>
      <c r="S36" s="123">
        <v>0</v>
      </c>
      <c r="T36" s="120">
        <v>23500</v>
      </c>
      <c r="U36" s="120">
        <v>16450</v>
      </c>
      <c r="V36" s="120">
        <v>7050</v>
      </c>
      <c r="W36" s="121">
        <v>41</v>
      </c>
      <c r="X36" s="121">
        <v>96</v>
      </c>
      <c r="Y36" s="121">
        <v>137</v>
      </c>
      <c r="Z36" s="122">
        <v>17142.857142857145</v>
      </c>
      <c r="AA36" s="122">
        <v>12000</v>
      </c>
      <c r="AB36" s="122">
        <v>5142.8571428571449</v>
      </c>
      <c r="AC36" s="123">
        <v>35</v>
      </c>
      <c r="AD36" s="123">
        <v>50</v>
      </c>
      <c r="AE36" s="123">
        <v>75</v>
      </c>
      <c r="AF36" s="137">
        <f>SUM(K36:M36)+SUM(Q36:S36)+SUM(W36:Y36)+SUM(AC36:AE36)</f>
        <v>446</v>
      </c>
      <c r="AG36" s="140">
        <f>+AF36*MAX(U36,AA36)</f>
        <v>7336700</v>
      </c>
      <c r="AH36" s="28">
        <f>K36+Q36+W36+AC36</f>
        <v>80</v>
      </c>
      <c r="AI36" s="28">
        <f t="shared" si="0"/>
        <v>150</v>
      </c>
      <c r="AJ36" s="28">
        <f t="shared" si="0"/>
        <v>216</v>
      </c>
    </row>
    <row r="37" spans="1:36" x14ac:dyDescent="0.25">
      <c r="A37" s="54">
        <v>73</v>
      </c>
      <c r="B37" s="54" t="s">
        <v>39</v>
      </c>
      <c r="C37" s="20" t="s">
        <v>29</v>
      </c>
      <c r="D37" s="43" t="s">
        <v>188</v>
      </c>
      <c r="E37" s="14" t="s">
        <v>189</v>
      </c>
      <c r="F37" s="100" t="s">
        <v>237</v>
      </c>
      <c r="G37" s="100" t="s">
        <v>232</v>
      </c>
      <c r="H37" s="120">
        <v>43740</v>
      </c>
      <c r="I37" s="120">
        <v>35000</v>
      </c>
      <c r="J37" s="120">
        <v>8740</v>
      </c>
      <c r="K37" s="121">
        <v>12</v>
      </c>
      <c r="L37" s="121">
        <v>15</v>
      </c>
      <c r="M37" s="121">
        <v>18</v>
      </c>
      <c r="N37" s="122">
        <v>20000</v>
      </c>
      <c r="O37" s="122">
        <v>15000</v>
      </c>
      <c r="P37" s="122">
        <v>5000</v>
      </c>
      <c r="Q37" s="123">
        <v>8</v>
      </c>
      <c r="R37" s="123">
        <v>10</v>
      </c>
      <c r="S37" s="123">
        <v>13</v>
      </c>
      <c r="T37" s="120">
        <v>23500</v>
      </c>
      <c r="U37" s="120">
        <v>16450</v>
      </c>
      <c r="V37" s="120">
        <v>7050</v>
      </c>
      <c r="W37" s="121">
        <v>41</v>
      </c>
      <c r="X37" s="121">
        <v>96</v>
      </c>
      <c r="Y37" s="121">
        <v>137</v>
      </c>
      <c r="Z37" s="122">
        <v>17142.857142857145</v>
      </c>
      <c r="AA37" s="122">
        <v>12000</v>
      </c>
      <c r="AB37" s="122">
        <v>5142.8571428571449</v>
      </c>
      <c r="AC37" s="123">
        <v>75</v>
      </c>
      <c r="AD37" s="123">
        <v>125</v>
      </c>
      <c r="AE37" s="123">
        <v>175</v>
      </c>
      <c r="AF37" s="137">
        <f>SUM(K37:M37)+SUM(Q37:S37)+SUM(W37:Y37)+SUM(AC37:AE37)</f>
        <v>725</v>
      </c>
      <c r="AG37" s="140">
        <f>+AF37*MAX(U37,AA37)</f>
        <v>11926250</v>
      </c>
      <c r="AH37" s="28">
        <f>K37+Q37+W37+AC37</f>
        <v>136</v>
      </c>
      <c r="AI37" s="28">
        <f t="shared" si="0"/>
        <v>246</v>
      </c>
      <c r="AJ37" s="28">
        <f t="shared" si="0"/>
        <v>343</v>
      </c>
    </row>
    <row r="38" spans="1:36" x14ac:dyDescent="0.25">
      <c r="A38">
        <v>45</v>
      </c>
      <c r="B38" t="s">
        <v>39</v>
      </c>
      <c r="C38" s="21" t="s">
        <v>30</v>
      </c>
      <c r="D38" s="21" t="s">
        <v>130</v>
      </c>
      <c r="E38" s="14" t="s">
        <v>131</v>
      </c>
      <c r="F38" s="100" t="s">
        <v>240</v>
      </c>
      <c r="G38" s="100" t="s">
        <v>232</v>
      </c>
      <c r="H38" s="30">
        <v>64</v>
      </c>
      <c r="I38" s="30">
        <v>1000</v>
      </c>
      <c r="J38" s="30">
        <v>-936</v>
      </c>
      <c r="K38" s="31">
        <v>20</v>
      </c>
      <c r="L38" s="31">
        <v>25</v>
      </c>
      <c r="M38" s="31">
        <v>30</v>
      </c>
      <c r="N38" s="33">
        <v>64</v>
      </c>
      <c r="O38" s="33">
        <v>1000</v>
      </c>
      <c r="P38" s="33">
        <v>-936</v>
      </c>
      <c r="Q38" s="34">
        <v>6</v>
      </c>
      <c r="R38" s="34">
        <v>7</v>
      </c>
      <c r="S38" s="34">
        <v>8</v>
      </c>
      <c r="T38" s="30">
        <v>64</v>
      </c>
      <c r="U38" s="30">
        <v>1000</v>
      </c>
      <c r="V38" s="30">
        <v>-936</v>
      </c>
      <c r="W38" s="31">
        <v>600</v>
      </c>
      <c r="X38" s="31">
        <v>800</v>
      </c>
      <c r="Y38" s="31">
        <v>1000</v>
      </c>
      <c r="Z38" s="106">
        <v>64</v>
      </c>
      <c r="AA38" s="33">
        <v>1000</v>
      </c>
      <c r="AB38" s="33">
        <v>-936</v>
      </c>
      <c r="AC38" s="34">
        <v>150</v>
      </c>
      <c r="AD38" s="34">
        <v>400</v>
      </c>
      <c r="AE38" s="34">
        <v>690</v>
      </c>
      <c r="AF38" s="108">
        <f>SUM(K38:M38)+SUM(Q38:S38)+SUM(W38:Y38)+SUM(AC38:AE38)</f>
        <v>3736</v>
      </c>
      <c r="AG38" s="140">
        <f>+AF38*MAX(U38,AA38)</f>
        <v>3736000</v>
      </c>
      <c r="AH38" s="28">
        <f>K38+Q38+W38+AC38</f>
        <v>776</v>
      </c>
      <c r="AI38" s="28">
        <f t="shared" si="0"/>
        <v>1232</v>
      </c>
      <c r="AJ38" s="28">
        <f t="shared" si="0"/>
        <v>1728</v>
      </c>
    </row>
    <row r="39" spans="1:36" x14ac:dyDescent="0.25">
      <c r="A39">
        <v>59</v>
      </c>
      <c r="B39" t="s">
        <v>39</v>
      </c>
      <c r="C39" s="20" t="s">
        <v>134</v>
      </c>
      <c r="D39" s="21" t="s">
        <v>157</v>
      </c>
      <c r="E39" s="14" t="s">
        <v>158</v>
      </c>
      <c r="F39" s="100" t="s">
        <v>240</v>
      </c>
      <c r="G39" s="100" t="s">
        <v>232</v>
      </c>
      <c r="H39" s="30">
        <v>6000</v>
      </c>
      <c r="I39" s="30">
        <v>6000</v>
      </c>
      <c r="J39" s="30">
        <v>0</v>
      </c>
      <c r="K39" s="31">
        <v>3</v>
      </c>
      <c r="L39" s="31">
        <v>5</v>
      </c>
      <c r="M39" s="31">
        <v>6</v>
      </c>
      <c r="N39" s="33">
        <v>0</v>
      </c>
      <c r="O39" s="33">
        <v>0</v>
      </c>
      <c r="P39" s="33">
        <v>0</v>
      </c>
      <c r="Q39" s="34">
        <v>0</v>
      </c>
      <c r="R39" s="34">
        <v>0</v>
      </c>
      <c r="S39" s="34">
        <v>0</v>
      </c>
      <c r="T39" s="30">
        <v>5000</v>
      </c>
      <c r="U39" s="30">
        <v>5000</v>
      </c>
      <c r="V39" s="30">
        <v>0</v>
      </c>
      <c r="W39" s="31">
        <v>57</v>
      </c>
      <c r="X39" s="31">
        <v>57</v>
      </c>
      <c r="Y39" s="31">
        <v>58</v>
      </c>
      <c r="Z39" s="33">
        <v>2700</v>
      </c>
      <c r="AA39" s="33">
        <v>2700</v>
      </c>
      <c r="AB39" s="33">
        <v>0</v>
      </c>
      <c r="AC39" s="34">
        <v>130</v>
      </c>
      <c r="AD39" s="34">
        <v>130</v>
      </c>
      <c r="AE39" s="34">
        <v>130</v>
      </c>
      <c r="AF39" s="108">
        <f>SUM(K39:M39)+SUM(Q39:S39)+SUM(W39:Y39)+SUM(AC39:AE39)</f>
        <v>576</v>
      </c>
      <c r="AG39" s="140">
        <f>+AF39*MAX(U39,AA39)</f>
        <v>2880000</v>
      </c>
      <c r="AH39" s="28">
        <f>K39+Q39+W39+AC39</f>
        <v>190</v>
      </c>
      <c r="AI39" s="28">
        <f t="shared" si="0"/>
        <v>192</v>
      </c>
      <c r="AJ39" s="28">
        <f t="shared" si="0"/>
        <v>194</v>
      </c>
    </row>
    <row r="40" spans="1:36" x14ac:dyDescent="0.25">
      <c r="A40">
        <v>63</v>
      </c>
      <c r="B40" t="s">
        <v>39</v>
      </c>
      <c r="C40" s="20" t="s">
        <v>134</v>
      </c>
      <c r="D40" s="21" t="s">
        <v>167</v>
      </c>
      <c r="E40" s="14" t="s">
        <v>168</v>
      </c>
      <c r="F40" s="100" t="s">
        <v>240</v>
      </c>
      <c r="G40" s="100" t="s">
        <v>232</v>
      </c>
      <c r="H40" s="30">
        <v>0</v>
      </c>
      <c r="I40" s="30">
        <v>0</v>
      </c>
      <c r="J40" s="30">
        <v>0</v>
      </c>
      <c r="N40" s="33">
        <v>0</v>
      </c>
      <c r="O40" s="33">
        <v>0</v>
      </c>
      <c r="P40" s="33">
        <v>0</v>
      </c>
      <c r="Q40" s="34">
        <v>0</v>
      </c>
      <c r="R40" s="34">
        <v>0</v>
      </c>
      <c r="S40" s="34">
        <v>0</v>
      </c>
      <c r="T40" s="30">
        <v>5000</v>
      </c>
      <c r="U40" s="30">
        <v>5000</v>
      </c>
      <c r="V40" s="30">
        <v>0</v>
      </c>
      <c r="W40" s="31">
        <v>10</v>
      </c>
      <c r="X40" s="31">
        <v>10</v>
      </c>
      <c r="Y40" s="31">
        <v>10</v>
      </c>
      <c r="Z40" s="33">
        <v>0</v>
      </c>
      <c r="AA40" s="33">
        <v>0</v>
      </c>
      <c r="AB40" s="33">
        <v>0</v>
      </c>
      <c r="AC40" s="34">
        <v>0</v>
      </c>
      <c r="AD40" s="34">
        <v>0</v>
      </c>
      <c r="AE40" s="34">
        <v>0</v>
      </c>
      <c r="AF40" s="108">
        <f>SUM(K40:M40)+SUM(Q40:S40)+SUM(W40:Y40)+SUM(AC40:AE40)</f>
        <v>30</v>
      </c>
      <c r="AG40" s="140">
        <f>+AF40*MAX(U40,AA40)</f>
        <v>150000</v>
      </c>
      <c r="AH40" s="28">
        <f>K40+Q40+W40+AC40</f>
        <v>10</v>
      </c>
      <c r="AI40" s="28">
        <f t="shared" si="0"/>
        <v>10</v>
      </c>
      <c r="AJ40" s="28">
        <f t="shared" si="0"/>
        <v>10</v>
      </c>
    </row>
    <row r="41" spans="1:36" x14ac:dyDescent="0.25">
      <c r="A41">
        <v>3</v>
      </c>
      <c r="B41" t="s">
        <v>39</v>
      </c>
      <c r="C41" s="17" t="s">
        <v>40</v>
      </c>
      <c r="D41" s="103" t="s">
        <v>45</v>
      </c>
      <c r="E41" s="104" t="s">
        <v>46</v>
      </c>
      <c r="F41" s="19" t="s">
        <v>236</v>
      </c>
      <c r="G41" s="19" t="s">
        <v>233</v>
      </c>
      <c r="H41" s="30">
        <v>18000</v>
      </c>
      <c r="I41" s="30">
        <v>13500</v>
      </c>
      <c r="J41" s="30">
        <v>4500</v>
      </c>
      <c r="K41" s="31">
        <v>6</v>
      </c>
      <c r="L41" s="31">
        <v>6</v>
      </c>
      <c r="M41" s="31">
        <v>6</v>
      </c>
      <c r="N41" s="33">
        <v>0</v>
      </c>
      <c r="O41" s="33">
        <v>0</v>
      </c>
      <c r="P41" s="33">
        <v>0</v>
      </c>
      <c r="Q41" s="34">
        <v>0</v>
      </c>
      <c r="R41" s="34">
        <v>0</v>
      </c>
      <c r="S41" s="34">
        <v>0</v>
      </c>
      <c r="T41" s="30">
        <v>0</v>
      </c>
      <c r="U41" s="30">
        <v>0</v>
      </c>
      <c r="V41" s="30">
        <v>0</v>
      </c>
      <c r="W41" s="31">
        <v>0</v>
      </c>
      <c r="X41" s="31">
        <v>0</v>
      </c>
      <c r="Y41" s="31">
        <v>0</v>
      </c>
      <c r="Z41" s="33">
        <v>300000</v>
      </c>
      <c r="AA41" s="33">
        <v>300000</v>
      </c>
      <c r="AB41" s="33">
        <v>0</v>
      </c>
      <c r="AC41" s="34">
        <v>0</v>
      </c>
      <c r="AD41" s="34">
        <v>5</v>
      </c>
      <c r="AE41" s="34">
        <v>5</v>
      </c>
      <c r="AF41" s="108">
        <f>SUM(K41:M41)+SUM(Q41:S41)+SUM(W41:Y41)+SUM(AC41:AE41)</f>
        <v>28</v>
      </c>
      <c r="AG41" s="140">
        <f>+AF41*MAX(U41,AA41)</f>
        <v>8400000</v>
      </c>
      <c r="AH41" s="28">
        <f>K41+Q41+W41+AC41</f>
        <v>6</v>
      </c>
      <c r="AI41" s="28">
        <f t="shared" si="0"/>
        <v>11</v>
      </c>
      <c r="AJ41" s="28">
        <f t="shared" si="0"/>
        <v>11</v>
      </c>
    </row>
    <row r="42" spans="1:36" x14ac:dyDescent="0.25">
      <c r="A42">
        <v>12</v>
      </c>
      <c r="B42" t="s">
        <v>39</v>
      </c>
      <c r="C42" s="21" t="s">
        <v>30</v>
      </c>
      <c r="D42" s="21" t="s">
        <v>63</v>
      </c>
      <c r="E42" s="14" t="s">
        <v>64</v>
      </c>
      <c r="F42" s="100" t="s">
        <v>236</v>
      </c>
      <c r="G42" s="100" t="s">
        <v>233</v>
      </c>
      <c r="H42" s="30">
        <v>16163</v>
      </c>
      <c r="I42" s="30">
        <v>7500</v>
      </c>
      <c r="J42" s="30">
        <v>8663</v>
      </c>
      <c r="K42" s="31">
        <v>40</v>
      </c>
      <c r="L42" s="31">
        <v>50</v>
      </c>
      <c r="M42" s="31">
        <v>65</v>
      </c>
      <c r="N42" s="33">
        <v>16163</v>
      </c>
      <c r="O42" s="33">
        <v>8000</v>
      </c>
      <c r="P42" s="33">
        <v>8163</v>
      </c>
      <c r="Q42" s="34">
        <v>0</v>
      </c>
      <c r="R42" s="34">
        <v>0</v>
      </c>
      <c r="S42" s="34">
        <v>0</v>
      </c>
      <c r="T42" s="30">
        <v>16163</v>
      </c>
      <c r="U42" s="30">
        <v>10000</v>
      </c>
      <c r="V42" s="30">
        <v>6163</v>
      </c>
      <c r="W42" s="31">
        <v>12</v>
      </c>
      <c r="X42" s="31">
        <v>15</v>
      </c>
      <c r="Y42" s="31">
        <v>17</v>
      </c>
      <c r="Z42" s="33">
        <v>16163</v>
      </c>
      <c r="AA42" s="33">
        <v>10000</v>
      </c>
      <c r="AB42" s="33">
        <v>6163</v>
      </c>
      <c r="AC42" s="34">
        <v>25</v>
      </c>
      <c r="AD42" s="34">
        <v>106.25</v>
      </c>
      <c r="AE42" s="34">
        <v>425</v>
      </c>
      <c r="AF42" s="108">
        <f>SUM(K42:M42)+SUM(Q42:S42)+SUM(W42:Y42)+SUM(AC42:AE42)</f>
        <v>755.25</v>
      </c>
      <c r="AG42" s="140">
        <f>+AF42*MAX(U42,AA42)</f>
        <v>7552500</v>
      </c>
      <c r="AH42" s="28">
        <f>K42+Q42+W42+AC42</f>
        <v>77</v>
      </c>
      <c r="AI42" s="28">
        <f t="shared" si="0"/>
        <v>171.25</v>
      </c>
      <c r="AJ42" s="28">
        <f t="shared" si="0"/>
        <v>507</v>
      </c>
    </row>
    <row r="43" spans="1:36" x14ac:dyDescent="0.25">
      <c r="A43">
        <v>16</v>
      </c>
      <c r="B43" t="s">
        <v>39</v>
      </c>
      <c r="C43" s="21" t="s">
        <v>30</v>
      </c>
      <c r="D43" s="21" t="s">
        <v>71</v>
      </c>
      <c r="E43" s="14" t="s">
        <v>72</v>
      </c>
      <c r="F43" s="100" t="s">
        <v>236</v>
      </c>
      <c r="G43" s="100" t="s">
        <v>233</v>
      </c>
      <c r="H43" s="30">
        <v>15984</v>
      </c>
      <c r="I43" s="30">
        <v>7500</v>
      </c>
      <c r="J43" s="30">
        <v>8484</v>
      </c>
      <c r="K43" s="31">
        <v>164</v>
      </c>
      <c r="L43" s="31">
        <v>201</v>
      </c>
      <c r="M43" s="31">
        <v>250</v>
      </c>
      <c r="N43" s="33">
        <v>15984</v>
      </c>
      <c r="O43" s="33">
        <v>10000</v>
      </c>
      <c r="P43" s="33">
        <v>5984</v>
      </c>
      <c r="Q43" s="34">
        <v>1</v>
      </c>
      <c r="R43" s="34">
        <v>1</v>
      </c>
      <c r="S43" s="34">
        <v>1</v>
      </c>
      <c r="T43" s="30">
        <v>15984</v>
      </c>
      <c r="U43" s="30">
        <v>10000</v>
      </c>
      <c r="V43" s="30">
        <v>5984</v>
      </c>
      <c r="W43" s="31">
        <v>20</v>
      </c>
      <c r="X43" s="31">
        <v>40</v>
      </c>
      <c r="Y43" s="31">
        <v>45</v>
      </c>
      <c r="Z43" s="33">
        <v>15984</v>
      </c>
      <c r="AA43" s="33">
        <v>10000</v>
      </c>
      <c r="AB43" s="33">
        <v>5984</v>
      </c>
      <c r="AC43" s="34">
        <v>10</v>
      </c>
      <c r="AD43" s="34">
        <v>15</v>
      </c>
      <c r="AE43" s="34">
        <v>22.5</v>
      </c>
      <c r="AF43" s="108">
        <f>SUM(K43:M43)+SUM(Q43:S43)+SUM(W43:Y43)+SUM(AC43:AE43)</f>
        <v>770.5</v>
      </c>
      <c r="AG43" s="140">
        <f>+AF43*MAX(U43,AA43)</f>
        <v>7705000</v>
      </c>
      <c r="AH43" s="28">
        <f>K43+Q43+W43+AC43</f>
        <v>195</v>
      </c>
      <c r="AI43" s="28">
        <f t="shared" si="0"/>
        <v>257</v>
      </c>
      <c r="AJ43" s="28">
        <f t="shared" si="0"/>
        <v>318.5</v>
      </c>
    </row>
    <row r="44" spans="1:36" x14ac:dyDescent="0.25">
      <c r="A44">
        <v>18</v>
      </c>
      <c r="B44" t="s">
        <v>39</v>
      </c>
      <c r="C44" s="21" t="s">
        <v>30</v>
      </c>
      <c r="D44" s="21" t="s">
        <v>75</v>
      </c>
      <c r="E44" s="14" t="s">
        <v>76</v>
      </c>
      <c r="F44" s="100" t="s">
        <v>236</v>
      </c>
      <c r="G44" s="100" t="s">
        <v>233</v>
      </c>
      <c r="H44" s="30">
        <v>18500</v>
      </c>
      <c r="I44" s="30">
        <v>7500</v>
      </c>
      <c r="J44" s="30">
        <v>11000</v>
      </c>
      <c r="K44" s="31">
        <v>3</v>
      </c>
      <c r="L44" s="31">
        <v>7</v>
      </c>
      <c r="M44" s="31">
        <v>10</v>
      </c>
      <c r="N44" s="33">
        <v>18500</v>
      </c>
      <c r="O44" s="33">
        <v>7500</v>
      </c>
      <c r="P44" s="33">
        <v>11000</v>
      </c>
      <c r="Q44" s="34">
        <v>0</v>
      </c>
      <c r="R44" s="34">
        <v>0</v>
      </c>
      <c r="S44" s="34">
        <v>0</v>
      </c>
      <c r="T44" s="30">
        <v>18500</v>
      </c>
      <c r="U44" s="30">
        <v>7500</v>
      </c>
      <c r="V44" s="30">
        <v>11000</v>
      </c>
      <c r="W44" s="31">
        <v>25</v>
      </c>
      <c r="X44" s="31">
        <v>50</v>
      </c>
      <c r="Y44" s="31">
        <v>75</v>
      </c>
      <c r="Z44" s="33">
        <v>18500</v>
      </c>
      <c r="AA44" s="33">
        <v>7500</v>
      </c>
      <c r="AB44" s="33">
        <v>11000</v>
      </c>
      <c r="AC44" s="34">
        <v>2</v>
      </c>
      <c r="AD44" s="34">
        <v>2</v>
      </c>
      <c r="AE44" s="34">
        <v>5</v>
      </c>
      <c r="AF44" s="108">
        <f>SUM(K44:M44)+SUM(Q44:S44)+SUM(W44:Y44)+SUM(AC44:AE44)</f>
        <v>179</v>
      </c>
      <c r="AG44" s="140">
        <f>+AF44*MAX(U44,AA44)</f>
        <v>1342500</v>
      </c>
      <c r="AH44" s="28">
        <f>K44+Q44+W44+AC44</f>
        <v>30</v>
      </c>
      <c r="AI44" s="28">
        <f t="shared" si="0"/>
        <v>59</v>
      </c>
      <c r="AJ44" s="28">
        <f t="shared" si="0"/>
        <v>90</v>
      </c>
    </row>
    <row r="45" spans="1:36" x14ac:dyDescent="0.25">
      <c r="A45">
        <v>20</v>
      </c>
      <c r="B45" t="s">
        <v>39</v>
      </c>
      <c r="C45" s="21" t="s">
        <v>30</v>
      </c>
      <c r="D45" s="21" t="s">
        <v>79</v>
      </c>
      <c r="E45" s="14" t="s">
        <v>80</v>
      </c>
      <c r="F45" s="100" t="s">
        <v>236</v>
      </c>
      <c r="G45" s="100" t="s">
        <v>233</v>
      </c>
      <c r="H45" s="30">
        <v>32639</v>
      </c>
      <c r="I45" s="30">
        <v>15000</v>
      </c>
      <c r="J45" s="30">
        <v>17639</v>
      </c>
      <c r="K45" s="31">
        <v>1</v>
      </c>
      <c r="L45" s="31">
        <v>2</v>
      </c>
      <c r="M45" s="31">
        <v>3</v>
      </c>
      <c r="N45" s="33">
        <v>32639</v>
      </c>
      <c r="O45" s="33">
        <v>0</v>
      </c>
      <c r="P45" s="33">
        <v>32639</v>
      </c>
      <c r="Q45" s="34">
        <v>0</v>
      </c>
      <c r="R45" s="34">
        <v>0</v>
      </c>
      <c r="S45" s="34">
        <v>0</v>
      </c>
      <c r="T45" s="30">
        <v>32639</v>
      </c>
      <c r="U45" s="30">
        <v>15000</v>
      </c>
      <c r="V45" s="30">
        <v>17639</v>
      </c>
      <c r="W45" s="31">
        <v>5</v>
      </c>
      <c r="X45" s="31">
        <v>10</v>
      </c>
      <c r="Y45" s="31">
        <v>25</v>
      </c>
      <c r="Z45" s="33">
        <v>32639</v>
      </c>
      <c r="AA45" s="33">
        <v>15000</v>
      </c>
      <c r="AB45" s="33">
        <v>17639</v>
      </c>
      <c r="AC45" s="34">
        <v>2</v>
      </c>
      <c r="AD45" s="34">
        <v>2</v>
      </c>
      <c r="AE45" s="34">
        <v>5</v>
      </c>
      <c r="AF45" s="108">
        <f>SUM(K45:M45)+SUM(Q45:S45)+SUM(W45:Y45)+SUM(AC45:AE45)</f>
        <v>55</v>
      </c>
      <c r="AG45" s="140">
        <f>+AF45*MAX(U45,AA45)</f>
        <v>825000</v>
      </c>
      <c r="AH45" s="28">
        <f>K45+Q45+W45+AC45</f>
        <v>8</v>
      </c>
      <c r="AI45" s="28">
        <f t="shared" si="0"/>
        <v>14</v>
      </c>
      <c r="AJ45" s="28">
        <f t="shared" si="0"/>
        <v>33</v>
      </c>
    </row>
    <row r="46" spans="1:36" x14ac:dyDescent="0.25">
      <c r="A46">
        <v>29</v>
      </c>
      <c r="B46" t="s">
        <v>39</v>
      </c>
      <c r="C46" s="21" t="s">
        <v>30</v>
      </c>
      <c r="D46" s="21" t="s">
        <v>97</v>
      </c>
      <c r="E46" s="14" t="s">
        <v>98</v>
      </c>
      <c r="F46" s="100" t="s">
        <v>236</v>
      </c>
      <c r="G46" s="100" t="s">
        <v>233</v>
      </c>
      <c r="H46" s="30">
        <v>19180</v>
      </c>
      <c r="I46" s="30">
        <v>16000</v>
      </c>
      <c r="J46" s="30">
        <v>3180</v>
      </c>
      <c r="K46" s="31">
        <v>6</v>
      </c>
      <c r="L46" s="31">
        <v>7</v>
      </c>
      <c r="M46" s="31">
        <v>11</v>
      </c>
      <c r="N46" s="33">
        <v>19180</v>
      </c>
      <c r="O46" s="33">
        <v>0</v>
      </c>
      <c r="P46" s="33">
        <v>19180</v>
      </c>
      <c r="Q46" s="34">
        <v>0</v>
      </c>
      <c r="R46" s="34">
        <v>0</v>
      </c>
      <c r="S46" s="34">
        <v>0</v>
      </c>
      <c r="T46" s="30">
        <v>19180</v>
      </c>
      <c r="U46" s="30">
        <v>16000</v>
      </c>
      <c r="V46" s="30">
        <v>3180</v>
      </c>
      <c r="W46" s="31">
        <v>5</v>
      </c>
      <c r="X46" s="31">
        <v>7</v>
      </c>
      <c r="Y46" s="31">
        <v>10</v>
      </c>
      <c r="Z46" s="33">
        <v>19180</v>
      </c>
      <c r="AA46" s="33">
        <v>16000</v>
      </c>
      <c r="AB46" s="33">
        <v>3180</v>
      </c>
      <c r="AC46" s="34">
        <v>17.25</v>
      </c>
      <c r="AD46" s="34">
        <v>34.5</v>
      </c>
      <c r="AE46" s="34">
        <v>69</v>
      </c>
      <c r="AF46" s="108">
        <f>SUM(K46:M46)+SUM(Q46:S46)+SUM(W46:Y46)+SUM(AC46:AE46)</f>
        <v>166.75</v>
      </c>
      <c r="AG46" s="140">
        <f>+AF46*MAX(U46,AA46)</f>
        <v>2668000</v>
      </c>
      <c r="AH46" s="28">
        <f>K46+Q46+W46+AC46</f>
        <v>28.25</v>
      </c>
      <c r="AI46" s="28">
        <f t="shared" si="0"/>
        <v>48.5</v>
      </c>
      <c r="AJ46" s="28">
        <f t="shared" si="0"/>
        <v>90</v>
      </c>
    </row>
    <row r="47" spans="1:36" x14ac:dyDescent="0.25">
      <c r="A47">
        <v>33</v>
      </c>
      <c r="B47" t="s">
        <v>39</v>
      </c>
      <c r="C47" s="21" t="s">
        <v>30</v>
      </c>
      <c r="D47" s="21" t="s">
        <v>105</v>
      </c>
      <c r="E47" s="14" t="s">
        <v>106</v>
      </c>
      <c r="F47" s="100" t="s">
        <v>236</v>
      </c>
      <c r="G47" s="100" t="s">
        <v>233</v>
      </c>
      <c r="H47" s="30">
        <v>13015</v>
      </c>
      <c r="I47" s="30">
        <v>16000</v>
      </c>
      <c r="J47" s="30">
        <v>-2985</v>
      </c>
      <c r="K47" s="31">
        <v>26</v>
      </c>
      <c r="L47" s="31">
        <v>37</v>
      </c>
      <c r="M47" s="31">
        <v>54</v>
      </c>
      <c r="N47" s="33">
        <v>13015</v>
      </c>
      <c r="O47" s="33">
        <v>0</v>
      </c>
      <c r="P47" s="33">
        <v>13015</v>
      </c>
      <c r="Q47" s="34">
        <v>0</v>
      </c>
      <c r="R47" s="34">
        <v>1</v>
      </c>
      <c r="S47" s="34">
        <v>1</v>
      </c>
      <c r="T47" s="30">
        <v>13015</v>
      </c>
      <c r="U47" s="30">
        <v>16000</v>
      </c>
      <c r="V47" s="30">
        <v>-2985</v>
      </c>
      <c r="W47" s="31">
        <v>10</v>
      </c>
      <c r="X47" s="31">
        <v>20</v>
      </c>
      <c r="Y47" s="31">
        <v>40</v>
      </c>
      <c r="Z47" s="33">
        <v>13015</v>
      </c>
      <c r="AA47" s="33">
        <v>0</v>
      </c>
      <c r="AB47" s="33">
        <v>13015</v>
      </c>
      <c r="AC47" s="34">
        <v>0</v>
      </c>
      <c r="AD47" s="34">
        <v>0</v>
      </c>
      <c r="AE47" s="34">
        <v>0</v>
      </c>
      <c r="AF47" s="108">
        <f>SUM(K47:M47)+SUM(Q47:S47)+SUM(W47:Y47)+SUM(AC47:AE47)</f>
        <v>189</v>
      </c>
      <c r="AG47" s="140">
        <f>+AF47*MAX(U47,AA47)</f>
        <v>3024000</v>
      </c>
      <c r="AH47" s="28">
        <f>K47+Q47+W47+AC47</f>
        <v>36</v>
      </c>
      <c r="AI47" s="28">
        <f t="shared" si="0"/>
        <v>58</v>
      </c>
      <c r="AJ47" s="28">
        <f t="shared" si="0"/>
        <v>95</v>
      </c>
    </row>
    <row r="48" spans="1:36" x14ac:dyDescent="0.25">
      <c r="A48">
        <v>35</v>
      </c>
      <c r="B48" t="s">
        <v>39</v>
      </c>
      <c r="C48" s="21" t="s">
        <v>30</v>
      </c>
      <c r="D48" s="21" t="s">
        <v>109</v>
      </c>
      <c r="E48" s="14" t="s">
        <v>110</v>
      </c>
      <c r="F48" s="100" t="s">
        <v>236</v>
      </c>
      <c r="G48" s="100" t="s">
        <v>233</v>
      </c>
      <c r="H48" s="30">
        <v>18500</v>
      </c>
      <c r="J48" s="30">
        <v>18500</v>
      </c>
      <c r="L48" s="31">
        <v>1</v>
      </c>
      <c r="M48" s="31">
        <v>1</v>
      </c>
      <c r="N48" s="33">
        <v>18500</v>
      </c>
      <c r="O48" s="33">
        <v>0</v>
      </c>
      <c r="P48" s="33">
        <v>18500</v>
      </c>
      <c r="Q48" s="34">
        <v>0</v>
      </c>
      <c r="R48" s="34">
        <v>0</v>
      </c>
      <c r="S48" s="34">
        <v>0</v>
      </c>
      <c r="T48" s="30">
        <v>18500</v>
      </c>
      <c r="U48" s="30">
        <v>0</v>
      </c>
      <c r="V48" s="30">
        <v>18500</v>
      </c>
      <c r="W48" s="31">
        <v>0</v>
      </c>
      <c r="X48" s="31">
        <v>0</v>
      </c>
      <c r="Y48" s="31">
        <v>0</v>
      </c>
      <c r="Z48" s="33">
        <v>18500</v>
      </c>
      <c r="AA48" s="33">
        <v>0</v>
      </c>
      <c r="AB48" s="33">
        <v>18500</v>
      </c>
      <c r="AC48" s="34">
        <v>0</v>
      </c>
      <c r="AD48" s="34">
        <v>0</v>
      </c>
      <c r="AE48" s="34">
        <v>0</v>
      </c>
      <c r="AF48" s="108">
        <f>SUM(K48:M48)+SUM(Q48:S48)+SUM(W48:Y48)+SUM(AC48:AE48)</f>
        <v>2</v>
      </c>
      <c r="AG48" s="140">
        <f>+AF48*MAX(U48,AA48)</f>
        <v>0</v>
      </c>
      <c r="AH48" s="28">
        <f>K48+Q48+W48+AC48</f>
        <v>0</v>
      </c>
      <c r="AI48" s="28">
        <f t="shared" si="0"/>
        <v>1</v>
      </c>
      <c r="AJ48" s="28">
        <f t="shared" si="0"/>
        <v>1</v>
      </c>
    </row>
    <row r="49" spans="1:36" x14ac:dyDescent="0.25">
      <c r="A49">
        <v>37</v>
      </c>
      <c r="B49" t="s">
        <v>39</v>
      </c>
      <c r="C49" s="21" t="s">
        <v>30</v>
      </c>
      <c r="D49" s="21" t="s">
        <v>113</v>
      </c>
      <c r="E49" s="14" t="s">
        <v>114</v>
      </c>
      <c r="F49" s="100" t="s">
        <v>236</v>
      </c>
      <c r="G49" s="100" t="s">
        <v>233</v>
      </c>
      <c r="H49" s="30">
        <v>38762</v>
      </c>
      <c r="J49" s="30">
        <v>38762</v>
      </c>
      <c r="N49" s="33">
        <v>38762</v>
      </c>
      <c r="O49" s="33">
        <v>0</v>
      </c>
      <c r="P49" s="33">
        <v>38762</v>
      </c>
      <c r="Q49" s="34">
        <v>0</v>
      </c>
      <c r="R49" s="34">
        <v>0</v>
      </c>
      <c r="S49" s="34">
        <v>0</v>
      </c>
      <c r="T49" s="30">
        <v>38762</v>
      </c>
      <c r="U49" s="30">
        <v>0</v>
      </c>
      <c r="V49" s="30">
        <v>38762</v>
      </c>
      <c r="W49" s="31">
        <v>0</v>
      </c>
      <c r="X49" s="31">
        <v>0</v>
      </c>
      <c r="Y49" s="31">
        <v>0</v>
      </c>
      <c r="Z49" s="33">
        <v>38762</v>
      </c>
      <c r="AA49" s="33">
        <v>0</v>
      </c>
      <c r="AB49" s="33">
        <v>38762</v>
      </c>
      <c r="AC49" s="34">
        <v>0</v>
      </c>
      <c r="AD49" s="34">
        <v>0</v>
      </c>
      <c r="AE49" s="34">
        <v>0</v>
      </c>
      <c r="AF49" s="108">
        <f>SUM(K49:M49)+SUM(Q49:S49)+SUM(W49:Y49)+SUM(AC49:AE49)</f>
        <v>0</v>
      </c>
      <c r="AG49" s="140">
        <f>+AF49*MAX(U49,AA49)</f>
        <v>0</v>
      </c>
      <c r="AH49" s="28">
        <f>K49+Q49+W49+AC49</f>
        <v>0</v>
      </c>
      <c r="AI49" s="28">
        <f t="shared" si="0"/>
        <v>0</v>
      </c>
      <c r="AJ49" s="28">
        <f t="shared" si="0"/>
        <v>0</v>
      </c>
    </row>
    <row r="50" spans="1:36" x14ac:dyDescent="0.25">
      <c r="A50">
        <v>39</v>
      </c>
      <c r="B50" t="s">
        <v>39</v>
      </c>
      <c r="C50" s="21" t="s">
        <v>30</v>
      </c>
      <c r="D50" s="21" t="s">
        <v>117</v>
      </c>
      <c r="E50" s="14" t="s">
        <v>118</v>
      </c>
      <c r="F50" s="100" t="s">
        <v>236</v>
      </c>
      <c r="G50" s="100" t="s">
        <v>233</v>
      </c>
      <c r="H50" s="30">
        <v>26320</v>
      </c>
      <c r="J50" s="30">
        <v>26320</v>
      </c>
      <c r="N50" s="33">
        <v>26320</v>
      </c>
      <c r="O50" s="33">
        <v>0</v>
      </c>
      <c r="P50" s="33">
        <v>26320</v>
      </c>
      <c r="Q50" s="34">
        <v>0</v>
      </c>
      <c r="R50" s="34">
        <v>0</v>
      </c>
      <c r="S50" s="34">
        <v>0</v>
      </c>
      <c r="T50" s="30">
        <v>26320</v>
      </c>
      <c r="U50" s="30">
        <v>0</v>
      </c>
      <c r="V50" s="30">
        <v>26320</v>
      </c>
      <c r="W50" s="31">
        <v>0</v>
      </c>
      <c r="X50" s="31">
        <v>0</v>
      </c>
      <c r="Y50" s="31">
        <v>0</v>
      </c>
      <c r="Z50" s="33">
        <v>26320</v>
      </c>
      <c r="AA50" s="33">
        <v>0</v>
      </c>
      <c r="AB50" s="33">
        <v>26320</v>
      </c>
      <c r="AC50" s="34">
        <v>0</v>
      </c>
      <c r="AD50" s="34">
        <v>0</v>
      </c>
      <c r="AE50" s="34">
        <v>0</v>
      </c>
      <c r="AF50" s="108">
        <f>SUM(K50:M50)+SUM(Q50:S50)+SUM(W50:Y50)+SUM(AC50:AE50)</f>
        <v>0</v>
      </c>
      <c r="AG50" s="140">
        <f>+AF50*MAX(U50,AA50)</f>
        <v>0</v>
      </c>
      <c r="AH50" s="28">
        <f>K50+Q50+W50+AC50</f>
        <v>0</v>
      </c>
      <c r="AI50" s="28">
        <f t="shared" si="0"/>
        <v>0</v>
      </c>
      <c r="AJ50" s="28">
        <f t="shared" si="0"/>
        <v>0</v>
      </c>
    </row>
    <row r="51" spans="1:36" x14ac:dyDescent="0.25">
      <c r="A51">
        <v>67</v>
      </c>
      <c r="B51" t="s">
        <v>39</v>
      </c>
      <c r="C51" s="20" t="s">
        <v>134</v>
      </c>
      <c r="D51" s="21" t="s">
        <v>175</v>
      </c>
      <c r="E51" s="14" t="s">
        <v>176</v>
      </c>
      <c r="F51" s="100" t="s">
        <v>236</v>
      </c>
      <c r="G51" s="100" t="s">
        <v>233</v>
      </c>
      <c r="H51" s="30">
        <v>12000</v>
      </c>
      <c r="I51" s="30">
        <v>12000</v>
      </c>
      <c r="J51" s="30">
        <v>0</v>
      </c>
      <c r="K51" s="31">
        <v>10</v>
      </c>
      <c r="L51" s="31">
        <v>10</v>
      </c>
      <c r="M51" s="31">
        <v>10</v>
      </c>
      <c r="N51" s="33">
        <v>0</v>
      </c>
      <c r="O51" s="33">
        <v>0</v>
      </c>
      <c r="P51" s="33">
        <v>0</v>
      </c>
      <c r="Q51" s="34">
        <v>0</v>
      </c>
      <c r="R51" s="34">
        <v>0</v>
      </c>
      <c r="S51" s="34">
        <v>0</v>
      </c>
      <c r="T51" s="30">
        <v>0</v>
      </c>
      <c r="U51" s="30">
        <v>0</v>
      </c>
      <c r="V51" s="30">
        <v>0</v>
      </c>
      <c r="W51" s="31">
        <v>0</v>
      </c>
      <c r="X51" s="31">
        <v>0</v>
      </c>
      <c r="Y51" s="31">
        <v>0</v>
      </c>
      <c r="Z51" s="33">
        <v>0</v>
      </c>
      <c r="AA51" s="33">
        <v>0</v>
      </c>
      <c r="AB51" s="33">
        <v>0</v>
      </c>
      <c r="AC51" s="34">
        <v>0</v>
      </c>
      <c r="AD51" s="34">
        <v>0</v>
      </c>
      <c r="AE51" s="34">
        <v>0</v>
      </c>
      <c r="AF51" s="108">
        <f>SUM(K51:M51)+SUM(Q51:S51)+SUM(W51:Y51)+SUM(AC51:AE51)</f>
        <v>30</v>
      </c>
      <c r="AG51" s="140">
        <f>+AF51*MAX(U51,AA51)</f>
        <v>0</v>
      </c>
      <c r="AH51" s="28">
        <f>K51+Q51+W51+AC51</f>
        <v>10</v>
      </c>
      <c r="AI51" s="28">
        <f t="shared" si="0"/>
        <v>10</v>
      </c>
      <c r="AJ51" s="28">
        <f t="shared" si="0"/>
        <v>10</v>
      </c>
    </row>
    <row r="52" spans="1:36" x14ac:dyDescent="0.25">
      <c r="A52">
        <v>56</v>
      </c>
      <c r="B52" t="s">
        <v>39</v>
      </c>
      <c r="C52" s="20" t="s">
        <v>134</v>
      </c>
      <c r="D52" s="21" t="s">
        <v>151</v>
      </c>
      <c r="E52" s="14" t="s">
        <v>152</v>
      </c>
      <c r="F52" s="100" t="s">
        <v>236</v>
      </c>
      <c r="G52" s="100" t="s">
        <v>233</v>
      </c>
      <c r="H52" s="30">
        <v>35000</v>
      </c>
      <c r="I52" s="30">
        <v>35000</v>
      </c>
      <c r="J52" s="30">
        <v>0</v>
      </c>
      <c r="K52" s="31">
        <v>0</v>
      </c>
      <c r="L52" s="31">
        <v>0</v>
      </c>
      <c r="M52" s="31">
        <v>0</v>
      </c>
      <c r="N52" s="33">
        <v>35000</v>
      </c>
      <c r="O52" s="33">
        <v>35000</v>
      </c>
      <c r="P52" s="33">
        <v>0</v>
      </c>
      <c r="Q52" s="34">
        <v>0</v>
      </c>
      <c r="R52" s="34">
        <v>0</v>
      </c>
      <c r="S52" s="34">
        <v>0</v>
      </c>
      <c r="T52" s="30">
        <v>35000</v>
      </c>
      <c r="U52" s="30">
        <v>35000</v>
      </c>
      <c r="V52" s="30">
        <v>0</v>
      </c>
      <c r="W52" s="31">
        <v>0</v>
      </c>
      <c r="X52" s="31">
        <v>0</v>
      </c>
      <c r="Y52" s="31">
        <v>0</v>
      </c>
      <c r="Z52" s="33">
        <v>35000</v>
      </c>
      <c r="AA52" s="33">
        <v>35000</v>
      </c>
      <c r="AB52" s="33">
        <v>0</v>
      </c>
      <c r="AC52" s="34">
        <v>0</v>
      </c>
      <c r="AD52" s="34">
        <v>0</v>
      </c>
      <c r="AE52" s="34">
        <v>0</v>
      </c>
      <c r="AF52" s="108">
        <f>SUM(K52:M52)+SUM(Q52:S52)+SUM(W52:Y52)+SUM(AC52:AE52)</f>
        <v>0</v>
      </c>
      <c r="AG52" s="140">
        <f>+AF52*MAX(U52,AA52)</f>
        <v>0</v>
      </c>
      <c r="AH52" s="28">
        <f>K52+Q52+W52+AC52</f>
        <v>0</v>
      </c>
      <c r="AI52" s="28">
        <f t="shared" si="0"/>
        <v>0</v>
      </c>
      <c r="AJ52" s="28">
        <f t="shared" si="0"/>
        <v>0</v>
      </c>
    </row>
    <row r="53" spans="1:36" x14ac:dyDescent="0.25">
      <c r="A53" s="54">
        <v>78</v>
      </c>
      <c r="B53" s="54" t="s">
        <v>39</v>
      </c>
      <c r="C53" s="20" t="s">
        <v>29</v>
      </c>
      <c r="D53" s="43" t="s">
        <v>198</v>
      </c>
      <c r="E53" s="14" t="s">
        <v>199</v>
      </c>
      <c r="F53" s="100" t="s">
        <v>236</v>
      </c>
      <c r="G53" s="100" t="s">
        <v>233</v>
      </c>
      <c r="H53" s="120"/>
      <c r="I53" s="120"/>
      <c r="J53" s="120"/>
      <c r="K53" s="121"/>
      <c r="L53" s="121"/>
      <c r="M53" s="121"/>
      <c r="N53" s="122">
        <v>0</v>
      </c>
      <c r="O53" s="122">
        <v>0</v>
      </c>
      <c r="P53" s="122">
        <v>0</v>
      </c>
      <c r="Q53" s="123">
        <v>0</v>
      </c>
      <c r="R53" s="123">
        <v>0</v>
      </c>
      <c r="S53" s="123">
        <v>0</v>
      </c>
      <c r="T53" s="120">
        <v>0</v>
      </c>
      <c r="U53" s="120">
        <v>0</v>
      </c>
      <c r="V53" s="120">
        <v>0</v>
      </c>
      <c r="W53" s="121">
        <v>0</v>
      </c>
      <c r="X53" s="121">
        <v>0</v>
      </c>
      <c r="Y53" s="121">
        <v>0</v>
      </c>
      <c r="Z53" s="122">
        <v>21428.571428571431</v>
      </c>
      <c r="AA53" s="122">
        <v>15000</v>
      </c>
      <c r="AB53" s="122">
        <v>6428.5714285714312</v>
      </c>
      <c r="AC53" s="123">
        <v>1</v>
      </c>
      <c r="AD53" s="123">
        <v>2</v>
      </c>
      <c r="AE53" s="123">
        <v>4</v>
      </c>
      <c r="AF53" s="137">
        <f>SUM(K53:M53)+SUM(Q53:S53)+SUM(W53:Y53)+SUM(AC53:AE53)</f>
        <v>7</v>
      </c>
      <c r="AG53" s="140">
        <f>+AF53*MAX(U53,AA53)</f>
        <v>105000</v>
      </c>
      <c r="AH53" s="28">
        <f>K53+Q53+W53+AC53</f>
        <v>1</v>
      </c>
      <c r="AI53" s="28">
        <f t="shared" si="0"/>
        <v>2</v>
      </c>
      <c r="AJ53" s="28">
        <f t="shared" si="0"/>
        <v>4</v>
      </c>
    </row>
    <row r="54" spans="1:36" ht="15.75" thickBot="1" x14ac:dyDescent="0.3">
      <c r="A54" s="54">
        <v>79</v>
      </c>
      <c r="B54" s="54" t="s">
        <v>39</v>
      </c>
      <c r="C54" s="20" t="s">
        <v>29</v>
      </c>
      <c r="D54" s="43" t="s">
        <v>200</v>
      </c>
      <c r="E54" s="14" t="s">
        <v>201</v>
      </c>
      <c r="F54" s="100" t="s">
        <v>236</v>
      </c>
      <c r="G54" s="100" t="s">
        <v>233</v>
      </c>
      <c r="H54" s="120"/>
      <c r="I54" s="120"/>
      <c r="J54" s="120"/>
      <c r="K54" s="121"/>
      <c r="L54" s="121"/>
      <c r="M54" s="121"/>
      <c r="N54" s="122">
        <v>0</v>
      </c>
      <c r="O54" s="122">
        <v>0</v>
      </c>
      <c r="P54" s="122">
        <v>0</v>
      </c>
      <c r="Q54" s="123">
        <v>0</v>
      </c>
      <c r="R54" s="123">
        <v>0</v>
      </c>
      <c r="S54" s="123">
        <v>0</v>
      </c>
      <c r="T54" s="120">
        <v>0</v>
      </c>
      <c r="U54" s="120">
        <v>0</v>
      </c>
      <c r="V54" s="120">
        <v>0</v>
      </c>
      <c r="W54" s="121">
        <v>0</v>
      </c>
      <c r="X54" s="121">
        <v>0</v>
      </c>
      <c r="Y54" s="121">
        <v>0</v>
      </c>
      <c r="Z54" s="122">
        <v>21428.571428571431</v>
      </c>
      <c r="AA54" s="122">
        <v>15000</v>
      </c>
      <c r="AB54" s="122">
        <v>6428.5714285714312</v>
      </c>
      <c r="AC54" s="123">
        <v>1</v>
      </c>
      <c r="AD54" s="123">
        <v>1</v>
      </c>
      <c r="AE54" s="123">
        <v>1</v>
      </c>
      <c r="AF54" s="137">
        <f>SUM(K54:M54)+SUM(Q54:S54)+SUM(W54:Y54)+SUM(AC54:AE54)</f>
        <v>3</v>
      </c>
      <c r="AG54" s="140">
        <f>+AF54*MAX(U54,AA54)</f>
        <v>45000</v>
      </c>
      <c r="AH54" s="28">
        <f>K54+Q54+W54+AC54</f>
        <v>1</v>
      </c>
      <c r="AI54" s="28">
        <f t="shared" si="0"/>
        <v>1</v>
      </c>
      <c r="AJ54" s="28">
        <f t="shared" si="0"/>
        <v>1</v>
      </c>
    </row>
    <row r="55" spans="1:36" x14ac:dyDescent="0.25">
      <c r="A55" s="109">
        <v>10</v>
      </c>
      <c r="B55" s="110" t="s">
        <v>39</v>
      </c>
      <c r="C55" s="141" t="s">
        <v>30</v>
      </c>
      <c r="D55" s="141" t="s">
        <v>59</v>
      </c>
      <c r="E55" s="112" t="s">
        <v>60</v>
      </c>
      <c r="F55" s="113" t="s">
        <v>237</v>
      </c>
      <c r="G55" s="113" t="s">
        <v>233</v>
      </c>
      <c r="H55" s="114">
        <v>12724</v>
      </c>
      <c r="I55" s="114">
        <v>4000</v>
      </c>
      <c r="J55" s="114">
        <v>8724</v>
      </c>
      <c r="K55" s="115">
        <v>35</v>
      </c>
      <c r="L55" s="115">
        <v>30</v>
      </c>
      <c r="M55" s="115">
        <v>25</v>
      </c>
      <c r="N55" s="116">
        <v>12724</v>
      </c>
      <c r="O55" s="116">
        <v>4000</v>
      </c>
      <c r="P55" s="116">
        <v>8724</v>
      </c>
      <c r="Q55" s="117">
        <v>3</v>
      </c>
      <c r="R55" s="117">
        <v>3</v>
      </c>
      <c r="S55" s="117">
        <v>3</v>
      </c>
      <c r="T55" s="114">
        <v>12724</v>
      </c>
      <c r="U55" s="114">
        <v>4000</v>
      </c>
      <c r="V55" s="114">
        <v>8724</v>
      </c>
      <c r="W55" s="115">
        <v>227</v>
      </c>
      <c r="X55" s="115">
        <v>280</v>
      </c>
      <c r="Y55" s="115">
        <v>343</v>
      </c>
      <c r="Z55" s="116">
        <v>12724</v>
      </c>
      <c r="AA55" s="116">
        <v>4000</v>
      </c>
      <c r="AB55" s="116">
        <v>8724</v>
      </c>
      <c r="AC55" s="117">
        <v>106</v>
      </c>
      <c r="AD55" s="117">
        <v>212</v>
      </c>
      <c r="AE55" s="117">
        <v>424</v>
      </c>
      <c r="AF55" s="118">
        <f>SUM(K55:M55)+SUM(Q55:S55)+SUM(W55:Y55)+SUM(AC55:AE55)</f>
        <v>1691</v>
      </c>
      <c r="AG55" s="140">
        <f>+AF55*MAX(U55,AA55)</f>
        <v>6764000</v>
      </c>
    </row>
    <row r="56" spans="1:36" x14ac:dyDescent="0.25">
      <c r="A56" s="119">
        <v>14</v>
      </c>
      <c r="B56" t="s">
        <v>39</v>
      </c>
      <c r="C56" s="21" t="s">
        <v>30</v>
      </c>
      <c r="D56" s="21" t="s">
        <v>67</v>
      </c>
      <c r="E56" s="14" t="s">
        <v>68</v>
      </c>
      <c r="F56" s="100" t="s">
        <v>237</v>
      </c>
      <c r="G56" s="100" t="s">
        <v>233</v>
      </c>
      <c r="H56" s="30">
        <v>11475</v>
      </c>
      <c r="I56" s="30">
        <v>4000</v>
      </c>
      <c r="J56" s="30">
        <v>7475</v>
      </c>
      <c r="K56" s="31">
        <v>60</v>
      </c>
      <c r="L56" s="31">
        <v>40</v>
      </c>
      <c r="M56" s="31">
        <v>20</v>
      </c>
      <c r="N56" s="33">
        <v>11475</v>
      </c>
      <c r="O56" s="33">
        <v>3250</v>
      </c>
      <c r="P56" s="33">
        <v>8225</v>
      </c>
      <c r="Q56" s="34">
        <v>8</v>
      </c>
      <c r="R56" s="34">
        <v>8</v>
      </c>
      <c r="S56" s="34">
        <v>8</v>
      </c>
      <c r="T56" s="30">
        <v>11475</v>
      </c>
      <c r="U56" s="30">
        <v>4000</v>
      </c>
      <c r="V56" s="30">
        <v>7475</v>
      </c>
      <c r="W56" s="31">
        <v>400</v>
      </c>
      <c r="X56" s="31">
        <v>660</v>
      </c>
      <c r="Y56" s="31">
        <v>935</v>
      </c>
      <c r="Z56" s="33">
        <v>11475</v>
      </c>
      <c r="AA56" s="33">
        <v>4000</v>
      </c>
      <c r="AB56" s="33">
        <v>7475</v>
      </c>
      <c r="AC56" s="34">
        <v>147</v>
      </c>
      <c r="AD56" s="34">
        <v>294</v>
      </c>
      <c r="AE56" s="34">
        <v>588</v>
      </c>
      <c r="AF56" s="124">
        <f>SUM(K56:M56)+SUM(Q56:S56)+SUM(W56:Y56)+SUM(AC56:AE56)</f>
        <v>3168</v>
      </c>
      <c r="AG56" s="140">
        <f>+AF56*MAX(U56,AA56)</f>
        <v>12672000</v>
      </c>
    </row>
    <row r="57" spans="1:36" x14ac:dyDescent="0.25">
      <c r="A57" s="119">
        <v>27</v>
      </c>
      <c r="B57" t="s">
        <v>39</v>
      </c>
      <c r="C57" s="21" t="s">
        <v>30</v>
      </c>
      <c r="D57" s="21" t="s">
        <v>93</v>
      </c>
      <c r="E57" s="14" t="s">
        <v>94</v>
      </c>
      <c r="F57" s="100" t="s">
        <v>237</v>
      </c>
      <c r="G57" s="100" t="s">
        <v>233</v>
      </c>
      <c r="H57" s="30">
        <v>12388</v>
      </c>
      <c r="I57" s="30">
        <v>16000</v>
      </c>
      <c r="J57" s="30">
        <v>-3612</v>
      </c>
      <c r="K57" s="31">
        <v>4</v>
      </c>
      <c r="L57" s="31">
        <v>4</v>
      </c>
      <c r="M57" s="31">
        <v>4</v>
      </c>
      <c r="N57" s="33">
        <v>12388</v>
      </c>
      <c r="O57" s="33">
        <v>0</v>
      </c>
      <c r="P57" s="33">
        <v>12388</v>
      </c>
      <c r="Q57" s="34">
        <v>0</v>
      </c>
      <c r="R57" s="34">
        <v>0</v>
      </c>
      <c r="S57" s="34">
        <v>0</v>
      </c>
      <c r="T57" s="30">
        <v>12388</v>
      </c>
      <c r="U57" s="30">
        <v>8000</v>
      </c>
      <c r="V57" s="30">
        <v>4388</v>
      </c>
      <c r="W57" s="31">
        <v>10</v>
      </c>
      <c r="X57" s="31">
        <v>20</v>
      </c>
      <c r="Y57" s="31">
        <v>40</v>
      </c>
      <c r="Z57" s="33">
        <v>12388</v>
      </c>
      <c r="AA57" s="33">
        <v>0</v>
      </c>
      <c r="AB57" s="33">
        <v>12388</v>
      </c>
      <c r="AC57" s="34">
        <v>0</v>
      </c>
      <c r="AD57" s="34">
        <v>0</v>
      </c>
      <c r="AE57" s="34">
        <v>0</v>
      </c>
      <c r="AF57" s="124">
        <f>SUM(K57:M57)+SUM(Q57:S57)+SUM(W57:Y57)+SUM(AC57:AE57)</f>
        <v>82</v>
      </c>
      <c r="AG57" s="140">
        <f>+AF57*MAX(U57,AA57)</f>
        <v>656000</v>
      </c>
    </row>
    <row r="58" spans="1:36" x14ac:dyDescent="0.25">
      <c r="A58" s="119">
        <v>31</v>
      </c>
      <c r="B58" t="s">
        <v>39</v>
      </c>
      <c r="C58" s="21" t="s">
        <v>30</v>
      </c>
      <c r="D58" s="21" t="s">
        <v>101</v>
      </c>
      <c r="E58" s="14" t="s">
        <v>102</v>
      </c>
      <c r="F58" s="100" t="s">
        <v>237</v>
      </c>
      <c r="G58" s="100" t="s">
        <v>233</v>
      </c>
      <c r="H58" s="30">
        <v>11746</v>
      </c>
      <c r="I58" s="30">
        <v>16000</v>
      </c>
      <c r="J58" s="30">
        <v>-4254</v>
      </c>
      <c r="K58" s="31">
        <v>9</v>
      </c>
      <c r="L58" s="31">
        <v>6</v>
      </c>
      <c r="M58" s="31">
        <v>3</v>
      </c>
      <c r="N58" s="33">
        <v>11746</v>
      </c>
      <c r="O58" s="33">
        <v>8000</v>
      </c>
      <c r="P58" s="33">
        <v>3746</v>
      </c>
      <c r="Q58" s="34">
        <v>1</v>
      </c>
      <c r="R58" s="34">
        <v>3</v>
      </c>
      <c r="S58" s="34">
        <v>5</v>
      </c>
      <c r="T58" s="30">
        <v>11746</v>
      </c>
      <c r="U58" s="30">
        <v>8000</v>
      </c>
      <c r="V58" s="30">
        <v>3746</v>
      </c>
      <c r="W58" s="31">
        <v>10</v>
      </c>
      <c r="X58" s="31">
        <v>15</v>
      </c>
      <c r="Y58" s="31">
        <v>40</v>
      </c>
      <c r="Z58" s="33">
        <v>11746</v>
      </c>
      <c r="AA58" s="33">
        <v>0</v>
      </c>
      <c r="AB58" s="33">
        <v>11746</v>
      </c>
      <c r="AC58" s="34">
        <v>0</v>
      </c>
      <c r="AD58" s="34">
        <v>0</v>
      </c>
      <c r="AE58" s="34">
        <v>0</v>
      </c>
      <c r="AF58" s="124">
        <f>SUM(K58:M58)+SUM(Q58:S58)+SUM(W58:Y58)+SUM(AC58:AE58)</f>
        <v>92</v>
      </c>
      <c r="AG58" s="140">
        <f>+AF58*MAX(U58,AA58)</f>
        <v>736000</v>
      </c>
    </row>
    <row r="59" spans="1:36" x14ac:dyDescent="0.25">
      <c r="A59" s="119">
        <v>50</v>
      </c>
      <c r="B59" t="s">
        <v>39</v>
      </c>
      <c r="C59" s="20" t="s">
        <v>134</v>
      </c>
      <c r="D59" s="21" t="s">
        <v>139</v>
      </c>
      <c r="E59" s="14" t="s">
        <v>140</v>
      </c>
      <c r="F59" s="100" t="s">
        <v>237</v>
      </c>
      <c r="G59" s="100" t="s">
        <v>233</v>
      </c>
      <c r="H59" s="30">
        <v>13000</v>
      </c>
      <c r="I59" s="30">
        <v>13000</v>
      </c>
      <c r="J59" s="30">
        <v>0</v>
      </c>
      <c r="K59" s="31">
        <v>0</v>
      </c>
      <c r="L59" s="31">
        <v>0</v>
      </c>
      <c r="M59" s="31">
        <v>0</v>
      </c>
      <c r="N59" s="33">
        <v>13000</v>
      </c>
      <c r="O59" s="33">
        <v>13000</v>
      </c>
      <c r="P59" s="33">
        <v>0</v>
      </c>
      <c r="Q59" s="34">
        <v>0</v>
      </c>
      <c r="R59" s="34">
        <v>0</v>
      </c>
      <c r="S59" s="34">
        <v>0</v>
      </c>
      <c r="T59" s="30">
        <v>13000</v>
      </c>
      <c r="U59" s="30">
        <v>13000</v>
      </c>
      <c r="V59" s="30">
        <v>0</v>
      </c>
      <c r="W59" s="31">
        <v>50</v>
      </c>
      <c r="X59" s="31">
        <v>64</v>
      </c>
      <c r="Y59" s="31">
        <v>84</v>
      </c>
      <c r="Z59" s="33">
        <v>13000</v>
      </c>
      <c r="AA59" s="33">
        <v>13000</v>
      </c>
      <c r="AB59" s="33">
        <v>0</v>
      </c>
      <c r="AC59" s="34">
        <v>3.2</v>
      </c>
      <c r="AD59" s="34">
        <v>3.3600000000000003</v>
      </c>
      <c r="AE59" s="34">
        <v>3.5952000000000006</v>
      </c>
      <c r="AF59" s="124">
        <f>SUM(K59:M59)+SUM(Q59:S59)+SUM(W59:Y59)+SUM(AC59:AE59)</f>
        <v>208.15520000000001</v>
      </c>
      <c r="AG59" s="140">
        <f>+AF59*MAX(U59,AA59)</f>
        <v>2706017.6</v>
      </c>
    </row>
    <row r="60" spans="1:36" x14ac:dyDescent="0.25">
      <c r="A60" s="119">
        <v>54</v>
      </c>
      <c r="B60" t="s">
        <v>39</v>
      </c>
      <c r="C60" s="20" t="s">
        <v>134</v>
      </c>
      <c r="D60" s="21" t="s">
        <v>147</v>
      </c>
      <c r="E60" s="14" t="s">
        <v>148</v>
      </c>
      <c r="F60" s="100" t="s">
        <v>237</v>
      </c>
      <c r="G60" s="100" t="s">
        <v>233</v>
      </c>
      <c r="H60" s="30">
        <v>18000</v>
      </c>
      <c r="I60" s="30">
        <v>18000</v>
      </c>
      <c r="J60" s="30">
        <v>0</v>
      </c>
      <c r="K60" s="31">
        <v>5</v>
      </c>
      <c r="L60" s="31">
        <v>5</v>
      </c>
      <c r="M60" s="31">
        <v>5</v>
      </c>
      <c r="N60" s="33">
        <v>18000</v>
      </c>
      <c r="O60" s="33">
        <v>18000</v>
      </c>
      <c r="P60" s="33">
        <v>0</v>
      </c>
      <c r="Q60" s="34">
        <v>0</v>
      </c>
      <c r="R60" s="34">
        <v>0</v>
      </c>
      <c r="S60" s="34">
        <v>0</v>
      </c>
      <c r="T60" s="30">
        <v>18000</v>
      </c>
      <c r="U60" s="30">
        <v>18000</v>
      </c>
      <c r="V60" s="30">
        <v>0</v>
      </c>
      <c r="W60" s="31">
        <v>50</v>
      </c>
      <c r="X60" s="31">
        <v>64</v>
      </c>
      <c r="Y60" s="31">
        <v>84</v>
      </c>
      <c r="Z60" s="33">
        <v>18000</v>
      </c>
      <c r="AA60" s="33">
        <v>18000</v>
      </c>
      <c r="AB60" s="33">
        <v>0</v>
      </c>
      <c r="AC60" s="34">
        <v>0</v>
      </c>
      <c r="AD60" s="34">
        <v>0</v>
      </c>
      <c r="AE60" s="34">
        <v>0</v>
      </c>
      <c r="AF60" s="124">
        <f>SUM(K60:M60)+SUM(Q60:S60)+SUM(W60:Y60)+SUM(AC60:AE60)</f>
        <v>213</v>
      </c>
      <c r="AG60" s="140">
        <f>+AF60*MAX(U60,AA60)</f>
        <v>3834000</v>
      </c>
    </row>
    <row r="61" spans="1:36" x14ac:dyDescent="0.25">
      <c r="A61" s="119">
        <v>52</v>
      </c>
      <c r="B61" t="s">
        <v>39</v>
      </c>
      <c r="C61" s="20" t="s">
        <v>134</v>
      </c>
      <c r="D61" s="21" t="s">
        <v>143</v>
      </c>
      <c r="E61" s="14" t="s">
        <v>144</v>
      </c>
      <c r="F61" s="100" t="s">
        <v>237</v>
      </c>
      <c r="G61" s="100" t="s">
        <v>233</v>
      </c>
      <c r="H61" s="30">
        <v>30000</v>
      </c>
      <c r="I61" s="30">
        <v>30000</v>
      </c>
      <c r="J61" s="30">
        <v>0</v>
      </c>
      <c r="K61" s="31">
        <v>6</v>
      </c>
      <c r="L61" s="31">
        <v>7</v>
      </c>
      <c r="M61" s="31">
        <v>9</v>
      </c>
      <c r="N61" s="33">
        <v>30000</v>
      </c>
      <c r="O61" s="33">
        <v>30000</v>
      </c>
      <c r="P61" s="33">
        <v>0</v>
      </c>
      <c r="Q61" s="34">
        <v>0</v>
      </c>
      <c r="R61" s="34">
        <v>0</v>
      </c>
      <c r="S61" s="34">
        <v>0</v>
      </c>
      <c r="T61" s="30">
        <v>30000</v>
      </c>
      <c r="U61" s="30">
        <v>30000</v>
      </c>
      <c r="V61" s="30">
        <v>0</v>
      </c>
      <c r="W61" s="31">
        <v>50</v>
      </c>
      <c r="X61" s="31">
        <v>64</v>
      </c>
      <c r="Y61" s="31">
        <v>84</v>
      </c>
      <c r="Z61" s="33">
        <v>30000</v>
      </c>
      <c r="AA61" s="33">
        <v>30000</v>
      </c>
      <c r="AB61" s="33">
        <v>0</v>
      </c>
      <c r="AC61" s="34">
        <v>7</v>
      </c>
      <c r="AD61" s="34">
        <v>7.3500000000000005</v>
      </c>
      <c r="AE61" s="34">
        <v>7.8645000000000014</v>
      </c>
      <c r="AF61" s="124">
        <f>SUM(K61:M61)+SUM(Q61:S61)+SUM(W61:Y61)+SUM(AC61:AE61)</f>
        <v>242.21449999999999</v>
      </c>
      <c r="AG61" s="140">
        <f>+AF61*MAX(U61,AA61)</f>
        <v>7266435</v>
      </c>
    </row>
    <row r="62" spans="1:36" x14ac:dyDescent="0.25">
      <c r="A62" s="119">
        <v>74</v>
      </c>
      <c r="B62" s="54" t="s">
        <v>39</v>
      </c>
      <c r="C62" s="20" t="s">
        <v>29</v>
      </c>
      <c r="D62" s="43" t="s">
        <v>190</v>
      </c>
      <c r="E62" s="14" t="s">
        <v>191</v>
      </c>
      <c r="F62" s="100" t="s">
        <v>237</v>
      </c>
      <c r="G62" s="100" t="s">
        <v>233</v>
      </c>
      <c r="H62" s="120">
        <v>10530</v>
      </c>
      <c r="I62" s="120">
        <v>7000</v>
      </c>
      <c r="J62" s="120">
        <v>3530</v>
      </c>
      <c r="K62" s="121">
        <v>4</v>
      </c>
      <c r="L62" s="121">
        <v>6</v>
      </c>
      <c r="M62" s="121">
        <v>8</v>
      </c>
      <c r="N62" s="122">
        <v>0</v>
      </c>
      <c r="O62" s="122">
        <v>0</v>
      </c>
      <c r="P62" s="122">
        <v>0</v>
      </c>
      <c r="Q62" s="123">
        <v>0</v>
      </c>
      <c r="R62" s="123">
        <v>0</v>
      </c>
      <c r="S62" s="123">
        <v>0</v>
      </c>
      <c r="T62" s="120">
        <v>23500</v>
      </c>
      <c r="U62" s="120">
        <v>16450</v>
      </c>
      <c r="V62" s="120">
        <v>7050</v>
      </c>
      <c r="W62" s="121">
        <v>41</v>
      </c>
      <c r="X62" s="121">
        <v>96</v>
      </c>
      <c r="Y62" s="121">
        <v>137</v>
      </c>
      <c r="Z62" s="122">
        <v>17142.857142857145</v>
      </c>
      <c r="AA62" s="122">
        <v>12000</v>
      </c>
      <c r="AB62" s="122">
        <v>5142.8571428571449</v>
      </c>
      <c r="AC62" s="123">
        <v>5</v>
      </c>
      <c r="AD62" s="123">
        <v>10</v>
      </c>
      <c r="AE62" s="123">
        <v>15</v>
      </c>
      <c r="AF62" s="124">
        <f>SUM(K62:M62)+SUM(Q62:S62)+SUM(W62:Y62)+SUM(AC62:AE62)</f>
        <v>322</v>
      </c>
      <c r="AG62" s="140">
        <f>+AF62*MAX(U62,AA62)</f>
        <v>5296900</v>
      </c>
    </row>
    <row r="63" spans="1:36" x14ac:dyDescent="0.25">
      <c r="A63" s="119">
        <v>75</v>
      </c>
      <c r="B63" s="54" t="s">
        <v>39</v>
      </c>
      <c r="C63" s="20" t="s">
        <v>29</v>
      </c>
      <c r="D63" s="43" t="s">
        <v>192</v>
      </c>
      <c r="E63" s="14" t="s">
        <v>193</v>
      </c>
      <c r="F63" s="100" t="s">
        <v>237</v>
      </c>
      <c r="G63" s="100" t="s">
        <v>233</v>
      </c>
      <c r="H63" s="120">
        <v>43740</v>
      </c>
      <c r="I63" s="120">
        <v>35000</v>
      </c>
      <c r="J63" s="120">
        <v>8740</v>
      </c>
      <c r="K63" s="121">
        <v>12</v>
      </c>
      <c r="L63" s="121">
        <v>14</v>
      </c>
      <c r="M63" s="121">
        <v>15</v>
      </c>
      <c r="N63" s="122">
        <v>0</v>
      </c>
      <c r="O63" s="122">
        <v>0</v>
      </c>
      <c r="P63" s="122">
        <v>0</v>
      </c>
      <c r="Q63" s="123">
        <v>0</v>
      </c>
      <c r="R63" s="123">
        <v>0</v>
      </c>
      <c r="S63" s="123">
        <v>0</v>
      </c>
      <c r="T63" s="120">
        <v>23500</v>
      </c>
      <c r="U63" s="120">
        <v>16450</v>
      </c>
      <c r="V63" s="120">
        <v>7050</v>
      </c>
      <c r="W63" s="121">
        <v>41</v>
      </c>
      <c r="X63" s="121">
        <v>96</v>
      </c>
      <c r="Y63" s="121">
        <v>137</v>
      </c>
      <c r="Z63" s="122">
        <v>17142.857142857145</v>
      </c>
      <c r="AA63" s="122">
        <v>12000</v>
      </c>
      <c r="AB63" s="122">
        <v>5142.8571428571449</v>
      </c>
      <c r="AC63" s="123">
        <v>5</v>
      </c>
      <c r="AD63" s="123">
        <v>10</v>
      </c>
      <c r="AE63" s="123">
        <v>15</v>
      </c>
      <c r="AF63" s="124">
        <f>SUM(K63:M63)+SUM(Q63:S63)+SUM(W63:Y63)+SUM(AC63:AE63)</f>
        <v>345</v>
      </c>
      <c r="AG63" s="140">
        <f>+AF63*MAX(U63,AA63)</f>
        <v>5675250</v>
      </c>
    </row>
    <row r="64" spans="1:36" x14ac:dyDescent="0.25">
      <c r="A64" s="119">
        <v>46</v>
      </c>
      <c r="B64" t="s">
        <v>39</v>
      </c>
      <c r="C64" s="21" t="s">
        <v>30</v>
      </c>
      <c r="D64" s="21" t="s">
        <v>132</v>
      </c>
      <c r="E64" s="14" t="s">
        <v>133</v>
      </c>
      <c r="F64" s="100" t="s">
        <v>240</v>
      </c>
      <c r="G64" s="100" t="s">
        <v>233</v>
      </c>
      <c r="H64" s="30">
        <v>855</v>
      </c>
      <c r="I64" s="30">
        <v>200</v>
      </c>
      <c r="J64" s="30">
        <v>655</v>
      </c>
      <c r="K64" s="31">
        <v>15</v>
      </c>
      <c r="L64" s="31">
        <v>17</v>
      </c>
      <c r="M64" s="31">
        <v>20</v>
      </c>
      <c r="N64" s="33">
        <v>855</v>
      </c>
      <c r="O64" s="33">
        <v>200</v>
      </c>
      <c r="P64" s="33">
        <v>655</v>
      </c>
      <c r="Q64" s="34">
        <v>1</v>
      </c>
      <c r="R64" s="34">
        <v>1</v>
      </c>
      <c r="S64" s="34">
        <v>1</v>
      </c>
      <c r="T64" s="30">
        <v>855</v>
      </c>
      <c r="U64" s="30">
        <v>200</v>
      </c>
      <c r="V64" s="30">
        <v>655</v>
      </c>
      <c r="W64" s="31">
        <v>100</v>
      </c>
      <c r="X64" s="31">
        <v>200</v>
      </c>
      <c r="Y64" s="31">
        <v>300</v>
      </c>
      <c r="Z64" s="33">
        <v>855</v>
      </c>
      <c r="AA64" s="33">
        <v>200</v>
      </c>
      <c r="AB64" s="33">
        <v>655</v>
      </c>
      <c r="AC64" s="34">
        <v>20</v>
      </c>
      <c r="AD64" s="34">
        <v>40</v>
      </c>
      <c r="AE64" s="34">
        <v>100</v>
      </c>
      <c r="AF64" s="124">
        <f>SUM(K64:M64)+SUM(Q64:S64)+SUM(W64:Y64)+SUM(AC64:AE64)</f>
        <v>815</v>
      </c>
      <c r="AG64" s="140">
        <f>+AF64*MAX(U64,AA64)</f>
        <v>163000</v>
      </c>
    </row>
    <row r="65" spans="1:33" x14ac:dyDescent="0.25">
      <c r="A65" s="119">
        <v>60</v>
      </c>
      <c r="B65" t="s">
        <v>39</v>
      </c>
      <c r="C65" s="20" t="s">
        <v>134</v>
      </c>
      <c r="D65" s="21" t="s">
        <v>159</v>
      </c>
      <c r="E65" s="14" t="s">
        <v>160</v>
      </c>
      <c r="F65" s="100" t="s">
        <v>240</v>
      </c>
      <c r="G65" s="100" t="s">
        <v>233</v>
      </c>
      <c r="H65" s="30">
        <v>6000</v>
      </c>
      <c r="I65" s="30">
        <v>6000</v>
      </c>
      <c r="J65" s="30">
        <v>0</v>
      </c>
      <c r="K65" s="31">
        <v>7</v>
      </c>
      <c r="L65" s="31">
        <v>10</v>
      </c>
      <c r="M65" s="31">
        <v>11</v>
      </c>
      <c r="N65" s="33">
        <v>0</v>
      </c>
      <c r="O65" s="33">
        <v>0</v>
      </c>
      <c r="P65" s="33">
        <v>0</v>
      </c>
      <c r="Q65" s="34">
        <v>0</v>
      </c>
      <c r="R65" s="34">
        <v>0</v>
      </c>
      <c r="S65" s="34">
        <v>0</v>
      </c>
      <c r="T65" s="30">
        <v>5000</v>
      </c>
      <c r="U65" s="30">
        <v>5000</v>
      </c>
      <c r="V65" s="30">
        <v>0</v>
      </c>
      <c r="W65" s="31">
        <v>88</v>
      </c>
      <c r="X65" s="31">
        <v>94</v>
      </c>
      <c r="Y65" s="31">
        <v>94</v>
      </c>
      <c r="Z65" s="33">
        <v>2700</v>
      </c>
      <c r="AA65" s="33">
        <v>2700</v>
      </c>
      <c r="AB65" s="33">
        <v>0</v>
      </c>
      <c r="AC65" s="34">
        <v>20</v>
      </c>
      <c r="AD65" s="34">
        <v>20</v>
      </c>
      <c r="AE65" s="34">
        <v>20</v>
      </c>
      <c r="AF65" s="124">
        <f>SUM(K65:M65)+SUM(Q65:S65)+SUM(W65:Y65)+SUM(AC65:AE65)</f>
        <v>364</v>
      </c>
      <c r="AG65" s="140">
        <f>+AF65*MAX(U65,AA65)</f>
        <v>1820000</v>
      </c>
    </row>
    <row r="66" spans="1:33" ht="15.75" thickBot="1" x14ac:dyDescent="0.3">
      <c r="A66" s="125">
        <v>64</v>
      </c>
      <c r="B66" s="126" t="s">
        <v>39</v>
      </c>
      <c r="C66" s="127" t="s">
        <v>134</v>
      </c>
      <c r="D66" s="142" t="s">
        <v>169</v>
      </c>
      <c r="E66" s="129" t="s">
        <v>170</v>
      </c>
      <c r="F66" s="130" t="s">
        <v>240</v>
      </c>
      <c r="G66" s="130" t="s">
        <v>233</v>
      </c>
      <c r="H66" s="131">
        <v>0</v>
      </c>
      <c r="I66" s="131">
        <v>0</v>
      </c>
      <c r="J66" s="131">
        <v>0</v>
      </c>
      <c r="K66" s="132"/>
      <c r="L66" s="132"/>
      <c r="M66" s="132"/>
      <c r="N66" s="133">
        <v>0</v>
      </c>
      <c r="O66" s="133">
        <v>0</v>
      </c>
      <c r="P66" s="133">
        <v>0</v>
      </c>
      <c r="Q66" s="134">
        <v>0</v>
      </c>
      <c r="R66" s="134">
        <v>0</v>
      </c>
      <c r="S66" s="134">
        <v>0</v>
      </c>
      <c r="T66" s="131">
        <v>5000</v>
      </c>
      <c r="U66" s="131">
        <v>5000</v>
      </c>
      <c r="V66" s="131">
        <v>0</v>
      </c>
      <c r="W66" s="132">
        <v>10</v>
      </c>
      <c r="X66" s="132">
        <v>10</v>
      </c>
      <c r="Y66" s="132">
        <v>10</v>
      </c>
      <c r="Z66" s="133">
        <v>0</v>
      </c>
      <c r="AA66" s="133">
        <v>0</v>
      </c>
      <c r="AB66" s="133">
        <v>0</v>
      </c>
      <c r="AC66" s="134">
        <v>0</v>
      </c>
      <c r="AD66" s="134">
        <v>0</v>
      </c>
      <c r="AE66" s="134">
        <v>0</v>
      </c>
      <c r="AF66" s="135">
        <f>SUM(K66:M66)+SUM(Q66:S66)+SUM(W66:Y66)+SUM(AC66:AE66)</f>
        <v>30</v>
      </c>
      <c r="AG66" s="140">
        <f>+AF66*MAX(U66,AA66)</f>
        <v>150000</v>
      </c>
    </row>
    <row r="67" spans="1:33" x14ac:dyDescent="0.25">
      <c r="B67" t="s">
        <v>230</v>
      </c>
    </row>
  </sheetData>
  <sortState xmlns:xlrd2="http://schemas.microsoft.com/office/spreadsheetml/2017/richdata2" ref="A3:AG66">
    <sortCondition ref="G3:G66"/>
    <sortCondition ref="F3:F66"/>
    <sortCondition ref="C3:C66"/>
  </sortState>
  <mergeCells count="3">
    <mergeCell ref="H1:M1"/>
    <mergeCell ref="N1:S1"/>
    <mergeCell ref="T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6ACF-5C3D-4799-B0F7-60C4F1C342E9}">
  <dimension ref="A1:AF19"/>
  <sheetViews>
    <sheetView workbookViewId="0">
      <selection activeCell="AF12" sqref="AF12"/>
    </sheetView>
  </sheetViews>
  <sheetFormatPr defaultRowHeight="15" x14ac:dyDescent="0.25"/>
  <cols>
    <col min="3" max="3" width="36.85546875" bestFit="1" customWidth="1"/>
    <col min="4" max="4" width="62.42578125" bestFit="1" customWidth="1"/>
  </cols>
  <sheetData>
    <row r="1" spans="1:32" ht="90" x14ac:dyDescent="0.25">
      <c r="A1" s="35" t="s">
        <v>231</v>
      </c>
      <c r="B1" s="35"/>
      <c r="C1" s="36"/>
      <c r="D1" s="36"/>
      <c r="E1" s="36"/>
      <c r="F1" s="36" t="s">
        <v>235</v>
      </c>
      <c r="G1" s="36" t="s">
        <v>238</v>
      </c>
      <c r="H1" s="39" t="s">
        <v>14</v>
      </c>
      <c r="I1" s="39" t="s">
        <v>15</v>
      </c>
      <c r="J1" s="39" t="s">
        <v>16</v>
      </c>
      <c r="K1" s="37">
        <v>2022</v>
      </c>
      <c r="L1" s="37">
        <v>2023</v>
      </c>
      <c r="M1" s="37">
        <v>2024</v>
      </c>
      <c r="N1" s="40" t="s">
        <v>14</v>
      </c>
      <c r="O1" s="40" t="s">
        <v>15</v>
      </c>
      <c r="P1" s="40" t="s">
        <v>16</v>
      </c>
      <c r="Q1" s="41">
        <v>2022</v>
      </c>
      <c r="R1" s="41">
        <v>2023</v>
      </c>
      <c r="S1" s="41">
        <v>2024</v>
      </c>
      <c r="T1" s="30" t="s">
        <v>14</v>
      </c>
      <c r="U1" s="30" t="s">
        <v>15</v>
      </c>
      <c r="V1" s="30" t="s">
        <v>16</v>
      </c>
      <c r="W1" s="2">
        <v>2022</v>
      </c>
      <c r="X1" s="2">
        <v>2023</v>
      </c>
      <c r="Y1" s="2">
        <v>2024</v>
      </c>
      <c r="Z1" s="33" t="s">
        <v>14</v>
      </c>
      <c r="AA1" s="33" t="s">
        <v>15</v>
      </c>
      <c r="AB1" s="33" t="s">
        <v>16</v>
      </c>
      <c r="AC1" s="41">
        <v>2022</v>
      </c>
      <c r="AD1" s="41">
        <v>2023</v>
      </c>
      <c r="AE1" s="41">
        <v>2024</v>
      </c>
      <c r="AF1" s="99" t="s">
        <v>242</v>
      </c>
    </row>
    <row r="2" spans="1:32" x14ac:dyDescent="0.25">
      <c r="A2">
        <v>4</v>
      </c>
      <c r="B2" t="s">
        <v>39</v>
      </c>
      <c r="C2" s="20" t="s">
        <v>30</v>
      </c>
      <c r="D2" s="21" t="s">
        <v>47</v>
      </c>
      <c r="E2" s="14" t="s">
        <v>48</v>
      </c>
      <c r="F2" s="100" t="s">
        <v>234</v>
      </c>
      <c r="G2" s="100" t="s">
        <v>239</v>
      </c>
      <c r="H2" s="30">
        <v>2089</v>
      </c>
      <c r="I2" s="30">
        <v>250</v>
      </c>
      <c r="J2" s="30">
        <v>1839</v>
      </c>
      <c r="K2" s="31">
        <v>185</v>
      </c>
      <c r="L2" s="31">
        <v>193</v>
      </c>
      <c r="M2" s="31">
        <v>209</v>
      </c>
      <c r="N2" s="33">
        <v>2088.5571047782678</v>
      </c>
      <c r="O2" s="33">
        <v>1000</v>
      </c>
      <c r="P2" s="33">
        <v>1088.5571047782678</v>
      </c>
      <c r="Q2" s="34">
        <v>8</v>
      </c>
      <c r="R2" s="34">
        <v>8</v>
      </c>
      <c r="S2" s="34">
        <v>8</v>
      </c>
      <c r="T2" s="30">
        <v>2088.5571047782678</v>
      </c>
      <c r="U2" s="30">
        <v>1000</v>
      </c>
      <c r="V2" s="30">
        <v>1088.5571047782678</v>
      </c>
      <c r="W2" s="31">
        <v>2104</v>
      </c>
      <c r="X2" s="31">
        <v>3851</v>
      </c>
      <c r="Y2" s="31">
        <v>5210</v>
      </c>
      <c r="Z2" s="33">
        <v>2088.5571047782678</v>
      </c>
      <c r="AA2" s="33">
        <v>100</v>
      </c>
      <c r="AB2" s="33">
        <v>1988.5571047782678</v>
      </c>
      <c r="AC2" s="34">
        <v>1625</v>
      </c>
      <c r="AD2" s="34">
        <v>2550</v>
      </c>
      <c r="AE2" s="34">
        <v>4650</v>
      </c>
      <c r="AF2" s="108">
        <f>SUM(K2:M2)+SUM(Q2:S2)+SUM(W2:Y2)+SUM(AC2:AE2)</f>
        <v>20601</v>
      </c>
    </row>
    <row r="3" spans="1:32" x14ac:dyDescent="0.25">
      <c r="A3">
        <v>5</v>
      </c>
      <c r="B3" t="s">
        <v>39</v>
      </c>
      <c r="C3" s="21" t="s">
        <v>30</v>
      </c>
      <c r="D3" s="21" t="s">
        <v>49</v>
      </c>
      <c r="E3" s="14" t="s">
        <v>50</v>
      </c>
      <c r="F3" s="100" t="s">
        <v>234</v>
      </c>
      <c r="G3" s="100" t="s">
        <v>239</v>
      </c>
      <c r="H3" s="30">
        <v>353</v>
      </c>
      <c r="I3" s="30">
        <v>250</v>
      </c>
      <c r="J3" s="30">
        <v>103</v>
      </c>
      <c r="K3" s="31">
        <v>978</v>
      </c>
      <c r="L3" s="31">
        <v>854</v>
      </c>
      <c r="M3" s="31">
        <v>703</v>
      </c>
      <c r="N3" s="33">
        <v>8196</v>
      </c>
      <c r="O3" s="33">
        <v>2000</v>
      </c>
      <c r="P3" s="33">
        <v>6196</v>
      </c>
      <c r="Q3" s="34">
        <v>2</v>
      </c>
      <c r="R3" s="34">
        <v>2</v>
      </c>
      <c r="S3" s="34">
        <v>2</v>
      </c>
      <c r="T3" s="30">
        <v>353</v>
      </c>
      <c r="U3" s="30">
        <v>220.00000000000003</v>
      </c>
      <c r="V3" s="30">
        <v>132.99999999999997</v>
      </c>
      <c r="W3" s="31">
        <v>7153</v>
      </c>
      <c r="X3" s="31">
        <v>8692</v>
      </c>
      <c r="Y3" s="31">
        <v>11096</v>
      </c>
      <c r="Z3" s="33">
        <v>353</v>
      </c>
      <c r="AA3" s="33">
        <v>500</v>
      </c>
      <c r="AB3" s="33">
        <v>-147</v>
      </c>
      <c r="AC3" s="34">
        <v>3670.5</v>
      </c>
      <c r="AD3" s="34">
        <v>4568.8999999999996</v>
      </c>
      <c r="AE3" s="34">
        <v>6106.24</v>
      </c>
      <c r="AF3" s="108">
        <f>SUM(K3:M3)+SUM(Q3:S3)+SUM(W3:Y3)+SUM(AC3:AE3)</f>
        <v>43827.64</v>
      </c>
    </row>
    <row r="4" spans="1:32" x14ac:dyDescent="0.25">
      <c r="A4">
        <v>7</v>
      </c>
      <c r="B4" t="s">
        <v>39</v>
      </c>
      <c r="C4" s="21" t="s">
        <v>30</v>
      </c>
      <c r="D4" s="21" t="s">
        <v>53</v>
      </c>
      <c r="E4" s="14" t="s">
        <v>54</v>
      </c>
      <c r="F4" s="100" t="s">
        <v>234</v>
      </c>
      <c r="G4" s="100" t="s">
        <v>232</v>
      </c>
      <c r="H4" s="30">
        <v>2000</v>
      </c>
      <c r="I4" s="30">
        <v>2000</v>
      </c>
      <c r="J4" s="30"/>
      <c r="K4" s="31">
        <v>10</v>
      </c>
      <c r="L4" s="31">
        <v>20</v>
      </c>
      <c r="M4" s="31">
        <v>25</v>
      </c>
      <c r="N4" s="33">
        <v>2000</v>
      </c>
      <c r="O4" s="33">
        <v>2000</v>
      </c>
      <c r="P4" s="33">
        <v>0</v>
      </c>
      <c r="Q4" s="34">
        <v>0</v>
      </c>
      <c r="R4" s="34">
        <v>0</v>
      </c>
      <c r="S4" s="34">
        <v>0</v>
      </c>
      <c r="T4" s="30">
        <v>2000</v>
      </c>
      <c r="U4" s="30">
        <v>2000</v>
      </c>
      <c r="V4" s="30">
        <v>0</v>
      </c>
      <c r="W4" s="31">
        <v>75</v>
      </c>
      <c r="X4" s="31">
        <v>100</v>
      </c>
      <c r="Y4" s="31">
        <v>125</v>
      </c>
      <c r="Z4" s="33">
        <v>2000</v>
      </c>
      <c r="AA4" s="33">
        <v>1500</v>
      </c>
      <c r="AB4" s="33">
        <v>500</v>
      </c>
      <c r="AC4" s="34">
        <v>25</v>
      </c>
      <c r="AD4" s="34">
        <v>25</v>
      </c>
      <c r="AE4" s="34">
        <v>25</v>
      </c>
      <c r="AF4" s="108">
        <f>SUM(K4:M4)+SUM(Q4:S4)+SUM(W4:Y4)+SUM(AC4:AE4)</f>
        <v>430</v>
      </c>
    </row>
    <row r="5" spans="1:32" x14ac:dyDescent="0.25">
      <c r="A5">
        <v>8</v>
      </c>
      <c r="B5" t="s">
        <v>39</v>
      </c>
      <c r="C5" s="21" t="s">
        <v>30</v>
      </c>
      <c r="D5" s="21" t="s">
        <v>55</v>
      </c>
      <c r="E5" s="14" t="s">
        <v>56</v>
      </c>
      <c r="F5" s="100" t="s">
        <v>234</v>
      </c>
      <c r="G5" s="100" t="s">
        <v>233</v>
      </c>
      <c r="H5" s="30">
        <v>2000</v>
      </c>
      <c r="I5" s="30">
        <v>2000</v>
      </c>
      <c r="J5" s="30"/>
      <c r="K5" s="31">
        <v>10</v>
      </c>
      <c r="L5" s="31">
        <v>20</v>
      </c>
      <c r="M5" s="31">
        <v>25</v>
      </c>
      <c r="N5" s="33">
        <v>2000</v>
      </c>
      <c r="O5" s="33">
        <v>2000</v>
      </c>
      <c r="P5" s="33">
        <v>0</v>
      </c>
      <c r="Q5" s="34">
        <v>0</v>
      </c>
      <c r="R5" s="34">
        <v>0</v>
      </c>
      <c r="S5" s="34">
        <v>0</v>
      </c>
      <c r="T5" s="30">
        <v>2000</v>
      </c>
      <c r="U5" s="30">
        <v>2000</v>
      </c>
      <c r="V5" s="30">
        <v>0</v>
      </c>
      <c r="W5" s="31">
        <v>20</v>
      </c>
      <c r="X5" s="31">
        <v>25</v>
      </c>
      <c r="Y5" s="31">
        <v>30</v>
      </c>
      <c r="Z5" s="33">
        <v>2000</v>
      </c>
      <c r="AA5" s="33">
        <v>1500</v>
      </c>
      <c r="AB5" s="33">
        <v>500</v>
      </c>
      <c r="AC5" s="34">
        <v>5</v>
      </c>
      <c r="AD5" s="34">
        <v>5</v>
      </c>
      <c r="AE5" s="34">
        <v>5</v>
      </c>
      <c r="AF5" s="108">
        <f>SUM(K5:M5)+SUM(Q5:S5)+SUM(W5:Y5)+SUM(AC5:AE5)</f>
        <v>145</v>
      </c>
    </row>
    <row r="6" spans="1:32" x14ac:dyDescent="0.25">
      <c r="A6">
        <v>24</v>
      </c>
      <c r="B6" t="s">
        <v>39</v>
      </c>
      <c r="C6" s="21" t="s">
        <v>30</v>
      </c>
      <c r="D6" s="21" t="s">
        <v>87</v>
      </c>
      <c r="E6" s="14" t="s">
        <v>88</v>
      </c>
      <c r="F6" s="100" t="s">
        <v>234</v>
      </c>
      <c r="G6" s="100" t="s">
        <v>232</v>
      </c>
      <c r="H6" s="30">
        <v>2000</v>
      </c>
      <c r="I6" s="30"/>
      <c r="J6" s="30">
        <v>2000</v>
      </c>
      <c r="K6" s="31" t="s">
        <v>119</v>
      </c>
      <c r="L6" s="31" t="s">
        <v>119</v>
      </c>
      <c r="M6" s="31" t="s">
        <v>119</v>
      </c>
      <c r="N6" s="33">
        <v>2000</v>
      </c>
      <c r="O6" s="33">
        <v>0</v>
      </c>
      <c r="P6" s="33">
        <v>2000</v>
      </c>
      <c r="Q6" s="34">
        <v>0</v>
      </c>
      <c r="R6" s="34">
        <v>0</v>
      </c>
      <c r="S6" s="34">
        <v>0</v>
      </c>
      <c r="T6" s="30">
        <v>2000</v>
      </c>
      <c r="U6" s="30">
        <v>0</v>
      </c>
      <c r="V6" s="30">
        <v>2000</v>
      </c>
      <c r="W6" s="31">
        <v>0</v>
      </c>
      <c r="X6" s="31">
        <v>0</v>
      </c>
      <c r="Y6" s="31">
        <v>0</v>
      </c>
      <c r="Z6" s="33">
        <v>2000</v>
      </c>
      <c r="AA6" s="33">
        <v>0</v>
      </c>
      <c r="AB6" s="33">
        <v>2000</v>
      </c>
      <c r="AC6" s="34">
        <v>0</v>
      </c>
      <c r="AD6" s="34">
        <v>0</v>
      </c>
      <c r="AE6" s="34">
        <v>0</v>
      </c>
      <c r="AF6" s="108">
        <f>SUM(K6:M6)+SUM(Q6:S6)+SUM(W6:Y6)+SUM(AC6:AE6)</f>
        <v>0</v>
      </c>
    </row>
    <row r="7" spans="1:32" x14ac:dyDescent="0.25">
      <c r="A7">
        <v>25</v>
      </c>
      <c r="B7" t="s">
        <v>39</v>
      </c>
      <c r="C7" s="21" t="s">
        <v>30</v>
      </c>
      <c r="D7" s="21" t="s">
        <v>89</v>
      </c>
      <c r="E7" s="14" t="s">
        <v>90</v>
      </c>
      <c r="F7" s="100" t="s">
        <v>234</v>
      </c>
      <c r="G7" s="100" t="s">
        <v>233</v>
      </c>
      <c r="H7" s="30">
        <v>2000</v>
      </c>
      <c r="I7" s="30"/>
      <c r="J7" s="30">
        <v>2000</v>
      </c>
      <c r="K7" s="31" t="s">
        <v>119</v>
      </c>
      <c r="L7" s="31" t="s">
        <v>119</v>
      </c>
      <c r="M7" s="31" t="s">
        <v>119</v>
      </c>
      <c r="N7" s="33">
        <v>2000</v>
      </c>
      <c r="O7" s="33">
        <v>0</v>
      </c>
      <c r="P7" s="33">
        <v>2000</v>
      </c>
      <c r="Q7" s="34">
        <v>0</v>
      </c>
      <c r="R7" s="34">
        <v>0</v>
      </c>
      <c r="S7" s="34">
        <v>0</v>
      </c>
      <c r="T7" s="30">
        <v>2000</v>
      </c>
      <c r="U7" s="30">
        <v>0</v>
      </c>
      <c r="V7" s="30">
        <v>2000</v>
      </c>
      <c r="W7" s="31">
        <v>0</v>
      </c>
      <c r="X7" s="31">
        <v>0</v>
      </c>
      <c r="Y7" s="31">
        <v>0</v>
      </c>
      <c r="Z7" s="33">
        <v>2000</v>
      </c>
      <c r="AA7" s="33">
        <v>0</v>
      </c>
      <c r="AB7" s="33">
        <v>2000</v>
      </c>
      <c r="AC7" s="34">
        <v>0</v>
      </c>
      <c r="AD7" s="34">
        <v>0</v>
      </c>
      <c r="AE7" s="34">
        <v>0</v>
      </c>
      <c r="AF7" s="108">
        <f>SUM(K7:M7)+SUM(Q7:S7)+SUM(W7:Y7)+SUM(AC7:AE7)</f>
        <v>0</v>
      </c>
    </row>
    <row r="8" spans="1:32" x14ac:dyDescent="0.25">
      <c r="A8">
        <v>40</v>
      </c>
      <c r="B8" t="s">
        <v>39</v>
      </c>
      <c r="C8" s="21" t="s">
        <v>30</v>
      </c>
      <c r="D8" s="20" t="s">
        <v>120</v>
      </c>
      <c r="E8" s="14" t="s">
        <v>121</v>
      </c>
      <c r="F8" s="100" t="s">
        <v>234</v>
      </c>
      <c r="G8" s="100" t="s">
        <v>239</v>
      </c>
      <c r="H8" s="30">
        <v>130</v>
      </c>
      <c r="I8" s="30">
        <v>130</v>
      </c>
      <c r="J8" s="30"/>
      <c r="K8" s="31">
        <v>20</v>
      </c>
      <c r="L8" s="31">
        <v>25</v>
      </c>
      <c r="M8" s="31">
        <v>30</v>
      </c>
      <c r="N8" s="33">
        <v>130</v>
      </c>
      <c r="O8" s="33">
        <v>130</v>
      </c>
      <c r="P8" s="33">
        <v>0</v>
      </c>
      <c r="Q8" s="34">
        <v>20</v>
      </c>
      <c r="R8" s="34">
        <v>25</v>
      </c>
      <c r="S8" s="34">
        <v>30</v>
      </c>
      <c r="T8" s="30">
        <v>130</v>
      </c>
      <c r="U8" s="30">
        <v>130</v>
      </c>
      <c r="V8" s="30">
        <v>0</v>
      </c>
      <c r="W8" s="31">
        <v>526</v>
      </c>
      <c r="X8" s="31">
        <v>962.75</v>
      </c>
      <c r="Y8" s="31">
        <v>1302.5</v>
      </c>
      <c r="Z8" s="33">
        <v>130</v>
      </c>
      <c r="AA8" s="33">
        <v>130</v>
      </c>
      <c r="AB8" s="33">
        <v>0</v>
      </c>
      <c r="AC8" s="34">
        <v>75</v>
      </c>
      <c r="AD8" s="34">
        <v>75</v>
      </c>
      <c r="AE8" s="34">
        <v>75</v>
      </c>
      <c r="AF8" s="108">
        <f>SUM(K8:M8)+SUM(Q8:S8)+SUM(W8:Y8)+SUM(AC8:AE8)</f>
        <v>3166.25</v>
      </c>
    </row>
    <row r="9" spans="1:32" x14ac:dyDescent="0.25">
      <c r="A9">
        <v>41</v>
      </c>
      <c r="B9" t="s">
        <v>39</v>
      </c>
      <c r="C9" s="21" t="s">
        <v>30</v>
      </c>
      <c r="D9" s="20" t="s">
        <v>122</v>
      </c>
      <c r="E9" s="14" t="s">
        <v>123</v>
      </c>
      <c r="F9" s="100" t="s">
        <v>234</v>
      </c>
      <c r="G9" s="100" t="s">
        <v>239</v>
      </c>
      <c r="H9" s="30">
        <v>130</v>
      </c>
      <c r="I9" s="30">
        <v>130</v>
      </c>
      <c r="J9" s="30"/>
      <c r="K9" s="31">
        <v>30</v>
      </c>
      <c r="L9" s="31">
        <v>35</v>
      </c>
      <c r="M9" s="31">
        <v>40</v>
      </c>
      <c r="N9" s="33">
        <v>130</v>
      </c>
      <c r="O9" s="33">
        <v>130</v>
      </c>
      <c r="P9" s="33">
        <v>0</v>
      </c>
      <c r="Q9" s="34">
        <v>15</v>
      </c>
      <c r="R9" s="34">
        <v>18</v>
      </c>
      <c r="S9" s="34">
        <v>20</v>
      </c>
      <c r="T9" s="30">
        <v>130</v>
      </c>
      <c r="U9" s="30">
        <v>130</v>
      </c>
      <c r="V9" s="30">
        <v>0</v>
      </c>
      <c r="W9" s="31">
        <v>715.30000000000007</v>
      </c>
      <c r="X9" s="31">
        <v>869.2</v>
      </c>
      <c r="Y9" s="31">
        <v>1109.6000000000001</v>
      </c>
      <c r="Z9" s="33">
        <v>130</v>
      </c>
      <c r="AA9" s="33">
        <v>130</v>
      </c>
      <c r="AB9" s="33">
        <v>0</v>
      </c>
      <c r="AC9" s="34">
        <v>100</v>
      </c>
      <c r="AD9" s="34">
        <v>100</v>
      </c>
      <c r="AE9" s="34">
        <v>100</v>
      </c>
      <c r="AF9" s="108">
        <f>SUM(K9:M9)+SUM(Q9:S9)+SUM(W9:Y9)+SUM(AC9:AE9)</f>
        <v>3152.1000000000004</v>
      </c>
    </row>
    <row r="10" spans="1:32" x14ac:dyDescent="0.25">
      <c r="A10">
        <v>42</v>
      </c>
      <c r="B10" t="s">
        <v>39</v>
      </c>
      <c r="C10" s="21" t="s">
        <v>30</v>
      </c>
      <c r="D10" s="21" t="s">
        <v>124</v>
      </c>
      <c r="E10" s="14" t="s">
        <v>125</v>
      </c>
      <c r="F10" s="100" t="s">
        <v>234</v>
      </c>
      <c r="G10" s="100" t="s">
        <v>239</v>
      </c>
      <c r="H10" s="30">
        <v>0</v>
      </c>
      <c r="I10" s="30">
        <v>500</v>
      </c>
      <c r="J10" s="30">
        <v>-500</v>
      </c>
      <c r="K10" s="31">
        <v>508</v>
      </c>
      <c r="L10" s="31">
        <v>616</v>
      </c>
      <c r="M10" s="31">
        <v>762</v>
      </c>
      <c r="N10" s="33">
        <v>0</v>
      </c>
      <c r="O10" s="33">
        <v>500</v>
      </c>
      <c r="P10" s="33">
        <v>-500</v>
      </c>
      <c r="Q10" s="34">
        <v>15</v>
      </c>
      <c r="R10" s="34">
        <v>15</v>
      </c>
      <c r="S10" s="34">
        <v>15</v>
      </c>
      <c r="T10" s="30">
        <v>0</v>
      </c>
      <c r="U10" s="30">
        <v>500</v>
      </c>
      <c r="V10" s="30">
        <v>-500</v>
      </c>
      <c r="W10" s="31">
        <v>0</v>
      </c>
      <c r="X10" s="31">
        <v>0</v>
      </c>
      <c r="Y10" s="31">
        <v>0</v>
      </c>
      <c r="Z10" s="33">
        <v>0</v>
      </c>
      <c r="AA10" s="33">
        <v>500</v>
      </c>
      <c r="AB10" s="33">
        <v>-500</v>
      </c>
      <c r="AC10" s="34">
        <v>1100</v>
      </c>
      <c r="AD10" s="34">
        <v>1500</v>
      </c>
      <c r="AE10" s="34">
        <v>2200</v>
      </c>
      <c r="AF10" s="108">
        <f>SUM(K10:M10)+SUM(Q10:S10)+SUM(W10:Y10)+SUM(AC10:AE10)</f>
        <v>6731</v>
      </c>
    </row>
    <row r="11" spans="1:32" x14ac:dyDescent="0.25">
      <c r="A11">
        <v>43</v>
      </c>
      <c r="B11" t="s">
        <v>39</v>
      </c>
      <c r="C11" s="21" t="s">
        <v>30</v>
      </c>
      <c r="D11" s="20" t="s">
        <v>126</v>
      </c>
      <c r="E11" s="14" t="s">
        <v>127</v>
      </c>
      <c r="F11" s="100" t="s">
        <v>234</v>
      </c>
      <c r="G11" s="100" t="s">
        <v>239</v>
      </c>
      <c r="H11" s="30">
        <v>1090</v>
      </c>
      <c r="I11" s="30">
        <v>600</v>
      </c>
      <c r="J11" s="30">
        <v>490</v>
      </c>
      <c r="K11" s="31">
        <v>100</v>
      </c>
      <c r="L11" s="31">
        <v>110</v>
      </c>
      <c r="M11" s="31">
        <v>120</v>
      </c>
      <c r="N11" s="33">
        <v>1090</v>
      </c>
      <c r="O11" s="33">
        <v>600</v>
      </c>
      <c r="P11" s="33">
        <v>490</v>
      </c>
      <c r="Q11" s="34">
        <v>15</v>
      </c>
      <c r="R11" s="34">
        <v>15</v>
      </c>
      <c r="S11" s="34">
        <v>15</v>
      </c>
      <c r="T11" s="30">
        <v>1090</v>
      </c>
      <c r="U11" s="30">
        <v>600</v>
      </c>
      <c r="V11" s="30">
        <v>490</v>
      </c>
      <c r="W11" s="31">
        <v>1000</v>
      </c>
      <c r="X11" s="31">
        <v>2000</v>
      </c>
      <c r="Y11" s="31">
        <v>3000</v>
      </c>
      <c r="Z11" s="33">
        <v>1090</v>
      </c>
      <c r="AA11" s="33">
        <v>600</v>
      </c>
      <c r="AB11" s="33">
        <v>490</v>
      </c>
      <c r="AC11" s="34">
        <v>300</v>
      </c>
      <c r="AD11" s="34">
        <v>400</v>
      </c>
      <c r="AE11" s="34">
        <v>690</v>
      </c>
      <c r="AF11" s="108">
        <f>SUM(K11:M11)+SUM(Q11:S11)+SUM(W11:Y11)+SUM(AC11:AE11)</f>
        <v>7765</v>
      </c>
    </row>
    <row r="12" spans="1:32" x14ac:dyDescent="0.25">
      <c r="A12">
        <v>44</v>
      </c>
      <c r="B12" t="s">
        <v>39</v>
      </c>
      <c r="C12" s="21" t="s">
        <v>30</v>
      </c>
      <c r="D12" s="20" t="s">
        <v>128</v>
      </c>
      <c r="E12" s="14" t="s">
        <v>129</v>
      </c>
      <c r="F12" s="100" t="s">
        <v>234</v>
      </c>
      <c r="G12" s="100" t="s">
        <v>239</v>
      </c>
      <c r="H12" s="30">
        <v>660</v>
      </c>
      <c r="I12" s="30">
        <v>150</v>
      </c>
      <c r="J12" s="30">
        <v>510</v>
      </c>
      <c r="K12" s="31">
        <v>15</v>
      </c>
      <c r="L12" s="31">
        <v>15</v>
      </c>
      <c r="M12" s="31">
        <v>15</v>
      </c>
      <c r="N12" s="33">
        <v>660</v>
      </c>
      <c r="O12" s="33">
        <v>150</v>
      </c>
      <c r="P12" s="33">
        <v>510</v>
      </c>
      <c r="Q12" s="34">
        <v>4</v>
      </c>
      <c r="R12" s="34">
        <v>5</v>
      </c>
      <c r="S12" s="34">
        <v>6</v>
      </c>
      <c r="T12" s="30">
        <v>660</v>
      </c>
      <c r="U12" s="30">
        <v>150</v>
      </c>
      <c r="V12" s="30">
        <v>510</v>
      </c>
      <c r="W12" s="31">
        <v>50</v>
      </c>
      <c r="X12" s="31">
        <v>50</v>
      </c>
      <c r="Y12" s="31">
        <v>50</v>
      </c>
      <c r="Z12" s="33">
        <v>660</v>
      </c>
      <c r="AA12" s="33">
        <v>150</v>
      </c>
      <c r="AB12" s="33">
        <v>510</v>
      </c>
      <c r="AC12" s="34">
        <v>50</v>
      </c>
      <c r="AD12" s="34">
        <v>50</v>
      </c>
      <c r="AE12" s="34">
        <v>100</v>
      </c>
      <c r="AF12" s="108">
        <f>SUM(K12:M12)+SUM(Q12:S12)+SUM(W12:Y12)+SUM(AC12:AE12)</f>
        <v>410</v>
      </c>
    </row>
    <row r="13" spans="1:32" x14ac:dyDescent="0.25">
      <c r="A13">
        <v>57</v>
      </c>
      <c r="B13" t="s">
        <v>39</v>
      </c>
      <c r="C13" s="20" t="s">
        <v>134</v>
      </c>
      <c r="D13" s="21" t="s">
        <v>153</v>
      </c>
      <c r="E13" s="14" t="s">
        <v>154</v>
      </c>
      <c r="F13" s="100" t="s">
        <v>234</v>
      </c>
      <c r="G13" s="100" t="s">
        <v>239</v>
      </c>
      <c r="H13" s="30">
        <v>4000</v>
      </c>
      <c r="I13" s="30">
        <v>4000</v>
      </c>
      <c r="J13" s="30">
        <v>0</v>
      </c>
      <c r="K13" s="31">
        <v>22</v>
      </c>
      <c r="L13" s="31">
        <v>31</v>
      </c>
      <c r="M13" s="31">
        <v>38</v>
      </c>
      <c r="N13" s="33">
        <v>1090</v>
      </c>
      <c r="O13" s="33">
        <v>1090</v>
      </c>
      <c r="P13" s="33">
        <v>0</v>
      </c>
      <c r="Q13" s="34">
        <v>1</v>
      </c>
      <c r="R13" s="34">
        <v>2</v>
      </c>
      <c r="S13" s="34">
        <v>3</v>
      </c>
      <c r="T13" s="30">
        <v>5000</v>
      </c>
      <c r="U13" s="30">
        <v>5000</v>
      </c>
      <c r="V13" s="30">
        <v>0</v>
      </c>
      <c r="W13" s="31">
        <v>10</v>
      </c>
      <c r="X13" s="31">
        <v>10</v>
      </c>
      <c r="Y13" s="31">
        <v>10</v>
      </c>
      <c r="Z13" s="33">
        <v>0</v>
      </c>
      <c r="AA13" s="33">
        <v>0</v>
      </c>
      <c r="AB13" s="33">
        <v>0</v>
      </c>
      <c r="AC13" s="34">
        <v>0</v>
      </c>
      <c r="AD13" s="34">
        <v>0</v>
      </c>
      <c r="AE13" s="34">
        <v>0</v>
      </c>
      <c r="AF13" s="108">
        <f>SUM(K13:M13)+SUM(Q13:S13)+SUM(W13:Y13)+SUM(AC13:AE13)</f>
        <v>127</v>
      </c>
    </row>
    <row r="14" spans="1:32" x14ac:dyDescent="0.25">
      <c r="A14">
        <v>58</v>
      </c>
      <c r="B14" t="s">
        <v>39</v>
      </c>
      <c r="C14" s="20" t="s">
        <v>134</v>
      </c>
      <c r="D14" s="21" t="s">
        <v>155</v>
      </c>
      <c r="E14" s="14" t="s">
        <v>156</v>
      </c>
      <c r="F14" s="100" t="s">
        <v>234</v>
      </c>
      <c r="G14" s="100" t="s">
        <v>239</v>
      </c>
      <c r="H14" s="30">
        <v>5000</v>
      </c>
      <c r="I14" s="30">
        <v>5000</v>
      </c>
      <c r="J14" s="30">
        <v>0</v>
      </c>
      <c r="K14" s="31">
        <v>2</v>
      </c>
      <c r="L14" s="31">
        <v>2</v>
      </c>
      <c r="M14" s="31">
        <v>2</v>
      </c>
      <c r="N14" s="33">
        <v>0</v>
      </c>
      <c r="O14" s="33">
        <v>0</v>
      </c>
      <c r="P14" s="33">
        <v>0</v>
      </c>
      <c r="Q14" s="34">
        <v>0</v>
      </c>
      <c r="R14" s="34">
        <v>0</v>
      </c>
      <c r="S14" s="34">
        <v>0</v>
      </c>
      <c r="T14" s="30">
        <v>0</v>
      </c>
      <c r="U14" s="30">
        <v>0</v>
      </c>
      <c r="V14" s="30">
        <v>0</v>
      </c>
      <c r="W14" s="31">
        <v>0</v>
      </c>
      <c r="X14" s="31">
        <v>0</v>
      </c>
      <c r="Y14" s="31">
        <v>0</v>
      </c>
      <c r="Z14" s="33">
        <v>0</v>
      </c>
      <c r="AA14" s="33">
        <v>0</v>
      </c>
      <c r="AB14" s="33">
        <v>0</v>
      </c>
      <c r="AC14" s="34">
        <v>0</v>
      </c>
      <c r="AD14" s="34">
        <v>0</v>
      </c>
      <c r="AE14" s="34">
        <v>0</v>
      </c>
      <c r="AF14" s="108">
        <f>SUM(K14:M14)+SUM(Q14:S14)+SUM(W14:Y14)+SUM(AC14:AE14)</f>
        <v>6</v>
      </c>
    </row>
    <row r="15" spans="1:32" x14ac:dyDescent="0.25">
      <c r="A15">
        <v>61</v>
      </c>
      <c r="B15" t="s">
        <v>39</v>
      </c>
      <c r="C15" s="20" t="s">
        <v>134</v>
      </c>
      <c r="D15" s="21" t="s">
        <v>163</v>
      </c>
      <c r="E15" s="14" t="s">
        <v>164</v>
      </c>
      <c r="F15" s="100" t="s">
        <v>234</v>
      </c>
      <c r="G15" s="100" t="s">
        <v>239</v>
      </c>
      <c r="H15" s="30">
        <v>4000</v>
      </c>
      <c r="I15" s="30">
        <v>4000</v>
      </c>
      <c r="J15" s="30">
        <v>0</v>
      </c>
      <c r="K15" s="31">
        <v>17</v>
      </c>
      <c r="L15" s="31">
        <v>21</v>
      </c>
      <c r="M15" s="31">
        <v>26</v>
      </c>
      <c r="N15" s="33">
        <v>0</v>
      </c>
      <c r="O15" s="33">
        <v>0</v>
      </c>
      <c r="P15" s="33">
        <v>0</v>
      </c>
      <c r="Q15" s="34">
        <v>0</v>
      </c>
      <c r="R15" s="34">
        <v>0</v>
      </c>
      <c r="S15" s="34">
        <v>0</v>
      </c>
      <c r="T15" s="30">
        <v>5000</v>
      </c>
      <c r="U15" s="30">
        <v>5000</v>
      </c>
      <c r="V15" s="30">
        <v>0</v>
      </c>
      <c r="W15" s="31">
        <v>5</v>
      </c>
      <c r="X15" s="31">
        <v>5</v>
      </c>
      <c r="Y15" s="31">
        <v>5</v>
      </c>
      <c r="Z15" s="33" t="s">
        <v>220</v>
      </c>
      <c r="AA15" s="33">
        <v>2700</v>
      </c>
      <c r="AB15" s="33">
        <v>0</v>
      </c>
      <c r="AC15" s="34">
        <v>25</v>
      </c>
      <c r="AD15" s="34">
        <v>26.25</v>
      </c>
      <c r="AE15" s="34">
        <v>28.087500000000002</v>
      </c>
      <c r="AF15" s="108">
        <f>SUM(K15:M15)+SUM(Q15:S15)+SUM(W15:Y15)+SUM(AC15:AE15)</f>
        <v>158.33750000000001</v>
      </c>
    </row>
    <row r="16" spans="1:32" x14ac:dyDescent="0.25">
      <c r="A16">
        <v>62</v>
      </c>
      <c r="B16" t="s">
        <v>39</v>
      </c>
      <c r="C16" s="20" t="s">
        <v>134</v>
      </c>
      <c r="D16" s="21" t="s">
        <v>165</v>
      </c>
      <c r="E16" s="14" t="s">
        <v>166</v>
      </c>
      <c r="F16" s="100" t="s">
        <v>234</v>
      </c>
      <c r="G16" s="100" t="s">
        <v>239</v>
      </c>
      <c r="H16" s="30">
        <v>0</v>
      </c>
      <c r="I16" s="30">
        <v>0</v>
      </c>
      <c r="J16" s="30">
        <v>0</v>
      </c>
      <c r="K16" s="31" t="s">
        <v>119</v>
      </c>
      <c r="L16" s="31" t="s">
        <v>119</v>
      </c>
      <c r="M16" s="31" t="s">
        <v>119</v>
      </c>
      <c r="N16" s="33">
        <v>0</v>
      </c>
      <c r="O16" s="33">
        <v>0</v>
      </c>
      <c r="P16" s="33">
        <v>0</v>
      </c>
      <c r="Q16" s="34">
        <v>0</v>
      </c>
      <c r="R16" s="34">
        <v>0</v>
      </c>
      <c r="S16" s="34">
        <v>0</v>
      </c>
      <c r="T16" s="30">
        <v>0</v>
      </c>
      <c r="U16" s="30">
        <v>0</v>
      </c>
      <c r="V16" s="30">
        <v>0</v>
      </c>
      <c r="W16" s="31">
        <v>0</v>
      </c>
      <c r="X16" s="31">
        <v>0</v>
      </c>
      <c r="Y16" s="31">
        <v>0</v>
      </c>
      <c r="Z16" s="33">
        <v>0</v>
      </c>
      <c r="AA16" s="33">
        <v>0</v>
      </c>
      <c r="AB16" s="33">
        <v>0</v>
      </c>
      <c r="AC16" s="34">
        <v>0</v>
      </c>
      <c r="AD16" s="34">
        <v>0</v>
      </c>
      <c r="AE16" s="34">
        <v>0</v>
      </c>
      <c r="AF16" s="108">
        <f>SUM(K16:M16)+SUM(Q16:S16)+SUM(W16:Y16)+SUM(AC16:AE16)</f>
        <v>0</v>
      </c>
    </row>
    <row r="17" spans="1:32" x14ac:dyDescent="0.25">
      <c r="A17">
        <v>80</v>
      </c>
      <c r="B17" t="s">
        <v>39</v>
      </c>
      <c r="C17" s="20" t="s">
        <v>29</v>
      </c>
      <c r="D17" s="43" t="s">
        <v>215</v>
      </c>
      <c r="E17" s="14" t="s">
        <v>216</v>
      </c>
      <c r="F17" s="100" t="s">
        <v>234</v>
      </c>
      <c r="G17" s="100" t="s">
        <v>239</v>
      </c>
      <c r="H17" s="30">
        <v>2086</v>
      </c>
      <c r="I17" s="30">
        <v>1575</v>
      </c>
      <c r="J17" s="30">
        <v>511</v>
      </c>
      <c r="K17" s="31">
        <v>3</v>
      </c>
      <c r="L17" s="31">
        <v>3</v>
      </c>
      <c r="M17" s="31">
        <v>3</v>
      </c>
      <c r="N17" s="33">
        <v>714</v>
      </c>
      <c r="O17" s="33">
        <v>500</v>
      </c>
      <c r="P17" s="33">
        <v>214</v>
      </c>
      <c r="Q17" s="34">
        <v>2</v>
      </c>
      <c r="R17" s="34">
        <v>3</v>
      </c>
      <c r="S17" s="34">
        <v>4</v>
      </c>
      <c r="T17" s="30">
        <v>666.66666666666663</v>
      </c>
      <c r="U17" s="30">
        <v>500</v>
      </c>
      <c r="V17" s="30">
        <v>166.66666666666663</v>
      </c>
      <c r="W17" s="31">
        <v>170</v>
      </c>
      <c r="X17" s="31">
        <v>208</v>
      </c>
      <c r="Y17" s="31">
        <v>283</v>
      </c>
      <c r="Z17" s="33">
        <v>714.28571428571433</v>
      </c>
      <c r="AA17" s="33">
        <v>500</v>
      </c>
      <c r="AB17" s="33">
        <v>214.28571428571433</v>
      </c>
      <c r="AC17" s="34">
        <v>300</v>
      </c>
      <c r="AD17" s="34">
        <v>375</v>
      </c>
      <c r="AE17" s="34">
        <v>468.75</v>
      </c>
      <c r="AF17" s="108">
        <f>SUM(K17:M17)+SUM(Q17:S17)+SUM(W17:Y17)+SUM(AC17:AE17)</f>
        <v>1822.75</v>
      </c>
    </row>
    <row r="18" spans="1:32" x14ac:dyDescent="0.25">
      <c r="A18">
        <v>81</v>
      </c>
      <c r="B18" t="s">
        <v>39</v>
      </c>
      <c r="C18" s="20" t="s">
        <v>29</v>
      </c>
      <c r="D18" s="43" t="s">
        <v>202</v>
      </c>
      <c r="E18" s="14" t="s">
        <v>203</v>
      </c>
      <c r="F18" s="100" t="s">
        <v>234</v>
      </c>
      <c r="G18" s="100" t="s">
        <v>239</v>
      </c>
      <c r="H18" s="30">
        <v>0</v>
      </c>
      <c r="I18" s="30">
        <v>0</v>
      </c>
      <c r="J18" s="30">
        <v>0</v>
      </c>
      <c r="K18" s="31" t="s">
        <v>119</v>
      </c>
      <c r="L18" s="31" t="s">
        <v>119</v>
      </c>
      <c r="M18" s="31" t="s">
        <v>119</v>
      </c>
      <c r="N18" s="33">
        <v>0</v>
      </c>
      <c r="O18" s="33">
        <v>0</v>
      </c>
      <c r="P18" s="33">
        <v>0</v>
      </c>
      <c r="Q18" s="34">
        <v>0</v>
      </c>
      <c r="R18" s="34">
        <v>0</v>
      </c>
      <c r="S18" s="34">
        <v>0</v>
      </c>
      <c r="T18" s="30">
        <v>666.66666666666663</v>
      </c>
      <c r="U18" s="30">
        <v>500</v>
      </c>
      <c r="V18" s="30">
        <v>166.66666666666663</v>
      </c>
      <c r="W18" s="31">
        <v>128</v>
      </c>
      <c r="X18" s="31">
        <v>156</v>
      </c>
      <c r="Y18" s="31">
        <v>212</v>
      </c>
      <c r="Z18" s="33">
        <v>531.42857142857144</v>
      </c>
      <c r="AA18" s="33">
        <v>372</v>
      </c>
      <c r="AB18" s="33">
        <v>159.42857142857144</v>
      </c>
      <c r="AC18" s="34">
        <v>1000</v>
      </c>
      <c r="AD18" s="34">
        <v>1000</v>
      </c>
      <c r="AE18" s="34">
        <v>1000</v>
      </c>
      <c r="AF18" s="108">
        <f>SUM(K18:M18)+SUM(Q18:S18)+SUM(W18:Y18)+SUM(AC18:AE18)</f>
        <v>3496</v>
      </c>
    </row>
    <row r="19" spans="1:32" x14ac:dyDescent="0.25">
      <c r="A19">
        <v>82</v>
      </c>
      <c r="B19" t="s">
        <v>39</v>
      </c>
      <c r="C19" s="20" t="s">
        <v>29</v>
      </c>
      <c r="D19" s="43" t="s">
        <v>204</v>
      </c>
      <c r="E19" s="14" t="s">
        <v>205</v>
      </c>
      <c r="F19" s="100" t="s">
        <v>234</v>
      </c>
      <c r="G19" s="100" t="s">
        <v>239</v>
      </c>
      <c r="H19" s="30">
        <v>730</v>
      </c>
      <c r="I19" s="30">
        <v>100</v>
      </c>
      <c r="J19" s="30">
        <v>630</v>
      </c>
      <c r="K19" s="31">
        <v>45</v>
      </c>
      <c r="L19" s="31">
        <v>50</v>
      </c>
      <c r="M19" s="31">
        <v>55</v>
      </c>
      <c r="N19" s="33">
        <v>714</v>
      </c>
      <c r="O19" s="33">
        <v>500</v>
      </c>
      <c r="P19" s="33">
        <v>214</v>
      </c>
      <c r="Q19" s="34">
        <v>6</v>
      </c>
      <c r="R19" s="34">
        <v>7</v>
      </c>
      <c r="S19" s="34">
        <v>8</v>
      </c>
      <c r="T19" s="30">
        <v>666.66666666666663</v>
      </c>
      <c r="U19" s="30">
        <v>500</v>
      </c>
      <c r="V19" s="30">
        <v>166.66666666666663</v>
      </c>
      <c r="W19" s="31">
        <v>0</v>
      </c>
      <c r="X19" s="31">
        <v>0</v>
      </c>
      <c r="Y19" s="31">
        <v>0</v>
      </c>
      <c r="Z19" s="33">
        <v>714.28571428571433</v>
      </c>
      <c r="AA19" s="33">
        <v>500</v>
      </c>
      <c r="AB19" s="33">
        <v>214.28571428571433</v>
      </c>
      <c r="AC19" s="34">
        <v>500</v>
      </c>
      <c r="AD19" s="34">
        <v>625</v>
      </c>
      <c r="AE19" s="34">
        <v>781.25</v>
      </c>
      <c r="AF19" s="108">
        <f>SUM(K19:M19)+SUM(Q19:S19)+SUM(W19:Y19)+SUM(AC19:AE19)</f>
        <v>2077.25</v>
      </c>
    </row>
  </sheetData>
  <sortState xmlns:xlrd2="http://schemas.microsoft.com/office/spreadsheetml/2017/richdata2" ref="A2:AF19">
    <sortCondition ref="A2:A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DC84-3790-4BDB-A6FC-30D51862F5A9}">
  <dimension ref="A1:BF17"/>
  <sheetViews>
    <sheetView workbookViewId="0">
      <selection activeCell="AU5" activeCellId="3" sqref="AP3:AP14 AU3 AU4 AU5"/>
    </sheetView>
  </sheetViews>
  <sheetFormatPr defaultRowHeight="15" x14ac:dyDescent="0.25"/>
  <cols>
    <col min="2" max="2" width="37.85546875" style="19" customWidth="1"/>
    <col min="3" max="3" width="65.5703125" style="19" bestFit="1" customWidth="1"/>
    <col min="4" max="4" width="9.140625" style="19"/>
    <col min="5" max="5" width="10" hidden="1" customWidth="1"/>
    <col min="6" max="6" width="0" hidden="1" customWidth="1"/>
    <col min="7" max="7" width="10" hidden="1" customWidth="1"/>
    <col min="8" max="12" width="0" hidden="1" customWidth="1"/>
    <col min="13" max="13" width="10.140625" hidden="1" customWidth="1"/>
    <col min="14" max="18" width="0" hidden="1" customWidth="1"/>
    <col min="19" max="19" width="9.85546875" hidden="1" customWidth="1"/>
    <col min="20" max="24" width="0" hidden="1" customWidth="1"/>
    <col min="25" max="25" width="10" hidden="1" customWidth="1"/>
    <col min="26" max="30" width="0" hidden="1" customWidth="1"/>
    <col min="31" max="31" width="9.85546875" hidden="1" customWidth="1"/>
    <col min="32" max="36" width="0" hidden="1" customWidth="1"/>
    <col min="37" max="37" width="10.7109375" hidden="1" customWidth="1"/>
    <col min="38" max="40" width="0" hidden="1" customWidth="1"/>
    <col min="41" max="41" width="19.140625" hidden="1" customWidth="1"/>
    <col min="42" max="42" width="13.7109375" bestFit="1" customWidth="1"/>
    <col min="43" max="43" width="15.7109375" style="26" customWidth="1"/>
    <col min="46" max="46" width="19.140625" bestFit="1" customWidth="1"/>
    <col min="48" max="48" width="11.5703125" bestFit="1" customWidth="1"/>
  </cols>
  <sheetData>
    <row r="1" spans="1:49" x14ac:dyDescent="0.25">
      <c r="B1" s="48"/>
      <c r="C1" s="48"/>
      <c r="D1" s="48"/>
      <c r="E1" s="49"/>
      <c r="F1" s="49"/>
      <c r="G1" s="49"/>
      <c r="H1" s="50" t="s">
        <v>17</v>
      </c>
      <c r="I1" s="50"/>
      <c r="J1" s="50"/>
      <c r="K1" s="51" t="s">
        <v>33</v>
      </c>
      <c r="L1" s="51"/>
      <c r="M1" s="51"/>
      <c r="N1" s="51"/>
      <c r="O1" s="51"/>
      <c r="P1" s="51"/>
      <c r="Q1" s="52" t="s">
        <v>34</v>
      </c>
      <c r="R1" s="52"/>
      <c r="S1" s="52"/>
      <c r="T1" s="52"/>
      <c r="U1" s="52"/>
      <c r="V1" s="52"/>
      <c r="W1" s="51" t="s">
        <v>35</v>
      </c>
      <c r="X1" s="51"/>
      <c r="Y1" s="51"/>
      <c r="Z1" s="51"/>
      <c r="AA1" s="51"/>
      <c r="AB1" s="51"/>
      <c r="AC1" s="53" t="s">
        <v>36</v>
      </c>
      <c r="AD1" s="53"/>
      <c r="AE1" s="53"/>
      <c r="AF1" s="53"/>
      <c r="AG1" s="53"/>
      <c r="AH1" s="53"/>
      <c r="AI1" s="51" t="s">
        <v>37</v>
      </c>
      <c r="AJ1" s="51"/>
      <c r="AK1" s="51"/>
      <c r="AL1" s="51"/>
      <c r="AM1" s="51"/>
      <c r="AN1" s="51"/>
      <c r="AO1" s="54" t="s">
        <v>228</v>
      </c>
      <c r="AP1" s="54" t="s">
        <v>221</v>
      </c>
      <c r="AQ1" s="55" t="s">
        <v>222</v>
      </c>
    </row>
    <row r="2" spans="1:49" s="35" customFormat="1" ht="38.25" x14ac:dyDescent="0.25">
      <c r="B2" s="56"/>
      <c r="C2" s="56"/>
      <c r="D2" s="56"/>
      <c r="E2" s="82" t="s">
        <v>14</v>
      </c>
      <c r="F2" s="82" t="s">
        <v>15</v>
      </c>
      <c r="G2" s="82" t="s">
        <v>16</v>
      </c>
      <c r="H2" s="57">
        <v>2022</v>
      </c>
      <c r="I2" s="57">
        <v>2023</v>
      </c>
      <c r="J2" s="57">
        <v>2024</v>
      </c>
      <c r="K2" s="83" t="s">
        <v>14</v>
      </c>
      <c r="L2" s="83" t="s">
        <v>15</v>
      </c>
      <c r="M2" s="83" t="s">
        <v>16</v>
      </c>
      <c r="N2" s="58">
        <v>2022</v>
      </c>
      <c r="O2" s="58">
        <v>2023</v>
      </c>
      <c r="P2" s="58">
        <v>2024</v>
      </c>
      <c r="Q2" s="82" t="s">
        <v>14</v>
      </c>
      <c r="R2" s="82" t="s">
        <v>15</v>
      </c>
      <c r="S2" s="82" t="s">
        <v>16</v>
      </c>
      <c r="T2" s="57">
        <v>2022</v>
      </c>
      <c r="U2" s="57">
        <v>2023</v>
      </c>
      <c r="V2" s="57">
        <v>2024</v>
      </c>
      <c r="W2" s="83" t="s">
        <v>14</v>
      </c>
      <c r="X2" s="83" t="s">
        <v>15</v>
      </c>
      <c r="Y2" s="83" t="s">
        <v>16</v>
      </c>
      <c r="Z2" s="58">
        <v>2022</v>
      </c>
      <c r="AA2" s="58">
        <v>2023</v>
      </c>
      <c r="AB2" s="58">
        <v>2024</v>
      </c>
      <c r="AC2" s="82" t="s">
        <v>14</v>
      </c>
      <c r="AD2" s="82" t="s">
        <v>15</v>
      </c>
      <c r="AE2" s="82" t="s">
        <v>16</v>
      </c>
      <c r="AF2" s="57">
        <v>2022</v>
      </c>
      <c r="AG2" s="57">
        <v>2023</v>
      </c>
      <c r="AH2" s="57">
        <v>2024</v>
      </c>
      <c r="AI2" s="83" t="s">
        <v>14</v>
      </c>
      <c r="AJ2" s="83" t="s">
        <v>15</v>
      </c>
      <c r="AK2" s="83" t="s">
        <v>16</v>
      </c>
      <c r="AL2" s="58">
        <v>2022</v>
      </c>
      <c r="AM2" s="58">
        <v>2023</v>
      </c>
      <c r="AN2" s="58">
        <v>2024</v>
      </c>
      <c r="AO2" s="59"/>
      <c r="AP2" s="59" t="s">
        <v>223</v>
      </c>
      <c r="AQ2" s="60" t="s">
        <v>223</v>
      </c>
      <c r="AT2" s="99" t="s">
        <v>229</v>
      </c>
    </row>
    <row r="3" spans="1:49" x14ac:dyDescent="0.25">
      <c r="A3" s="84" t="s">
        <v>20</v>
      </c>
      <c r="B3" s="85" t="s">
        <v>30</v>
      </c>
      <c r="C3" s="86" t="s">
        <v>0</v>
      </c>
      <c r="D3" s="86" t="s">
        <v>1</v>
      </c>
      <c r="E3" s="87">
        <v>12724</v>
      </c>
      <c r="F3" s="87">
        <v>4000</v>
      </c>
      <c r="G3" s="87">
        <v>8724</v>
      </c>
      <c r="H3" s="88" t="s">
        <v>19</v>
      </c>
      <c r="I3" s="88" t="s">
        <v>19</v>
      </c>
      <c r="J3" s="89"/>
      <c r="K3" s="90">
        <v>12724</v>
      </c>
      <c r="L3" s="90">
        <v>4000</v>
      </c>
      <c r="M3" s="90">
        <v>8724</v>
      </c>
      <c r="N3" s="91" t="s">
        <v>19</v>
      </c>
      <c r="O3" s="91" t="s">
        <v>19</v>
      </c>
      <c r="P3" s="91" t="s">
        <v>19</v>
      </c>
      <c r="Q3" s="87">
        <v>12724</v>
      </c>
      <c r="R3" s="87">
        <v>4000</v>
      </c>
      <c r="S3" s="87">
        <v>8724</v>
      </c>
      <c r="T3" s="89"/>
      <c r="U3" s="88" t="s">
        <v>19</v>
      </c>
      <c r="V3" s="88" t="s">
        <v>19</v>
      </c>
      <c r="W3" s="90">
        <v>12724</v>
      </c>
      <c r="X3" s="90">
        <v>4000</v>
      </c>
      <c r="Y3" s="90">
        <v>8724</v>
      </c>
      <c r="Z3" s="91" t="s">
        <v>19</v>
      </c>
      <c r="AA3" s="91" t="s">
        <v>19</v>
      </c>
      <c r="AB3" s="91" t="s">
        <v>19</v>
      </c>
      <c r="AC3" s="87">
        <v>12724</v>
      </c>
      <c r="AD3" s="87">
        <v>4000</v>
      </c>
      <c r="AE3" s="87">
        <v>8724</v>
      </c>
      <c r="AF3" s="92">
        <v>100</v>
      </c>
      <c r="AG3" s="92">
        <v>210</v>
      </c>
      <c r="AH3" s="92">
        <v>283</v>
      </c>
      <c r="AI3" s="90">
        <v>12724</v>
      </c>
      <c r="AJ3" s="90">
        <v>4000</v>
      </c>
      <c r="AK3" s="90">
        <v>8724</v>
      </c>
      <c r="AL3" s="93">
        <v>0</v>
      </c>
      <c r="AM3" s="93">
        <v>0</v>
      </c>
      <c r="AN3" s="93">
        <v>0</v>
      </c>
      <c r="AO3" s="94">
        <f>SUM(AD3,AJ3,X3,R3,L3,F3)/6</f>
        <v>4000</v>
      </c>
      <c r="AP3" s="95">
        <f>SUM(H3:J3)+SUM(N3:P3)+SUM(T3:V3)+SUM(Z3:AB3)+SUM(AF3:AH3)+SUM(AL3:AN3)</f>
        <v>593</v>
      </c>
      <c r="AQ3" s="96">
        <f>AP3*AO3</f>
        <v>2372000</v>
      </c>
      <c r="AT3" s="97" t="s">
        <v>224</v>
      </c>
      <c r="AU3" s="98">
        <f>+AP4+AP6+AP8+AP9+AP7</f>
        <v>765</v>
      </c>
      <c r="AV3" s="98">
        <f>+AQ4+AQ6+AQ8+AQ9+AQ7</f>
        <v>6012500</v>
      </c>
    </row>
    <row r="4" spans="1:49" x14ac:dyDescent="0.25">
      <c r="A4" s="54" t="s">
        <v>20</v>
      </c>
      <c r="B4" s="18" t="s">
        <v>30</v>
      </c>
      <c r="C4" s="48" t="s">
        <v>2</v>
      </c>
      <c r="D4" s="48" t="s">
        <v>3</v>
      </c>
      <c r="E4" s="61">
        <v>16163</v>
      </c>
      <c r="F4" s="61">
        <v>7500</v>
      </c>
      <c r="G4" s="61">
        <v>8663</v>
      </c>
      <c r="H4" s="62" t="s">
        <v>19</v>
      </c>
      <c r="I4" s="62" t="s">
        <v>19</v>
      </c>
      <c r="J4" s="49"/>
      <c r="K4" s="63">
        <v>16163</v>
      </c>
      <c r="L4" s="63">
        <v>7500</v>
      </c>
      <c r="M4" s="63">
        <v>8663</v>
      </c>
      <c r="N4" s="64">
        <v>10</v>
      </c>
      <c r="O4" s="64">
        <v>10</v>
      </c>
      <c r="P4" s="64">
        <v>10</v>
      </c>
      <c r="Q4" s="61">
        <v>16163</v>
      </c>
      <c r="R4" s="61">
        <v>7500</v>
      </c>
      <c r="S4" s="61">
        <v>8663</v>
      </c>
      <c r="T4" s="49"/>
      <c r="U4" s="62" t="s">
        <v>19</v>
      </c>
      <c r="V4" s="62" t="s">
        <v>19</v>
      </c>
      <c r="W4" s="63">
        <v>16163</v>
      </c>
      <c r="X4" s="63">
        <v>7500</v>
      </c>
      <c r="Y4" s="63">
        <v>8663</v>
      </c>
      <c r="Z4" s="64" t="s">
        <v>19</v>
      </c>
      <c r="AA4" s="64" t="s">
        <v>19</v>
      </c>
      <c r="AB4" s="64" t="s">
        <v>19</v>
      </c>
      <c r="AC4" s="61">
        <v>16163</v>
      </c>
      <c r="AD4" s="61">
        <v>7500</v>
      </c>
      <c r="AE4" s="61">
        <v>8663</v>
      </c>
      <c r="AF4" s="65">
        <v>110</v>
      </c>
      <c r="AG4" s="65">
        <v>125</v>
      </c>
      <c r="AH4" s="65">
        <v>155</v>
      </c>
      <c r="AI4" s="63">
        <v>16163</v>
      </c>
      <c r="AJ4" s="63">
        <v>7500</v>
      </c>
      <c r="AK4" s="63">
        <v>8663</v>
      </c>
      <c r="AL4" s="66">
        <v>55</v>
      </c>
      <c r="AM4" s="66">
        <v>65</v>
      </c>
      <c r="AN4" s="66">
        <v>85</v>
      </c>
      <c r="AO4" s="67">
        <f t="shared" ref="AO4:AO10" si="0">SUM(AD4,AJ4,X4,R4,L4,F4)/6</f>
        <v>7500</v>
      </c>
      <c r="AP4" s="68">
        <f>SUM(H4:J4)+SUM(N4:P4)+SUM(T4:V4)+SUM(Z4:AB4)+SUM(AF4:AH4)+SUM(AL4:AN4)</f>
        <v>625</v>
      </c>
      <c r="AQ4" s="55">
        <f>AP4*AO4</f>
        <v>4687500</v>
      </c>
      <c r="AT4" s="97" t="s">
        <v>225</v>
      </c>
      <c r="AU4" s="98">
        <f>+AP3+AP5</f>
        <v>1039</v>
      </c>
      <c r="AV4" s="98">
        <f>+AQ3+AQ5</f>
        <v>4156000</v>
      </c>
    </row>
    <row r="5" spans="1:49" x14ac:dyDescent="0.25">
      <c r="A5" s="54" t="s">
        <v>20</v>
      </c>
      <c r="B5" s="18" t="s">
        <v>30</v>
      </c>
      <c r="C5" s="48" t="s">
        <v>4</v>
      </c>
      <c r="D5" s="48" t="s">
        <v>5</v>
      </c>
      <c r="E5" s="61">
        <v>11475</v>
      </c>
      <c r="F5" s="61">
        <v>4000</v>
      </c>
      <c r="G5" s="61">
        <v>7475</v>
      </c>
      <c r="H5" s="62">
        <v>1</v>
      </c>
      <c r="I5" s="62">
        <v>2</v>
      </c>
      <c r="J5" s="62">
        <v>3</v>
      </c>
      <c r="K5" s="63">
        <v>11475</v>
      </c>
      <c r="L5" s="63">
        <v>4000</v>
      </c>
      <c r="M5" s="63">
        <v>7475</v>
      </c>
      <c r="N5" s="64" t="s">
        <v>19</v>
      </c>
      <c r="O5" s="64" t="s">
        <v>19</v>
      </c>
      <c r="P5" s="64" t="s">
        <v>19</v>
      </c>
      <c r="Q5" s="61">
        <v>11475</v>
      </c>
      <c r="R5" s="61">
        <v>4000</v>
      </c>
      <c r="S5" s="61">
        <v>7475</v>
      </c>
      <c r="T5" s="62"/>
      <c r="U5" s="62">
        <v>2</v>
      </c>
      <c r="V5" s="62">
        <v>3</v>
      </c>
      <c r="W5" s="63">
        <v>11475</v>
      </c>
      <c r="X5" s="63">
        <v>4000</v>
      </c>
      <c r="Y5" s="63">
        <v>7475</v>
      </c>
      <c r="Z5" s="64">
        <v>5</v>
      </c>
      <c r="AA5" s="64">
        <v>5</v>
      </c>
      <c r="AB5" s="64">
        <v>5</v>
      </c>
      <c r="AC5" s="61">
        <v>11475</v>
      </c>
      <c r="AD5" s="61">
        <v>4000</v>
      </c>
      <c r="AE5" s="61">
        <v>7475</v>
      </c>
      <c r="AF5" s="65">
        <v>100</v>
      </c>
      <c r="AG5" s="65">
        <v>120</v>
      </c>
      <c r="AH5" s="65">
        <v>200</v>
      </c>
      <c r="AI5" s="63">
        <v>11475</v>
      </c>
      <c r="AJ5" s="63">
        <v>4000</v>
      </c>
      <c r="AK5" s="63">
        <v>7475</v>
      </c>
      <c r="AL5" s="66">
        <v>0</v>
      </c>
      <c r="AM5" s="66">
        <v>0</v>
      </c>
      <c r="AN5" s="66">
        <v>0</v>
      </c>
      <c r="AO5" s="67">
        <f t="shared" si="0"/>
        <v>4000</v>
      </c>
      <c r="AP5" s="68">
        <f>SUM(H5:J5)+SUM(N5:P5)+SUM(T5:V5)+SUM(Z5:AB5)+SUM(AF5:AH5)+SUM(AL5:AN5)</f>
        <v>446</v>
      </c>
      <c r="AQ5" s="55">
        <f>AP5*AO5</f>
        <v>1784000</v>
      </c>
      <c r="AT5" s="97" t="s">
        <v>226</v>
      </c>
      <c r="AU5" s="98">
        <f>AP10</f>
        <v>120</v>
      </c>
      <c r="AV5" s="98">
        <f>AQ10</f>
        <v>24000</v>
      </c>
    </row>
    <row r="6" spans="1:49" x14ac:dyDescent="0.25">
      <c r="A6" s="54" t="s">
        <v>20</v>
      </c>
      <c r="B6" s="18" t="s">
        <v>30</v>
      </c>
      <c r="C6" s="48" t="s">
        <v>6</v>
      </c>
      <c r="D6" s="48" t="s">
        <v>7</v>
      </c>
      <c r="E6" s="61">
        <v>15984</v>
      </c>
      <c r="F6" s="61">
        <v>10000</v>
      </c>
      <c r="G6" s="61">
        <v>5984</v>
      </c>
      <c r="H6" s="62" t="s">
        <v>19</v>
      </c>
      <c r="I6" s="62" t="s">
        <v>19</v>
      </c>
      <c r="J6" s="49"/>
      <c r="K6" s="63">
        <v>15984</v>
      </c>
      <c r="L6" s="63">
        <v>10000</v>
      </c>
      <c r="M6" s="63">
        <v>5984</v>
      </c>
      <c r="N6" s="64" t="s">
        <v>19</v>
      </c>
      <c r="O6" s="64" t="s">
        <v>19</v>
      </c>
      <c r="P6" s="64" t="s">
        <v>19</v>
      </c>
      <c r="Q6" s="61">
        <v>15984</v>
      </c>
      <c r="R6" s="61">
        <v>10000</v>
      </c>
      <c r="S6" s="61">
        <v>5984</v>
      </c>
      <c r="T6" s="49"/>
      <c r="U6" s="62" t="s">
        <v>19</v>
      </c>
      <c r="V6" s="62" t="s">
        <v>19</v>
      </c>
      <c r="W6" s="63">
        <v>15984</v>
      </c>
      <c r="X6" s="63">
        <v>10000</v>
      </c>
      <c r="Y6" s="63">
        <v>5984</v>
      </c>
      <c r="Z6" s="64" t="s">
        <v>19</v>
      </c>
      <c r="AA6" s="64" t="s">
        <v>19</v>
      </c>
      <c r="AB6" s="64" t="s">
        <v>19</v>
      </c>
      <c r="AC6" s="61">
        <v>15984</v>
      </c>
      <c r="AD6" s="61">
        <v>10000</v>
      </c>
      <c r="AE6" s="61">
        <v>5984</v>
      </c>
      <c r="AF6" s="65">
        <v>20</v>
      </c>
      <c r="AG6" s="65">
        <v>34</v>
      </c>
      <c r="AH6" s="65">
        <v>44</v>
      </c>
      <c r="AI6" s="63">
        <v>15984</v>
      </c>
      <c r="AJ6" s="63">
        <v>10000</v>
      </c>
      <c r="AK6" s="63">
        <v>5984</v>
      </c>
      <c r="AL6" s="66">
        <v>0</v>
      </c>
      <c r="AM6" s="66">
        <v>0</v>
      </c>
      <c r="AN6" s="66">
        <v>0</v>
      </c>
      <c r="AO6" s="67">
        <f t="shared" si="0"/>
        <v>10000</v>
      </c>
      <c r="AP6" s="68">
        <f>SUM(H6:J6)+SUM(N6:P6)+SUM(T6:V6)+SUM(Z6:AB6)+SUM(AF6:AH6)+SUM(AL6:AN6)</f>
        <v>98</v>
      </c>
      <c r="AQ6" s="55">
        <f>AP6*AO6</f>
        <v>980000</v>
      </c>
      <c r="AT6" s="97" t="s">
        <v>227</v>
      </c>
      <c r="AU6" s="98">
        <f>SUM(AP11:AP14)</f>
        <v>668</v>
      </c>
      <c r="AV6" s="98">
        <f>SUM(AQ11:AQ14)</f>
        <v>10160431.624</v>
      </c>
    </row>
    <row r="7" spans="1:49" x14ac:dyDescent="0.25">
      <c r="A7" s="54" t="s">
        <v>20</v>
      </c>
      <c r="B7" s="18" t="s">
        <v>30</v>
      </c>
      <c r="C7" s="48" t="s">
        <v>8</v>
      </c>
      <c r="D7" s="48" t="s">
        <v>9</v>
      </c>
      <c r="E7" s="61">
        <v>18500</v>
      </c>
      <c r="F7" s="61">
        <v>7500</v>
      </c>
      <c r="G7" s="61">
        <v>11000</v>
      </c>
      <c r="H7" s="62" t="s">
        <v>19</v>
      </c>
      <c r="I7" s="62" t="s">
        <v>19</v>
      </c>
      <c r="J7" s="49"/>
      <c r="K7" s="63">
        <v>18500</v>
      </c>
      <c r="L7" s="63">
        <v>7500</v>
      </c>
      <c r="M7" s="63">
        <v>11000</v>
      </c>
      <c r="N7" s="64" t="s">
        <v>19</v>
      </c>
      <c r="O7" s="64" t="s">
        <v>19</v>
      </c>
      <c r="P7" s="64" t="s">
        <v>19</v>
      </c>
      <c r="Q7" s="61">
        <v>18500</v>
      </c>
      <c r="R7" s="61">
        <v>7500</v>
      </c>
      <c r="S7" s="61">
        <v>11000</v>
      </c>
      <c r="T7" s="49"/>
      <c r="U7" s="62" t="s">
        <v>19</v>
      </c>
      <c r="V7" s="62" t="s">
        <v>19</v>
      </c>
      <c r="W7" s="63">
        <v>18500</v>
      </c>
      <c r="X7" s="63">
        <v>7500</v>
      </c>
      <c r="Y7" s="63">
        <v>11000</v>
      </c>
      <c r="Z7" s="64" t="s">
        <v>19</v>
      </c>
      <c r="AA7" s="64" t="s">
        <v>19</v>
      </c>
      <c r="AB7" s="64" t="s">
        <v>19</v>
      </c>
      <c r="AC7" s="61">
        <v>18500</v>
      </c>
      <c r="AD7" s="61">
        <v>7500</v>
      </c>
      <c r="AE7" s="61">
        <v>11000</v>
      </c>
      <c r="AF7" s="65">
        <v>5</v>
      </c>
      <c r="AG7" s="65">
        <v>10</v>
      </c>
      <c r="AH7" s="65">
        <v>15</v>
      </c>
      <c r="AI7" s="63">
        <v>18500</v>
      </c>
      <c r="AJ7" s="63">
        <v>7500</v>
      </c>
      <c r="AK7" s="63">
        <v>11000</v>
      </c>
      <c r="AL7" s="66">
        <v>0</v>
      </c>
      <c r="AM7" s="66">
        <v>0</v>
      </c>
      <c r="AN7" s="66">
        <v>0</v>
      </c>
      <c r="AO7" s="67">
        <f t="shared" si="0"/>
        <v>7500</v>
      </c>
      <c r="AP7" s="68">
        <f>SUM(H7:J7)+SUM(N7:P7)+SUM(T7:V7)+SUM(Z7:AB7)+SUM(AF7:AH7)+SUM(AL7:AN7)</f>
        <v>30</v>
      </c>
      <c r="AQ7" s="55">
        <f>AP7*AO7</f>
        <v>225000</v>
      </c>
    </row>
    <row r="8" spans="1:49" x14ac:dyDescent="0.25">
      <c r="A8" s="54" t="s">
        <v>20</v>
      </c>
      <c r="B8" s="18" t="s">
        <v>30</v>
      </c>
      <c r="C8" s="48" t="s">
        <v>10</v>
      </c>
      <c r="D8" s="48" t="s">
        <v>11</v>
      </c>
      <c r="E8" s="61">
        <v>32639</v>
      </c>
      <c r="F8" s="61">
        <v>10000</v>
      </c>
      <c r="G8" s="61">
        <v>22639</v>
      </c>
      <c r="H8" s="62" t="s">
        <v>19</v>
      </c>
      <c r="I8" s="62" t="s">
        <v>19</v>
      </c>
      <c r="J8" s="49"/>
      <c r="K8" s="63">
        <v>32639</v>
      </c>
      <c r="L8" s="63">
        <v>10000</v>
      </c>
      <c r="M8" s="63">
        <v>22639</v>
      </c>
      <c r="N8" s="64" t="s">
        <v>19</v>
      </c>
      <c r="O8" s="64" t="s">
        <v>19</v>
      </c>
      <c r="P8" s="64" t="s">
        <v>19</v>
      </c>
      <c r="Q8" s="61">
        <v>32639</v>
      </c>
      <c r="R8" s="61">
        <v>10000</v>
      </c>
      <c r="S8" s="61">
        <v>22639</v>
      </c>
      <c r="T8" s="49"/>
      <c r="U8" s="62" t="s">
        <v>19</v>
      </c>
      <c r="V8" s="62" t="s">
        <v>19</v>
      </c>
      <c r="W8" s="63">
        <v>32639</v>
      </c>
      <c r="X8" s="63">
        <v>10000</v>
      </c>
      <c r="Y8" s="63">
        <v>22639</v>
      </c>
      <c r="Z8" s="64" t="s">
        <v>19</v>
      </c>
      <c r="AA8" s="64" t="s">
        <v>19</v>
      </c>
      <c r="AB8" s="64" t="s">
        <v>19</v>
      </c>
      <c r="AC8" s="61">
        <v>32639</v>
      </c>
      <c r="AD8" s="61">
        <v>10000</v>
      </c>
      <c r="AE8" s="61">
        <v>22639</v>
      </c>
      <c r="AF8" s="65">
        <v>2</v>
      </c>
      <c r="AG8" s="65">
        <v>2</v>
      </c>
      <c r="AH8" s="65">
        <v>2</v>
      </c>
      <c r="AI8" s="63">
        <v>32639</v>
      </c>
      <c r="AJ8" s="63">
        <v>10000</v>
      </c>
      <c r="AK8" s="63">
        <v>22639</v>
      </c>
      <c r="AL8" s="66">
        <v>0</v>
      </c>
      <c r="AM8" s="66">
        <v>0</v>
      </c>
      <c r="AN8" s="66">
        <v>0</v>
      </c>
      <c r="AO8" s="67">
        <f t="shared" si="0"/>
        <v>10000</v>
      </c>
      <c r="AP8" s="68">
        <f>SUM(H8:J8)+SUM(N8:P8)+SUM(T8:V8)+SUM(Z8:AB8)+SUM(AF8:AH8)+SUM(AL8:AN8)</f>
        <v>6</v>
      </c>
      <c r="AQ8" s="55">
        <f>AP8*AO8</f>
        <v>60000</v>
      </c>
    </row>
    <row r="9" spans="1:49" ht="14.25" customHeight="1" x14ac:dyDescent="0.25">
      <c r="A9" s="54" t="s">
        <v>20</v>
      </c>
      <c r="B9" s="18" t="s">
        <v>30</v>
      </c>
      <c r="C9" s="48" t="s">
        <v>12</v>
      </c>
      <c r="D9" s="48" t="s">
        <v>13</v>
      </c>
      <c r="E9" s="61">
        <v>20197</v>
      </c>
      <c r="F9" s="61">
        <v>10000</v>
      </c>
      <c r="G9" s="61">
        <v>10197</v>
      </c>
      <c r="H9" s="49" t="s">
        <v>19</v>
      </c>
      <c r="I9" s="62" t="s">
        <v>19</v>
      </c>
      <c r="J9" s="49"/>
      <c r="K9" s="63">
        <v>20197</v>
      </c>
      <c r="L9" s="63">
        <v>10000</v>
      </c>
      <c r="M9" s="63">
        <v>10197</v>
      </c>
      <c r="N9" s="64" t="s">
        <v>19</v>
      </c>
      <c r="O9" s="64" t="s">
        <v>19</v>
      </c>
      <c r="P9" s="64" t="s">
        <v>19</v>
      </c>
      <c r="Q9" s="61">
        <v>20197</v>
      </c>
      <c r="R9" s="61">
        <v>10000</v>
      </c>
      <c r="S9" s="61">
        <v>10197</v>
      </c>
      <c r="T9" s="49"/>
      <c r="U9" s="62" t="s">
        <v>19</v>
      </c>
      <c r="V9" s="62" t="s">
        <v>19</v>
      </c>
      <c r="W9" s="63">
        <v>20197</v>
      </c>
      <c r="X9" s="63">
        <v>10000</v>
      </c>
      <c r="Y9" s="63">
        <v>10197</v>
      </c>
      <c r="Z9" s="64" t="s">
        <v>19</v>
      </c>
      <c r="AA9" s="64" t="s">
        <v>19</v>
      </c>
      <c r="AB9" s="64" t="s">
        <v>19</v>
      </c>
      <c r="AC9" s="61">
        <v>20197</v>
      </c>
      <c r="AD9" s="61">
        <v>10000</v>
      </c>
      <c r="AE9" s="61">
        <v>10197</v>
      </c>
      <c r="AF9" s="65">
        <v>2</v>
      </c>
      <c r="AG9" s="65">
        <v>2</v>
      </c>
      <c r="AH9" s="65">
        <v>2</v>
      </c>
      <c r="AI9" s="63">
        <v>20197</v>
      </c>
      <c r="AJ9" s="63">
        <v>10000</v>
      </c>
      <c r="AK9" s="63">
        <v>10197</v>
      </c>
      <c r="AL9" s="66">
        <v>0</v>
      </c>
      <c r="AM9" s="66">
        <v>0</v>
      </c>
      <c r="AN9" s="66">
        <v>0</v>
      </c>
      <c r="AO9" s="67">
        <f t="shared" si="0"/>
        <v>10000</v>
      </c>
      <c r="AP9" s="68">
        <f>SUM(H9:J9)+SUM(N9:P9)+SUM(T9:V9)+SUM(Z9:AB9)+SUM(AF9:AH9)+SUM(AL9:AN9)</f>
        <v>6</v>
      </c>
      <c r="AQ9" s="55">
        <f>AP9*AO9</f>
        <v>60000</v>
      </c>
    </row>
    <row r="10" spans="1:49" ht="14.25" customHeight="1" x14ac:dyDescent="0.25">
      <c r="A10" s="54" t="s">
        <v>20</v>
      </c>
      <c r="B10" s="18" t="s">
        <v>30</v>
      </c>
      <c r="C10" s="48" t="s">
        <v>31</v>
      </c>
      <c r="D10" s="48" t="s">
        <v>32</v>
      </c>
      <c r="E10" s="61">
        <v>457</v>
      </c>
      <c r="F10" s="61">
        <v>200</v>
      </c>
      <c r="G10" s="61">
        <v>257</v>
      </c>
      <c r="H10" s="49"/>
      <c r="I10" s="62" t="s">
        <v>19</v>
      </c>
      <c r="J10" s="49"/>
      <c r="K10" s="63">
        <v>457</v>
      </c>
      <c r="L10" s="63">
        <v>200</v>
      </c>
      <c r="M10" s="63">
        <v>257</v>
      </c>
      <c r="N10" s="64" t="s">
        <v>19</v>
      </c>
      <c r="O10" s="64" t="s">
        <v>19</v>
      </c>
      <c r="P10" s="64" t="s">
        <v>19</v>
      </c>
      <c r="Q10" s="61">
        <v>457</v>
      </c>
      <c r="R10" s="61">
        <v>200</v>
      </c>
      <c r="S10" s="61">
        <v>257</v>
      </c>
      <c r="T10" s="49"/>
      <c r="U10" s="62" t="s">
        <v>19</v>
      </c>
      <c r="V10" s="62" t="s">
        <v>19</v>
      </c>
      <c r="W10" s="63">
        <v>457</v>
      </c>
      <c r="X10" s="63">
        <v>200</v>
      </c>
      <c r="Y10" s="63">
        <v>257</v>
      </c>
      <c r="Z10" s="64" t="s">
        <v>19</v>
      </c>
      <c r="AA10" s="64" t="s">
        <v>19</v>
      </c>
      <c r="AB10" s="64" t="s">
        <v>19</v>
      </c>
      <c r="AC10" s="61">
        <v>457</v>
      </c>
      <c r="AD10" s="61">
        <v>200</v>
      </c>
      <c r="AE10" s="61">
        <v>257</v>
      </c>
      <c r="AF10" s="65">
        <v>30</v>
      </c>
      <c r="AG10" s="65">
        <v>40</v>
      </c>
      <c r="AH10" s="65">
        <v>50</v>
      </c>
      <c r="AI10" s="63">
        <v>457</v>
      </c>
      <c r="AJ10" s="63">
        <v>200</v>
      </c>
      <c r="AK10" s="63">
        <v>257</v>
      </c>
      <c r="AL10" s="66">
        <v>0</v>
      </c>
      <c r="AM10" s="66">
        <v>0</v>
      </c>
      <c r="AN10" s="66">
        <v>0</v>
      </c>
      <c r="AO10" s="67">
        <f t="shared" si="0"/>
        <v>200</v>
      </c>
      <c r="AP10" s="68">
        <f>SUM(H10:J10)+SUM(N10:P10)+SUM(T10:V10)+SUM(Z10:AB10)+SUM(AF10:AH10)+SUM(AL10:AN10)</f>
        <v>120</v>
      </c>
      <c r="AQ10" s="55">
        <f>AP10*AO10</f>
        <v>24000</v>
      </c>
    </row>
    <row r="11" spans="1:49" x14ac:dyDescent="0.25">
      <c r="A11" s="54" t="s">
        <v>20</v>
      </c>
      <c r="B11" s="15" t="s">
        <v>29</v>
      </c>
      <c r="C11" s="18" t="s">
        <v>21</v>
      </c>
      <c r="D11" s="18" t="s">
        <v>22</v>
      </c>
      <c r="E11" s="61">
        <v>17142.857142857145</v>
      </c>
      <c r="F11" s="61">
        <v>12000</v>
      </c>
      <c r="G11" s="61">
        <v>5142.8571428571449</v>
      </c>
      <c r="H11" s="49"/>
      <c r="I11" s="49"/>
      <c r="J11" s="49"/>
      <c r="K11" s="63">
        <v>17142.857142857145</v>
      </c>
      <c r="L11" s="63">
        <v>12000</v>
      </c>
      <c r="M11" s="63">
        <v>5142.8571428571449</v>
      </c>
      <c r="N11" s="64" t="s">
        <v>19</v>
      </c>
      <c r="O11" s="64" t="s">
        <v>19</v>
      </c>
      <c r="P11" s="64" t="s">
        <v>19</v>
      </c>
      <c r="Q11" s="61">
        <v>0</v>
      </c>
      <c r="R11" s="61">
        <v>0</v>
      </c>
      <c r="S11" s="61">
        <v>0</v>
      </c>
      <c r="T11" s="49"/>
      <c r="U11" s="49"/>
      <c r="V11" s="49"/>
      <c r="W11" s="69"/>
      <c r="X11" s="69"/>
      <c r="Y11" s="69"/>
      <c r="Z11" s="69"/>
      <c r="AA11" s="69"/>
      <c r="AB11" s="69"/>
      <c r="AC11" s="61">
        <v>21733.723753086419</v>
      </c>
      <c r="AD11" s="61">
        <v>16300.292814814815</v>
      </c>
      <c r="AE11" s="61">
        <v>5433.4309382716037</v>
      </c>
      <c r="AF11" s="49">
        <v>24</v>
      </c>
      <c r="AG11" s="65">
        <v>36</v>
      </c>
      <c r="AH11" s="49">
        <v>48</v>
      </c>
      <c r="AI11" s="63">
        <v>17142.857142857101</v>
      </c>
      <c r="AJ11" s="63">
        <v>12000</v>
      </c>
      <c r="AK11" s="63">
        <v>5142.8571428571449</v>
      </c>
      <c r="AL11" s="66">
        <v>0</v>
      </c>
      <c r="AM11" s="66">
        <v>0</v>
      </c>
      <c r="AN11" s="66">
        <v>0</v>
      </c>
      <c r="AO11" s="54"/>
      <c r="AP11" s="68">
        <f>SUM(H11:J11)+SUM(N11:P11)+SUM(T11:V11)+SUM(Z11:AB11)+SUM(AF11:AH11)+SUM(AL11:AN11)</f>
        <v>108</v>
      </c>
      <c r="AQ11" s="55">
        <f>AD11*SUM(AF11:AH11)</f>
        <v>1760431.6240000001</v>
      </c>
    </row>
    <row r="12" spans="1:49" x14ac:dyDescent="0.25">
      <c r="A12" s="54" t="s">
        <v>20</v>
      </c>
      <c r="B12" s="15" t="s">
        <v>29</v>
      </c>
      <c r="C12" s="18" t="s">
        <v>23</v>
      </c>
      <c r="D12" s="18" t="s">
        <v>24</v>
      </c>
      <c r="E12" s="61">
        <v>17142.857142857145</v>
      </c>
      <c r="F12" s="61">
        <v>12000</v>
      </c>
      <c r="G12" s="61">
        <v>5142.8571428571449</v>
      </c>
      <c r="H12" s="49"/>
      <c r="I12" s="49"/>
      <c r="J12" s="49"/>
      <c r="K12" s="63">
        <v>21428.571428571431</v>
      </c>
      <c r="L12" s="63">
        <v>15000</v>
      </c>
      <c r="M12" s="63">
        <v>6428.5714285714312</v>
      </c>
      <c r="N12" s="64" t="s">
        <v>19</v>
      </c>
      <c r="O12" s="64" t="s">
        <v>19</v>
      </c>
      <c r="P12" s="64" t="s">
        <v>19</v>
      </c>
      <c r="Q12" s="61">
        <v>0</v>
      </c>
      <c r="R12" s="61">
        <v>0</v>
      </c>
      <c r="S12" s="61">
        <v>0</v>
      </c>
      <c r="T12" s="49"/>
      <c r="U12" s="49"/>
      <c r="V12" s="49"/>
      <c r="W12" s="69"/>
      <c r="X12" s="69"/>
      <c r="Y12" s="69"/>
      <c r="Z12" s="69"/>
      <c r="AA12" s="69"/>
      <c r="AB12" s="69"/>
      <c r="AC12" s="61">
        <v>0</v>
      </c>
      <c r="AD12" s="61">
        <v>0</v>
      </c>
      <c r="AE12" s="61">
        <v>0</v>
      </c>
      <c r="AF12" s="49"/>
      <c r="AG12" s="65">
        <v>0</v>
      </c>
      <c r="AH12" s="49"/>
      <c r="AI12" s="63">
        <v>21428.571428571431</v>
      </c>
      <c r="AJ12" s="63">
        <v>15000</v>
      </c>
      <c r="AK12" s="63">
        <v>6428.5714285714312</v>
      </c>
      <c r="AL12" s="66">
        <v>0</v>
      </c>
      <c r="AM12" s="66">
        <v>0</v>
      </c>
      <c r="AN12" s="66">
        <v>0</v>
      </c>
      <c r="AO12" s="54"/>
      <c r="AP12" s="68">
        <f>SUM(H12:J12)+SUM(N12:P12)+SUM(T12:V12)+SUM(Z12:AB12)+SUM(AF12:AH12)+SUM(AL12:AN12)</f>
        <v>0</v>
      </c>
      <c r="AQ12" s="55"/>
    </row>
    <row r="13" spans="1:49" x14ac:dyDescent="0.25">
      <c r="A13" s="54" t="s">
        <v>20</v>
      </c>
      <c r="B13" s="15" t="s">
        <v>29</v>
      </c>
      <c r="C13" s="18" t="s">
        <v>25</v>
      </c>
      <c r="D13" s="18" t="s">
        <v>26</v>
      </c>
      <c r="E13" s="61">
        <v>21428.571428571431</v>
      </c>
      <c r="F13" s="61">
        <v>15000</v>
      </c>
      <c r="G13" s="61">
        <v>6428.5714285714312</v>
      </c>
      <c r="H13" s="49"/>
      <c r="I13" s="49"/>
      <c r="J13" s="49"/>
      <c r="K13" s="63">
        <v>21428.571428571431</v>
      </c>
      <c r="L13" s="63">
        <v>15000</v>
      </c>
      <c r="M13" s="63">
        <v>6428.5714285714312</v>
      </c>
      <c r="N13" s="64">
        <v>20</v>
      </c>
      <c r="O13" s="64">
        <v>40</v>
      </c>
      <c r="P13" s="64">
        <v>80</v>
      </c>
      <c r="Q13" s="61">
        <v>0</v>
      </c>
      <c r="R13" s="61">
        <v>0</v>
      </c>
      <c r="S13" s="61">
        <v>0</v>
      </c>
      <c r="T13" s="49"/>
      <c r="U13" s="49"/>
      <c r="V13" s="49"/>
      <c r="W13" s="69"/>
      <c r="X13" s="69"/>
      <c r="Y13" s="69"/>
      <c r="Z13" s="69"/>
      <c r="AA13" s="69"/>
      <c r="AB13" s="69"/>
      <c r="AC13" s="61">
        <v>0</v>
      </c>
      <c r="AD13" s="61">
        <v>0</v>
      </c>
      <c r="AE13" s="61">
        <v>0</v>
      </c>
      <c r="AF13" s="49"/>
      <c r="AG13" s="65">
        <v>0</v>
      </c>
      <c r="AH13" s="49"/>
      <c r="AI13" s="63">
        <v>21428.571428571431</v>
      </c>
      <c r="AJ13" s="63">
        <v>15000</v>
      </c>
      <c r="AK13" s="63">
        <v>6428.5714285714312</v>
      </c>
      <c r="AL13" s="66">
        <v>20</v>
      </c>
      <c r="AM13" s="66">
        <v>40</v>
      </c>
      <c r="AN13" s="66">
        <v>80</v>
      </c>
      <c r="AO13" s="54"/>
      <c r="AP13" s="68">
        <f>SUM(H13:J13)+SUM(N13:P13)+SUM(T13:V13)+SUM(Z13:AB13)+SUM(AF13:AH13)+SUM(AL13:AN13)</f>
        <v>280</v>
      </c>
      <c r="AQ13" s="55">
        <f>L13*SUM(AL13:AN13)*2</f>
        <v>4200000</v>
      </c>
    </row>
    <row r="14" spans="1:49" x14ac:dyDescent="0.25">
      <c r="A14" s="79" t="s">
        <v>20</v>
      </c>
      <c r="B14" s="70" t="s">
        <v>29</v>
      </c>
      <c r="C14" s="71" t="s">
        <v>27</v>
      </c>
      <c r="D14" s="71" t="s">
        <v>28</v>
      </c>
      <c r="E14" s="72">
        <v>21428.571428571431</v>
      </c>
      <c r="F14" s="72">
        <v>15000</v>
      </c>
      <c r="G14" s="72">
        <v>6428.5714285714312</v>
      </c>
      <c r="H14" s="73"/>
      <c r="I14" s="73"/>
      <c r="J14" s="73"/>
      <c r="K14" s="74">
        <v>21428.571428571431</v>
      </c>
      <c r="L14" s="74">
        <v>15000</v>
      </c>
      <c r="M14" s="74">
        <v>6428.5714285714312</v>
      </c>
      <c r="N14" s="75">
        <v>20</v>
      </c>
      <c r="O14" s="75">
        <v>40</v>
      </c>
      <c r="P14" s="75">
        <v>80</v>
      </c>
      <c r="Q14" s="72">
        <v>0</v>
      </c>
      <c r="R14" s="72">
        <v>0</v>
      </c>
      <c r="S14" s="72">
        <v>0</v>
      </c>
      <c r="T14" s="73"/>
      <c r="U14" s="73"/>
      <c r="V14" s="73"/>
      <c r="W14" s="76"/>
      <c r="X14" s="76"/>
      <c r="Y14" s="76"/>
      <c r="Z14" s="76"/>
      <c r="AA14" s="76"/>
      <c r="AB14" s="76"/>
      <c r="AC14" s="72">
        <v>0</v>
      </c>
      <c r="AD14" s="72">
        <v>0</v>
      </c>
      <c r="AE14" s="72">
        <v>0</v>
      </c>
      <c r="AF14" s="73"/>
      <c r="AG14" s="77">
        <v>0</v>
      </c>
      <c r="AH14" s="73"/>
      <c r="AI14" s="74">
        <v>21428.571428571431</v>
      </c>
      <c r="AJ14" s="74">
        <v>15000</v>
      </c>
      <c r="AK14" s="74">
        <v>6428.5714285714312</v>
      </c>
      <c r="AL14" s="78">
        <v>20</v>
      </c>
      <c r="AM14" s="78">
        <v>40</v>
      </c>
      <c r="AN14" s="78">
        <v>80</v>
      </c>
      <c r="AO14" s="79"/>
      <c r="AP14" s="80">
        <f>SUM(H14:J14)+SUM(N14:P14)+SUM(T14:V14)+SUM(Z14:AB14)+SUM(AF14:AH14)+SUM(AL14:AN14)</f>
        <v>280</v>
      </c>
      <c r="AQ14" s="81">
        <f>L14*SUM(AL14:AN14)*2</f>
        <v>4200000</v>
      </c>
      <c r="AT14">
        <f>58916</f>
        <v>58916</v>
      </c>
    </row>
    <row r="15" spans="1:49" x14ac:dyDescent="0.25">
      <c r="AT15" s="28">
        <f>AT14+SUM(AU3:AU5)</f>
        <v>60840</v>
      </c>
      <c r="AW15">
        <v>2592</v>
      </c>
    </row>
    <row r="16" spans="1:49" x14ac:dyDescent="0.25">
      <c r="AT16">
        <v>60840</v>
      </c>
      <c r="AW16">
        <v>62018</v>
      </c>
    </row>
    <row r="17" spans="46:46" x14ac:dyDescent="0.25">
      <c r="AT17" s="28">
        <f>+AT15-AT16</f>
        <v>0</v>
      </c>
    </row>
  </sheetData>
  <mergeCells count="5">
    <mergeCell ref="K1:P1"/>
    <mergeCell ref="Q1:V1"/>
    <mergeCell ref="W1:AB1"/>
    <mergeCell ref="AC1:AH1"/>
    <mergeCell ref="AI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All Original</vt:lpstr>
      <vt:lpstr>Electric</vt:lpstr>
      <vt:lpstr>Electric -- Fuel Sort</vt:lpstr>
      <vt:lpstr>Other Rows Removed</vt:lpstr>
      <vt:lpstr>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Brownsberger</dc:creator>
  <cp:lastModifiedBy>Will Brownsberger</cp:lastModifiedBy>
  <dcterms:created xsi:type="dcterms:W3CDTF">2022-11-19T13:07:00Z</dcterms:created>
  <dcterms:modified xsi:type="dcterms:W3CDTF">2022-11-19T23:59:31Z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d4a71228-7158-4b47-9763-9768a2456531</vt:lpwstr>
  </property>
</Properties>
</file>