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F7D258AE-0557-4638-B133-91AC9770CD19}" xr6:coauthVersionLast="46" xr6:coauthVersionMax="46" xr10:uidLastSave="{00000000-0000-0000-0000-000000000000}"/>
  <bookViews>
    <workbookView xWindow="38475" yWindow="5685" windowWidth="26235" windowHeight="13380" xr2:uid="{6AE95A54-F2CE-4406-B9DA-85972E5E92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  <c r="K24" i="1"/>
  <c r="K23" i="1"/>
  <c r="K22" i="1"/>
  <c r="K21" i="1"/>
  <c r="K19" i="1"/>
  <c r="K18" i="1"/>
  <c r="I18" i="1"/>
  <c r="I24" i="1" s="1"/>
  <c r="J25" i="1"/>
  <c r="J24" i="1"/>
  <c r="J23" i="1"/>
  <c r="I23" i="1"/>
  <c r="J22" i="1"/>
  <c r="J21" i="1"/>
  <c r="I19" i="1"/>
  <c r="I21" i="1" s="1"/>
  <c r="J19" i="1"/>
  <c r="J18" i="1"/>
  <c r="B10" i="1"/>
  <c r="H8" i="1"/>
  <c r="H10" i="1" s="1"/>
  <c r="H11" i="1" s="1"/>
  <c r="H12" i="1" s="1"/>
  <c r="C25" i="1"/>
  <c r="C24" i="1"/>
  <c r="B8" i="1"/>
  <c r="B7" i="1"/>
  <c r="B9" i="1" s="1"/>
  <c r="C22" i="1" s="1"/>
  <c r="B25" i="1"/>
  <c r="B24" i="1"/>
  <c r="B23" i="1"/>
  <c r="B22" i="1"/>
  <c r="B21" i="1"/>
  <c r="I22" i="1" l="1"/>
  <c r="I25" i="1"/>
  <c r="C21" i="1"/>
  <c r="C23" i="1"/>
  <c r="C26" i="1"/>
  <c r="D26" i="1" s="1"/>
  <c r="C16" i="1"/>
  <c r="C17" i="1"/>
  <c r="C14" i="1"/>
  <c r="C13" i="1"/>
  <c r="C15" i="1"/>
  <c r="C18" i="1"/>
</calcChain>
</file>

<file path=xl/sharedStrings.xml><?xml version="1.0" encoding="utf-8"?>
<sst xmlns="http://schemas.openxmlformats.org/spreadsheetml/2006/main" count="56" uniqueCount="53">
  <si>
    <t>Constant non-power emissions</t>
  </si>
  <si>
    <t>P</t>
  </si>
  <si>
    <t>N</t>
  </si>
  <si>
    <t>Grid multiplier for vehicle production emissions</t>
  </si>
  <si>
    <t>D</t>
  </si>
  <si>
    <t>Grid multiplier for driving emissions</t>
  </si>
  <si>
    <t>N+ P * 436 + D * 436 = .75</t>
  </si>
  <si>
    <t>S1</t>
  </si>
  <si>
    <t>S2</t>
  </si>
  <si>
    <t>S3</t>
  </si>
  <si>
    <t>China</t>
  </si>
  <si>
    <t>Green</t>
  </si>
  <si>
    <t>US Avg</t>
  </si>
  <si>
    <t>Washington</t>
  </si>
  <si>
    <t>WV</t>
  </si>
  <si>
    <t>Varying Model: Use China for manufacture and vary only grid</t>
  </si>
  <si>
    <t>N + P * 436 + D * 101 =  .39</t>
  </si>
  <si>
    <t>N + P * 101 + D* 436 = .71</t>
  </si>
  <si>
    <t xml:space="preserve">S1 - S2 yields P= </t>
  </si>
  <si>
    <t xml:space="preserve">S1 - S3 yields D= </t>
  </si>
  <si>
    <t xml:space="preserve">Plugging in values, N= </t>
  </si>
  <si>
    <t>Washington manu</t>
  </si>
  <si>
    <t>Wash charge</t>
  </si>
  <si>
    <t>WV charge</t>
  </si>
  <si>
    <t>Green both</t>
  </si>
  <si>
    <t>China both</t>
  </si>
  <si>
    <t>US Avg both</t>
  </si>
  <si>
    <t>gCO2e/kwh</t>
  </si>
  <si>
    <t>Verifying model</t>
  </si>
  <si>
    <t>Good</t>
  </si>
  <si>
    <t>Diff from .23</t>
  </si>
  <si>
    <t>Diff from 1.13</t>
  </si>
  <si>
    <t>Carbon Emissions from electricity consumption</t>
  </si>
  <si>
    <t>retail</t>
  </si>
  <si>
    <t>direct</t>
  </si>
  <si>
    <t>total</t>
  </si>
  <si>
    <t>mwh</t>
  </si>
  <si>
    <t>MMTCO2eGHG/MWH</t>
  </si>
  <si>
    <t>SCALE TO KWH</t>
  </si>
  <si>
    <t>scale to grams</t>
  </si>
  <si>
    <t>MMTCO2eGHG carbon emissions from electricity consumption from GHG Inventory Appendix C</t>
  </si>
  <si>
    <t>from EIA state electricity profile 2017 -- https://www.eia.gov/electricity/state/archive/2017/massachusetts/</t>
  </si>
  <si>
    <t>Massachusetts (2017)</t>
  </si>
  <si>
    <t>Note MA gCO2e/kwh (2017)</t>
  </si>
  <si>
    <t>Reading from Graph</t>
  </si>
  <si>
    <t>Manufacture</t>
  </si>
  <si>
    <t>Driving</t>
  </si>
  <si>
    <t>ICEV</t>
  </si>
  <si>
    <t>BEV</t>
  </si>
  <si>
    <t xml:space="preserve">Production  = </t>
  </si>
  <si>
    <t>Totals w/drive</t>
  </si>
  <si>
    <t>HEV</t>
  </si>
  <si>
    <t>Note: Comparison for reduced driving on average US grid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</si>
</sst>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3" fontId="0" fillId="0" borderId="0" xfId="0" applyNumberFormat="1"/>
    <xf numFmtId="11" fontId="0" fillId="0" borderId="0" xfId="2" applyNumberFormat="1" applyFont="1"/>
    <xf numFmtId="11" fontId="0" fillId="0" borderId="0" xfId="0" applyNumberFormat="1"/>
    <xf numFmtId="0" fontId="2" fillId="0" borderId="0" xfId="0" applyFont="1"/>
    <xf numFmtId="9" fontId="0" fillId="0" borderId="0" xfId="0" applyNumberFormat="1"/>
    <xf numFmtId="9" fontId="0" fillId="0" borderId="0" xfId="1" applyFont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6AF54-6410-41C1-82C6-EC8F78BB60F9}">
  <dimension ref="A1:K26"/>
  <sheetViews>
    <sheetView tabSelected="1" workbookViewId="0">
      <selection activeCell="H22" sqref="H22"/>
    </sheetView>
  </sheetViews>
  <sheetFormatPr defaultRowHeight="15" x14ac:dyDescent="0.25"/>
  <cols>
    <col min="1" max="1" width="22.85546875" customWidth="1"/>
    <col min="2" max="2" width="11.28515625" customWidth="1"/>
    <col min="5" max="5" width="12" bestFit="1" customWidth="1"/>
    <col min="8" max="8" width="13.7109375" customWidth="1"/>
  </cols>
  <sheetData>
    <row r="1" spans="1:10" x14ac:dyDescent="0.25">
      <c r="A1" t="s">
        <v>2</v>
      </c>
      <c r="B1" t="s">
        <v>0</v>
      </c>
    </row>
    <row r="2" spans="1:10" x14ac:dyDescent="0.25">
      <c r="A2" t="s">
        <v>1</v>
      </c>
      <c r="B2" t="s">
        <v>3</v>
      </c>
    </row>
    <row r="3" spans="1:10" x14ac:dyDescent="0.25">
      <c r="A3" t="s">
        <v>4</v>
      </c>
      <c r="B3" t="s">
        <v>5</v>
      </c>
      <c r="H3" s="5" t="s">
        <v>43</v>
      </c>
    </row>
    <row r="4" spans="1:10" x14ac:dyDescent="0.25">
      <c r="A4" t="s">
        <v>7</v>
      </c>
      <c r="B4" t="s">
        <v>6</v>
      </c>
      <c r="H4" s="5" t="s">
        <v>32</v>
      </c>
    </row>
    <row r="5" spans="1:10" x14ac:dyDescent="0.25">
      <c r="A5" t="s">
        <v>8</v>
      </c>
      <c r="B5" t="s">
        <v>17</v>
      </c>
    </row>
    <row r="6" spans="1:10" x14ac:dyDescent="0.25">
      <c r="A6" t="s">
        <v>9</v>
      </c>
      <c r="B6" t="s">
        <v>16</v>
      </c>
      <c r="H6" s="2">
        <v>52513321</v>
      </c>
      <c r="I6" t="s">
        <v>33</v>
      </c>
      <c r="J6" t="s">
        <v>41</v>
      </c>
    </row>
    <row r="7" spans="1:10" x14ac:dyDescent="0.25">
      <c r="A7" t="s">
        <v>18</v>
      </c>
      <c r="B7">
        <f>(0.75-0.71)/($B$13-$B$14)</f>
        <v>1.1940298507462698E-4</v>
      </c>
      <c r="H7">
        <v>1049368</v>
      </c>
      <c r="I7" t="s">
        <v>34</v>
      </c>
    </row>
    <row r="8" spans="1:10" x14ac:dyDescent="0.25">
      <c r="A8" t="s">
        <v>19</v>
      </c>
      <c r="B8">
        <f>(0.75-0.39)/($B$13-$B$14)</f>
        <v>1.0746268656716418E-3</v>
      </c>
      <c r="H8" s="2">
        <f>H7+H6</f>
        <v>53562689</v>
      </c>
      <c r="I8" t="s">
        <v>35</v>
      </c>
      <c r="J8" t="s">
        <v>36</v>
      </c>
    </row>
    <row r="9" spans="1:10" x14ac:dyDescent="0.25">
      <c r="A9" t="s">
        <v>20</v>
      </c>
      <c r="B9">
        <f>0.75-(B7*B13+B8*B13)</f>
        <v>0.22940298507462675</v>
      </c>
      <c r="H9">
        <v>13.6</v>
      </c>
      <c r="J9" t="s">
        <v>40</v>
      </c>
    </row>
    <row r="10" spans="1:10" x14ac:dyDescent="0.25">
      <c r="A10" t="s">
        <v>49</v>
      </c>
      <c r="B10">
        <f>+B9+B7*436</f>
        <v>0.28146268656716411</v>
      </c>
      <c r="H10" s="3">
        <f>H9/H8</f>
        <v>2.5390808889374467E-7</v>
      </c>
      <c r="J10" t="s">
        <v>37</v>
      </c>
    </row>
    <row r="11" spans="1:10" x14ac:dyDescent="0.25">
      <c r="H11" s="4">
        <f>(H10/1000)</f>
        <v>2.5390808889374465E-10</v>
      </c>
      <c r="I11" t="s">
        <v>38</v>
      </c>
    </row>
    <row r="12" spans="1:10" x14ac:dyDescent="0.25">
      <c r="A12" t="s">
        <v>28</v>
      </c>
      <c r="B12" t="s">
        <v>27</v>
      </c>
      <c r="H12" s="4">
        <f>(10^12)*H11</f>
        <v>253.90808889374466</v>
      </c>
      <c r="I12" t="s">
        <v>39</v>
      </c>
    </row>
    <row r="13" spans="1:10" x14ac:dyDescent="0.25">
      <c r="A13" t="s">
        <v>26</v>
      </c>
      <c r="B13">
        <v>436</v>
      </c>
      <c r="C13" s="1">
        <f>$B$9+$B$7*B13+$B$8*B13</f>
        <v>0.75</v>
      </c>
      <c r="D13" t="s">
        <v>29</v>
      </c>
    </row>
    <row r="14" spans="1:10" x14ac:dyDescent="0.25">
      <c r="A14" t="s">
        <v>21</v>
      </c>
      <c r="B14">
        <v>101</v>
      </c>
      <c r="C14" s="1">
        <f>$B$9+$B$7*B14+$B$8*B13</f>
        <v>0.71</v>
      </c>
      <c r="D14" t="s">
        <v>29</v>
      </c>
    </row>
    <row r="15" spans="1:10" x14ac:dyDescent="0.25">
      <c r="A15" t="s">
        <v>23</v>
      </c>
      <c r="B15">
        <v>946</v>
      </c>
      <c r="C15" s="1">
        <f>$B$9+$B$7*B13+$B$8*B15</f>
        <v>1.2980597014925372</v>
      </c>
      <c r="D15" t="s">
        <v>29</v>
      </c>
      <c r="H15" s="5" t="s">
        <v>52</v>
      </c>
    </row>
    <row r="16" spans="1:10" x14ac:dyDescent="0.25">
      <c r="A16" t="s">
        <v>22</v>
      </c>
      <c r="B16">
        <v>101</v>
      </c>
      <c r="C16" s="1">
        <f>$B$9+$B$7*B13+$B$8*B16</f>
        <v>0.3899999999999999</v>
      </c>
      <c r="D16" t="s">
        <v>29</v>
      </c>
      <c r="H16" t="s">
        <v>44</v>
      </c>
    </row>
    <row r="17" spans="1:11" x14ac:dyDescent="0.25">
      <c r="A17" t="s">
        <v>24</v>
      </c>
      <c r="B17">
        <v>36</v>
      </c>
      <c r="C17" s="1">
        <f>$B$9+$B$7*B17+$B$8*B17</f>
        <v>0.27238805970149244</v>
      </c>
      <c r="D17" t="s">
        <v>30</v>
      </c>
      <c r="I17" t="s">
        <v>47</v>
      </c>
      <c r="J17" t="s">
        <v>48</v>
      </c>
      <c r="K17" t="s">
        <v>51</v>
      </c>
    </row>
    <row r="18" spans="1:11" x14ac:dyDescent="0.25">
      <c r="A18" t="s">
        <v>25</v>
      </c>
      <c r="B18">
        <v>774</v>
      </c>
      <c r="C18" s="1">
        <f t="shared" ref="C18" si="0">$B$9+$B$7*B18+$B$8*B18</f>
        <v>1.1535820895522386</v>
      </c>
      <c r="D18" t="s">
        <v>31</v>
      </c>
      <c r="H18" t="s">
        <v>45</v>
      </c>
      <c r="I18">
        <f>45/80*J18</f>
        <v>0.15832276119402983</v>
      </c>
      <c r="J18">
        <f>+B10</f>
        <v>0.28146268656716411</v>
      </c>
      <c r="K18">
        <f>60/80*J18</f>
        <v>0.21109701492537308</v>
      </c>
    </row>
    <row r="19" spans="1:11" x14ac:dyDescent="0.25">
      <c r="H19" t="s">
        <v>46</v>
      </c>
      <c r="I19">
        <f>1.37-I18</f>
        <v>1.2116772388059702</v>
      </c>
      <c r="J19">
        <f>0.75-J18</f>
        <v>0.46853731343283589</v>
      </c>
      <c r="K19">
        <f>1-K18</f>
        <v>0.78890298507462697</v>
      </c>
    </row>
    <row r="20" spans="1:11" x14ac:dyDescent="0.25">
      <c r="A20" t="s">
        <v>15</v>
      </c>
      <c r="H20" t="s">
        <v>50</v>
      </c>
    </row>
    <row r="21" spans="1:11" x14ac:dyDescent="0.25">
      <c r="A21" t="s">
        <v>12</v>
      </c>
      <c r="B21">
        <f>+B13</f>
        <v>436</v>
      </c>
      <c r="C21" s="1">
        <f>$B$9+$B$7*B$25+$B$8*B21</f>
        <v>0.79035820895522391</v>
      </c>
      <c r="H21" s="6">
        <v>1</v>
      </c>
      <c r="I21">
        <f>I$18+I$19*$H21</f>
        <v>1.37</v>
      </c>
      <c r="J21">
        <f>J$18+J$19*$H21</f>
        <v>0.75</v>
      </c>
      <c r="K21">
        <f>K$18+K$19*$H21</f>
        <v>1</v>
      </c>
    </row>
    <row r="22" spans="1:11" x14ac:dyDescent="0.25">
      <c r="A22" t="s">
        <v>13</v>
      </c>
      <c r="B22">
        <f>+B14</f>
        <v>101</v>
      </c>
      <c r="C22" s="1">
        <f>$B$9+$B$7*B$25+$B$8*B22</f>
        <v>0.43035820895522381</v>
      </c>
      <c r="H22" s="6">
        <v>0.8</v>
      </c>
      <c r="I22" s="7">
        <f>I$18+I$19*$H22</f>
        <v>1.127664552238806</v>
      </c>
      <c r="J22" s="7">
        <f>J$18+J$19*$H22</f>
        <v>0.65629253731343284</v>
      </c>
      <c r="K22" s="7">
        <f t="shared" ref="K22:K25" si="1">K$18+K$19*$H22</f>
        <v>0.84221940298507469</v>
      </c>
    </row>
    <row r="23" spans="1:11" x14ac:dyDescent="0.25">
      <c r="A23" t="s">
        <v>14</v>
      </c>
      <c r="B23">
        <f>+B15</f>
        <v>946</v>
      </c>
      <c r="C23" s="1">
        <f>$B$9+$B$7*B$25+$B$8*B23</f>
        <v>1.3384179104477611</v>
      </c>
      <c r="H23" s="6">
        <v>0.6</v>
      </c>
      <c r="I23" s="7">
        <f>I$18+I$19*$H23</f>
        <v>0.88532910447761193</v>
      </c>
      <c r="J23" s="7">
        <f>J$18+J$19*$H23</f>
        <v>0.56258507462686569</v>
      </c>
      <c r="K23" s="7">
        <f t="shared" si="1"/>
        <v>0.68443880597014917</v>
      </c>
    </row>
    <row r="24" spans="1:11" x14ac:dyDescent="0.25">
      <c r="A24" t="s">
        <v>11</v>
      </c>
      <c r="B24">
        <f>+B17</f>
        <v>36</v>
      </c>
      <c r="C24" s="1">
        <f>$B$9+$B$7*B$25+$B$8*B24</f>
        <v>0.36050746268656714</v>
      </c>
      <c r="H24" s="6">
        <v>0.4</v>
      </c>
      <c r="I24" s="7">
        <f>I$18+I$19*$H24</f>
        <v>0.64299365671641795</v>
      </c>
      <c r="J24" s="7">
        <f>J$18+J$19*$H24</f>
        <v>0.46887761194029848</v>
      </c>
      <c r="K24" s="7">
        <f t="shared" si="1"/>
        <v>0.52665820895522386</v>
      </c>
    </row>
    <row r="25" spans="1:11" x14ac:dyDescent="0.25">
      <c r="A25" t="s">
        <v>10</v>
      </c>
      <c r="B25">
        <f>+B18</f>
        <v>774</v>
      </c>
      <c r="C25" s="1">
        <f>$B$9+$B$7*B$25+$B$8*B25</f>
        <v>1.1535820895522386</v>
      </c>
      <c r="H25" s="6">
        <v>0.2</v>
      </c>
      <c r="I25" s="7">
        <f>I$18+I$19*$H25</f>
        <v>0.40065820895522386</v>
      </c>
      <c r="J25" s="7">
        <f>J$18+J$19*$H25</f>
        <v>0.37517014925373127</v>
      </c>
      <c r="K25" s="7">
        <f t="shared" si="1"/>
        <v>0.3688776119402985</v>
      </c>
    </row>
    <row r="26" spans="1:11" x14ac:dyDescent="0.25">
      <c r="A26" t="s">
        <v>42</v>
      </c>
      <c r="B26">
        <v>254</v>
      </c>
      <c r="C26" s="1">
        <f>$B$9+$B$7*B$25+$B$8*B26</f>
        <v>0.59477611940298503</v>
      </c>
      <c r="D26">
        <f>C26/1.37</f>
        <v>0.43414315284889415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Brownsberger</dc:creator>
  <cp:lastModifiedBy>Will Brownsberger</cp:lastModifiedBy>
  <dcterms:created xsi:type="dcterms:W3CDTF">2021-04-14T23:09:41Z</dcterms:created>
  <dcterms:modified xsi:type="dcterms:W3CDTF">2021-04-15T16:27:58Z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7128dd92-c065-4ba3-9dc1-50b676486ebd</vt:lpwstr>
  </property>
</Properties>
</file>