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illbrownsberger/Desktop/"/>
    </mc:Choice>
  </mc:AlternateContent>
  <xr:revisionPtr revIDLastSave="0" documentId="13_ncr:1_{8E09799F-E053-684A-9EEB-F8A3776BB1BD}" xr6:coauthVersionLast="44" xr6:coauthVersionMax="44" xr10:uidLastSave="{00000000-0000-0000-0000-000000000000}"/>
  <bookViews>
    <workbookView xWindow="1140" yWindow="2940" windowWidth="38860" windowHeight="13940" xr2:uid="{C5E77E1B-DB6C-2A4D-A787-25E7C3A0D3E9}"/>
  </bookViews>
  <sheets>
    <sheet name="Stat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6" i="1" l="1"/>
  <c r="B51" i="1"/>
  <c r="Q12" i="1"/>
  <c r="Q11" i="1"/>
  <c r="Q10" i="1"/>
  <c r="Q9" i="1"/>
  <c r="Q8" i="1"/>
  <c r="Q7" i="1"/>
  <c r="Q6" i="1"/>
  <c r="Q5" i="1"/>
  <c r="Q4" i="1"/>
  <c r="Q3" i="1"/>
  <c r="F12" i="1"/>
  <c r="F11" i="1"/>
  <c r="F10" i="1"/>
  <c r="F9" i="1"/>
  <c r="F8" i="1"/>
  <c r="F7" i="1"/>
  <c r="F6" i="1"/>
  <c r="F5" i="1"/>
  <c r="F4" i="1"/>
  <c r="F3" i="1"/>
  <c r="B39" i="1"/>
  <c r="B31" i="1" l="1"/>
  <c r="B29" i="1"/>
  <c r="B28" i="1"/>
  <c r="M14" i="1"/>
  <c r="N14" i="1"/>
  <c r="E12" i="1" l="1"/>
  <c r="D12" i="1" s="1"/>
  <c r="P13" i="1"/>
  <c r="B10" i="1" s="1"/>
  <c r="E10" i="1" s="1"/>
  <c r="G4" i="1"/>
  <c r="G5" i="1"/>
  <c r="G6" i="1"/>
  <c r="G7" i="1"/>
  <c r="G8" i="1"/>
  <c r="G9" i="1"/>
  <c r="G10" i="1"/>
  <c r="G11" i="1"/>
  <c r="G3" i="1"/>
  <c r="B11" i="1" l="1"/>
  <c r="E11" i="1" s="1"/>
  <c r="B4" i="1"/>
  <c r="D4" i="1" s="1"/>
  <c r="B6" i="1"/>
  <c r="E6" i="1" s="1"/>
  <c r="B8" i="1"/>
  <c r="D8" i="1" s="1"/>
  <c r="B9" i="1"/>
  <c r="E9" i="1" s="1"/>
  <c r="B3" i="1"/>
  <c r="E3" i="1" s="1"/>
  <c r="B5" i="1"/>
  <c r="D5" i="1" s="1"/>
  <c r="B7" i="1"/>
  <c r="E7" i="1" s="1"/>
  <c r="E8" i="1"/>
  <c r="C8" i="1"/>
  <c r="C9" i="1"/>
  <c r="C10" i="1"/>
  <c r="D10" i="1"/>
  <c r="C11" i="1"/>
  <c r="D11" i="1"/>
  <c r="C4" i="1"/>
  <c r="E4" i="1" l="1"/>
  <c r="E5" i="1"/>
  <c r="D9" i="1"/>
  <c r="D6" i="1"/>
  <c r="D3" i="1"/>
  <c r="C3" i="1"/>
  <c r="C6" i="1"/>
  <c r="D7" i="1"/>
  <c r="C7" i="1"/>
  <c r="C5" i="1"/>
</calcChain>
</file>

<file path=xl/sharedStrings.xml><?xml version="1.0" encoding="utf-8"?>
<sst xmlns="http://schemas.openxmlformats.org/spreadsheetml/2006/main" count="112" uniqueCount="102">
  <si>
    <t>Passenger Miles</t>
  </si>
  <si>
    <t>https://www.transit.dot.gov/ntd/data-product/2016-metrics</t>
  </si>
  <si>
    <t>Unlinked Passenger Trips</t>
  </si>
  <si>
    <t>Vehicle Revenue Hours</t>
  </si>
  <si>
    <t>Vehicle Revenue Miles</t>
  </si>
  <si>
    <t>Commuter Rail, Purchased Transportation</t>
  </si>
  <si>
    <t>Demand Response, Purchased Transportation (The Ride)</t>
  </si>
  <si>
    <t>Diesel (gal)</t>
  </si>
  <si>
    <t>Gasoline (gal)</t>
  </si>
  <si>
    <t>Compressed Natural Gas (gal equivalent)</t>
  </si>
  <si>
    <t>Electric Propulsion (kwh)</t>
  </si>
  <si>
    <t>Bus, Directly Operated</t>
  </si>
  <si>
    <t>Heavy Rail, Directly Operated  (Red, Orange and Blue Lines)</t>
  </si>
  <si>
    <t>Light Rail, Driectly Operated  (Green Line)</t>
  </si>
  <si>
    <t xml:space="preserve">Ferry Boat, Directly Operated </t>
  </si>
  <si>
    <t>Conversion Factors -- Energy Unit to BTUs</t>
  </si>
  <si>
    <t>https://en.wikipedia.org/wiki/Gasoline_gallon_equivalent</t>
  </si>
  <si>
    <t>BTUs Energy Use</t>
  </si>
  <si>
    <t>Mode VOMS (maximum vehicles in service)</t>
  </si>
  <si>
    <t>https://tedb.ornl.gov/wp-content/uploads/2019/03/Edition37_Full_Doc.pdf#page=344</t>
  </si>
  <si>
    <t>Vehicle and Passenger Miles from National Transit Database 2016 "Metrics" Table:</t>
  </si>
  <si>
    <t>Energy Consumption from National Transit Database 2016 "Fule and Energy" Table:</t>
  </si>
  <si>
    <t>https://www.transit.dot.gov/ntd/data-product/2016-fuel-and-energy</t>
  </si>
  <si>
    <t>Diesel and Gasoline BTU Conversion factors from ORNL tables</t>
  </si>
  <si>
    <t>CNG gasoline equivalent BTUS from Wikipedia</t>
  </si>
  <si>
    <t>Mode and Service Type</t>
  </si>
  <si>
    <t>BTU/ Revenue Hour</t>
  </si>
  <si>
    <t>BTU /Passenger Mile</t>
  </si>
  <si>
    <t>BTU /Revenue Mile</t>
  </si>
  <si>
    <t>2016 MBTA Energy Efficiency by Mode -- Computations from MBTA Data as Reported to National Transit Database</t>
  </si>
  <si>
    <t>Comparison: Single Occupancy Vehicle getting 25 mpg</t>
  </si>
  <si>
    <t>Passenger miles /Vehicle revenue miles</t>
  </si>
  <si>
    <t>Bus, Purchased Transportation (?)</t>
  </si>
  <si>
    <t>Trolley Bus, Directly Operated  (71, 72, 77)</t>
  </si>
  <si>
    <t>Bus Rapid Transit, Directly Operated (Silver Line)</t>
  </si>
  <si>
    <t>https://www.mbtabackontrack.com/blog/65-ntd-ridership</t>
  </si>
  <si>
    <t>https://www.mbtabackontrack.com/blog/101-ridership-on-the-dashboard-and-the-national-transit-database</t>
  </si>
  <si>
    <t>Conversion Factors -- Energy Unit to Pounds of Carbon</t>
  </si>
  <si>
    <t xml:space="preserve"> Transit Data Blog regarding ridership numbers and reporting to the NTB</t>
  </si>
  <si>
    <t>Diesel and Gasoline CO2 per gallon conversion factors</t>
  </si>
  <si>
    <t>https://www.epa.gov/energy/greenhouse-gases-equivalencies-calculator-calculations-and-references</t>
  </si>
  <si>
    <t>https://www.eia.gov/tools/faqs/faq.php?id=45&amp;t=8</t>
  </si>
  <si>
    <t>https://www.nist.gov/pml/weights-and-measures/nist-handbook-44-2007-edition (Appendix D)</t>
  </si>
  <si>
    <t>https://www.eia.gov/totalenergy/data/monthly/pdf/mer.pdf</t>
  </si>
  <si>
    <t>BTU/Cubic Foot of natural gas = 1039 in 2016</t>
  </si>
  <si>
    <t>Hundred Cubic Feet of gas has same heat content as .877 gallons of gasoline</t>
  </si>
  <si>
    <t>https://epact.energy.gov/fuel-conversion-factors</t>
  </si>
  <si>
    <t>Formal definition: natural gas gasoline galllon equivalent = 5.660 pounds gas</t>
  </si>
  <si>
    <r>
      <t>0.0053 metric tons CO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/therm of natural gas</t>
    </r>
  </si>
  <si>
    <t>1.036 therm/ccf(hundred cubic feet) of natural gas</t>
  </si>
  <si>
    <t>Computation of BTU per gasoline gallon equivalent from previous lines</t>
  </si>
  <si>
    <t>Computation of pounds CO2 per gasoline gallon equivalent of CNG from previous lines</t>
  </si>
  <si>
    <t>Carbon coeffient of natural gas kg/mmbtu</t>
  </si>
  <si>
    <t>slightly lower than Wikipedia BTU/gge used above</t>
  </si>
  <si>
    <t>Computation pounds CO2/gge CNG using carbon coefficient and Wikipedia BTU/gge</t>
  </si>
  <si>
    <t>REFERENCES</t>
  </si>
  <si>
    <t>https://www.epa.gov/statelocalenergy/avoided-emission-factors-generated-avert</t>
  </si>
  <si>
    <t>1.559 pounds CO2 per kwh for marginal power plants</t>
  </si>
  <si>
    <t>1.175 pounds CO2 per kwh for maginal power plants in NE region in 2016 w/ line loss</t>
  </si>
  <si>
    <t xml:space="preserve">https://www.eia.gov/electricity/state/archive/2016/massachusetts/ </t>
  </si>
  <si>
    <t>see detail in tables 5, 7 and 10</t>
  </si>
  <si>
    <t>.876 pounds CO2 per kwh average for in-state generation in 2016 before line loss</t>
  </si>
  <si>
    <t>see detail in table 10</t>
  </si>
  <si>
    <t>4.8% average line loss</t>
  </si>
  <si>
    <t>5% average line loss nationally</t>
  </si>
  <si>
    <t>https://www.eia.gov/tools/faqs/faq.php?id=105&amp;t=3</t>
  </si>
  <si>
    <t>https://www.eia.gov/electricity/state/massachusetts/index.php</t>
  </si>
  <si>
    <t>.846 pounds CO2 per kwh average for in-state generation in 2017 before line loss</t>
  </si>
  <si>
    <t>Pounds of CO2/ 1000 Passenger Miles</t>
  </si>
  <si>
    <t>For MBTA pounds CO2 per kwh use in-state 2017 / .952 line loss</t>
  </si>
  <si>
    <t xml:space="preserve">    NY pounds CO2/kwh instate generation before line loss</t>
  </si>
  <si>
    <t xml:space="preserve">    NH pounds CO2/kwh instate generation before line loss</t>
  </si>
  <si>
    <t xml:space="preserve">    CT pounds CO2/kwh instate generation before line loss</t>
  </si>
  <si>
    <t xml:space="preserve">    RI pounds CO2/kwh instate generation before line loss</t>
  </si>
  <si>
    <t xml:space="preserve">    ME pounds CO2/kwh instate generation before line loss</t>
  </si>
  <si>
    <t xml:space="preserve">    PA pounds CO2/kwh instate generation before line loss</t>
  </si>
  <si>
    <t xml:space="preserve">    NJ pounds CO2/kwh instate generation before line loss</t>
  </si>
  <si>
    <t xml:space="preserve"> -- note that this assumption is reasonable, but perhaps high.  Imported power is over 40% of total supply, mostly from other states, and surrounding states have lower 2017 emissions profiles:</t>
  </si>
  <si>
    <t xml:space="preserve">    VT pounds CO2/kwh instate generation before line loss</t>
  </si>
  <si>
    <t>Little instate generation, mostly international import</t>
  </si>
  <si>
    <t>Limited imports; no export</t>
  </si>
  <si>
    <t>1.6 twh interstate export</t>
  </si>
  <si>
    <t>4.2 twh interstate export</t>
  </si>
  <si>
    <t>17.6 twh interstate export; majority nuclear</t>
  </si>
  <si>
    <t>56 twh interstate export</t>
  </si>
  <si>
    <t xml:space="preserve"> -- for these numbers, see follow links from https://www.eia.gov/electricity/state/</t>
  </si>
  <si>
    <t>Memo for comparison: grams CO2 / passenger mile per this analysis</t>
  </si>
  <si>
    <t>A Better City Mobility Calculator gCO2/pm (2014)</t>
  </si>
  <si>
    <t>n/a</t>
  </si>
  <si>
    <t>Comparison columns -- mobility calculator from A Better City</t>
  </si>
  <si>
    <t>http://projects.erg.com/conferences/abc/mobilecalc/CalculationMethodology.pdf</t>
  </si>
  <si>
    <t xml:space="preserve">    Note that A Better City uses almost identical CO2/kwh value</t>
  </si>
  <si>
    <t>ABC combines buses and employee shuttles for mpg, but uses similar loading factor to get 107</t>
  </si>
  <si>
    <t>https://www.iso-ne.com/static-assets/documents/2017/02/20170227_pr_2016_price_release.pdf</t>
  </si>
  <si>
    <t>https://cdn.mbta.com/sites/default/files/fmcb-meeting-docs/2016/april/042516-MBTA-Utility-Management.pdf</t>
  </si>
  <si>
    <t xml:space="preserve">      MBTA spent approximately $20 million on wholesale power in calendar 2016</t>
  </si>
  <si>
    <t xml:space="preserve">      Wholesale cost per Mwh in New Enland averaged $28.94 in 2016</t>
  </si>
  <si>
    <t xml:space="preserve">      This translates into roughly twice the kwh for electric propulsion.</t>
  </si>
  <si>
    <t>https://blog.mass.gov/transportation/mbta/mbta-projects-12-8-reduction-in-energy-costs/</t>
  </si>
  <si>
    <t>Note on MBTA Power purchasing -- reasonability check with consumption #</t>
  </si>
  <si>
    <t xml:space="preserve">      Non propulsion uses station lighting and ventilation account for the rest -- load does not drop much, even in early AM</t>
  </si>
  <si>
    <t>Prepared by Will Brownsberger, August 18,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</si>
</sst>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73" formatCode="0.000"/>
    <numFmt numFmtId="175" formatCode="_(* #,##0.0_);_(* \(#,##0.0\);_(* &quot;-&quot;??_);_(@_)"/>
    <numFmt numFmtId="176" formatCode="_(* #,##0.000_);_(* \(#,##0.000\);_(* &quot;-&quot;??_);_(@_)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rgb="FF3F3F76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vertAlign val="subscript"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2" applyNumberFormat="0" applyAlignment="0" applyProtection="0"/>
  </cellStyleXfs>
  <cellXfs count="47">
    <xf numFmtId="0" fontId="0" fillId="0" borderId="0" xfId="0"/>
    <xf numFmtId="0" fontId="4" fillId="0" borderId="0" xfId="0" applyFont="1" applyAlignment="1">
      <alignment horizontal="left" wrapText="1"/>
    </xf>
    <xf numFmtId="0" fontId="9" fillId="0" borderId="0" xfId="0" applyFont="1"/>
    <xf numFmtId="0" fontId="10" fillId="0" borderId="0" xfId="0" applyFont="1"/>
    <xf numFmtId="3" fontId="10" fillId="0" borderId="0" xfId="0" applyNumberFormat="1" applyFont="1"/>
    <xf numFmtId="3" fontId="6" fillId="0" borderId="0" xfId="0" applyNumberFormat="1" applyFont="1"/>
    <xf numFmtId="4" fontId="10" fillId="0" borderId="0" xfId="0" applyNumberFormat="1" applyFont="1"/>
    <xf numFmtId="0" fontId="11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2" fillId="0" borderId="0" xfId="0" applyFont="1"/>
    <xf numFmtId="0" fontId="10" fillId="0" borderId="3" xfId="0" applyFont="1" applyBorder="1"/>
    <xf numFmtId="37" fontId="6" fillId="0" borderId="3" xfId="1" applyNumberFormat="1" applyFont="1" applyFill="1" applyBorder="1" applyAlignment="1">
      <alignment wrapText="1"/>
    </xf>
    <xf numFmtId="3" fontId="7" fillId="4" borderId="3" xfId="0" applyNumberFormat="1" applyFont="1" applyFill="1" applyBorder="1" applyAlignment="1">
      <alignment wrapText="1"/>
    </xf>
    <xf numFmtId="0" fontId="8" fillId="0" borderId="3" xfId="0" applyFont="1" applyBorder="1" applyAlignment="1">
      <alignment horizontal="left" wrapText="1"/>
    </xf>
    <xf numFmtId="164" fontId="8" fillId="0" borderId="3" xfId="1" applyNumberFormat="1" applyFont="1" applyBorder="1" applyAlignment="1">
      <alignment horizontal="left" wrapText="1"/>
    </xf>
    <xf numFmtId="3" fontId="8" fillId="0" borderId="3" xfId="0" applyNumberFormat="1" applyFont="1" applyBorder="1"/>
    <xf numFmtId="37" fontId="8" fillId="0" borderId="3" xfId="1" applyNumberFormat="1" applyFont="1" applyBorder="1"/>
    <xf numFmtId="3" fontId="8" fillId="0" borderId="3" xfId="1" applyNumberFormat="1" applyFont="1" applyBorder="1" applyAlignment="1">
      <alignment horizontal="right"/>
    </xf>
    <xf numFmtId="164" fontId="8" fillId="0" borderId="4" xfId="1" applyNumberFormat="1" applyFont="1" applyBorder="1" applyAlignment="1">
      <alignment horizontal="left" wrapText="1"/>
    </xf>
    <xf numFmtId="0" fontId="2" fillId="3" borderId="3" xfId="2" applyFill="1" applyBorder="1" applyAlignment="1">
      <alignment wrapText="1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11" fillId="0" borderId="0" xfId="0" applyFont="1" applyAlignment="1">
      <alignment horizontal="left"/>
    </xf>
    <xf numFmtId="175" fontId="11" fillId="0" borderId="0" xfId="1" applyNumberFormat="1" applyFont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175" fontId="11" fillId="0" borderId="0" xfId="1" applyNumberFormat="1" applyFont="1" applyBorder="1" applyAlignment="1">
      <alignment horizontal="left" wrapText="1"/>
    </xf>
    <xf numFmtId="175" fontId="5" fillId="0" borderId="0" xfId="1" applyNumberFormat="1" applyFont="1" applyAlignment="1">
      <alignment horizontal="left"/>
    </xf>
    <xf numFmtId="164" fontId="11" fillId="0" borderId="3" xfId="1" applyNumberFormat="1" applyFont="1" applyBorder="1" applyAlignment="1">
      <alignment horizontal="left" wrapText="1"/>
    </xf>
    <xf numFmtId="175" fontId="11" fillId="0" borderId="3" xfId="1" applyNumberFormat="1" applyFont="1" applyBorder="1" applyAlignment="1">
      <alignment horizontal="left" wrapText="1"/>
    </xf>
    <xf numFmtId="175" fontId="8" fillId="0" borderId="4" xfId="1" applyNumberFormat="1" applyFont="1" applyBorder="1" applyAlignment="1">
      <alignment horizontal="left" wrapText="1"/>
    </xf>
    <xf numFmtId="175" fontId="8" fillId="0" borderId="3" xfId="1" applyNumberFormat="1" applyFont="1" applyBorder="1" applyAlignment="1">
      <alignment horizontal="left" wrapText="1"/>
    </xf>
    <xf numFmtId="164" fontId="10" fillId="0" borderId="3" xfId="0" applyNumberFormat="1" applyFont="1" applyBorder="1"/>
    <xf numFmtId="0" fontId="11" fillId="0" borderId="3" xfId="0" applyFont="1" applyBorder="1" applyAlignment="1">
      <alignment horizontal="left" wrapText="1"/>
    </xf>
    <xf numFmtId="175" fontId="10" fillId="0" borderId="3" xfId="1" applyNumberFormat="1" applyFont="1" applyBorder="1"/>
    <xf numFmtId="164" fontId="10" fillId="0" borderId="3" xfId="1" applyNumberFormat="1" applyFont="1" applyBorder="1"/>
    <xf numFmtId="0" fontId="10" fillId="0" borderId="0" xfId="0" applyFont="1" applyAlignment="1">
      <alignment horizontal="center"/>
    </xf>
    <xf numFmtId="3" fontId="7" fillId="4" borderId="5" xfId="0" applyNumberFormat="1" applyFont="1" applyFill="1" applyBorder="1" applyAlignment="1">
      <alignment wrapText="1"/>
    </xf>
    <xf numFmtId="3" fontId="8" fillId="0" borderId="5" xfId="1" applyNumberFormat="1" applyFont="1" applyBorder="1" applyAlignment="1">
      <alignment horizontal="right"/>
    </xf>
    <xf numFmtId="164" fontId="11" fillId="0" borderId="5" xfId="1" applyNumberFormat="1" applyFont="1" applyBorder="1" applyAlignment="1">
      <alignment horizontal="left" wrapText="1"/>
    </xf>
    <xf numFmtId="176" fontId="11" fillId="0" borderId="5" xfId="1" applyNumberFormat="1" applyFont="1" applyBorder="1" applyAlignment="1">
      <alignment horizontal="left" wrapText="1"/>
    </xf>
    <xf numFmtId="0" fontId="3" fillId="2" borderId="3" xfId="3" applyBorder="1" applyAlignment="1">
      <alignment wrapText="1"/>
    </xf>
    <xf numFmtId="0" fontId="3" fillId="2" borderId="3" xfId="3" applyBorder="1"/>
    <xf numFmtId="1" fontId="3" fillId="2" borderId="3" xfId="3" applyNumberFormat="1" applyBorder="1"/>
    <xf numFmtId="173" fontId="5" fillId="0" borderId="0" xfId="0" applyNumberFormat="1" applyFont="1" applyAlignment="1">
      <alignment horizontal="left"/>
    </xf>
  </cellXfs>
  <cellStyles count="4">
    <cellStyle name="Comma" xfId="1" builtinId="3"/>
    <cellStyle name="Heading 2" xfId="2" builtinId="17"/>
    <cellStyle name="Input" xfId="3" builtinId="20"/>
    <cellStyle name="Normal" xfId="0" builtinId="0"/>
  </cellStyles>
  <dxfs count="4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ia.gov/electricity/state/archive/2016/massachusetts/" TargetMode="External"/><Relationship Id="rId2" Type="http://schemas.openxmlformats.org/officeDocument/2006/relationships/hyperlink" Target="https://www.eia.gov/electricity/state/archive/2016/massachusetts/" TargetMode="External"/><Relationship Id="rId1" Type="http://schemas.openxmlformats.org/officeDocument/2006/relationships/hyperlink" Target="https://www.nist.gov/pml/weights-and-measures/nist-handbook-44-2007-edition%20(Appendix%20D)" TargetMode="External"/><Relationship Id="rId4" Type="http://schemas.openxmlformats.org/officeDocument/2006/relationships/hyperlink" Target="http://projects.erg.com/conferences/abc/mobilecalc/CalculationMethodolog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69265-C753-6045-B091-05E3C38627E6}">
  <dimension ref="A1:S59"/>
  <sheetViews>
    <sheetView tabSelected="1" topLeftCell="A41" zoomScaleNormal="100" workbookViewId="0">
      <selection activeCell="A59" sqref="A59"/>
    </sheetView>
  </sheetViews>
  <sheetFormatPr baseColWidth="10" defaultRowHeight="16" x14ac:dyDescent="0.2"/>
  <cols>
    <col min="1" max="1" width="76" style="3" customWidth="1"/>
    <col min="2" max="2" width="25" style="3" bestFit="1" customWidth="1"/>
    <col min="3" max="3" width="14.33203125" style="3" bestFit="1" customWidth="1"/>
    <col min="4" max="4" width="11.5" style="3" bestFit="1" customWidth="1"/>
    <col min="5" max="5" width="12.6640625" style="3" bestFit="1" customWidth="1"/>
    <col min="6" max="6" width="12.6640625" style="3" customWidth="1"/>
    <col min="7" max="7" width="13.6640625" style="3" customWidth="1"/>
    <col min="8" max="8" width="11.1640625" style="3" bestFit="1" customWidth="1"/>
    <col min="9" max="9" width="15.5" style="3" bestFit="1" customWidth="1"/>
    <col min="10" max="10" width="12.83203125" style="3" bestFit="1" customWidth="1"/>
    <col min="11" max="11" width="15.5" style="3" bestFit="1" customWidth="1"/>
    <col min="12" max="12" width="14.1640625" style="3" bestFit="1" customWidth="1"/>
    <col min="13" max="13" width="11.83203125" style="3" bestFit="1" customWidth="1"/>
    <col min="14" max="14" width="14.1640625" style="3" bestFit="1" customWidth="1"/>
    <col min="15" max="15" width="13" style="3" bestFit="1" customWidth="1"/>
    <col min="16" max="16" width="14" style="3" customWidth="1"/>
    <col min="17" max="17" width="13.6640625" style="3" customWidth="1"/>
    <col min="18" max="16384" width="10.83203125" style="3"/>
  </cols>
  <sheetData>
    <row r="1" spans="1:19" s="2" customFormat="1" ht="20" x14ac:dyDescent="0.2">
      <c r="A1" s="2" t="s">
        <v>29</v>
      </c>
    </row>
    <row r="2" spans="1:19" ht="102" x14ac:dyDescent="0.2">
      <c r="A2" s="10" t="s">
        <v>25</v>
      </c>
      <c r="B2" s="19" t="s">
        <v>17</v>
      </c>
      <c r="C2" s="19" t="s">
        <v>26</v>
      </c>
      <c r="D2" s="19" t="s">
        <v>27</v>
      </c>
      <c r="E2" s="19" t="s">
        <v>28</v>
      </c>
      <c r="F2" s="19" t="s">
        <v>68</v>
      </c>
      <c r="G2" s="19" t="s">
        <v>31</v>
      </c>
      <c r="H2" s="19" t="s">
        <v>18</v>
      </c>
      <c r="I2" s="11" t="s">
        <v>2</v>
      </c>
      <c r="J2" s="11" t="s">
        <v>3</v>
      </c>
      <c r="K2" s="11" t="s">
        <v>0</v>
      </c>
      <c r="L2" s="11" t="s">
        <v>4</v>
      </c>
      <c r="M2" s="12" t="s">
        <v>7</v>
      </c>
      <c r="N2" s="12" t="s">
        <v>8</v>
      </c>
      <c r="O2" s="12" t="s">
        <v>9</v>
      </c>
      <c r="P2" s="39" t="s">
        <v>10</v>
      </c>
      <c r="Q2" s="43" t="s">
        <v>86</v>
      </c>
      <c r="R2" s="43" t="s">
        <v>87</v>
      </c>
      <c r="S2" s="44"/>
    </row>
    <row r="3" spans="1:19" ht="17" x14ac:dyDescent="0.2">
      <c r="A3" s="13" t="s">
        <v>11</v>
      </c>
      <c r="B3" s="18">
        <f>SUM(M3*M$13+N3*N$13+O3*O$13+P3*P$13)</f>
        <v>1204549994275.76</v>
      </c>
      <c r="C3" s="18">
        <f>+$B3/J3</f>
        <v>550097.68191094499</v>
      </c>
      <c r="D3" s="18">
        <f>+$B3/K3</f>
        <v>4057.4062072833531</v>
      </c>
      <c r="E3" s="18">
        <f>+$B3/L3</f>
        <v>53054.408408251024</v>
      </c>
      <c r="F3" s="18">
        <f>SUM(M3*M$14+N3*N$14+O3*O$14+P3*P$14)/K3*1000</f>
        <v>579.99872604600318</v>
      </c>
      <c r="G3" s="32">
        <f>+K3/L3</f>
        <v>13.075942042237308</v>
      </c>
      <c r="H3" s="15">
        <v>779</v>
      </c>
      <c r="I3" s="16">
        <v>112957026</v>
      </c>
      <c r="J3" s="16">
        <v>2189702</v>
      </c>
      <c r="K3" s="16">
        <v>296876855</v>
      </c>
      <c r="L3" s="16">
        <v>22704051</v>
      </c>
      <c r="M3" s="17">
        <v>5105648</v>
      </c>
      <c r="N3" s="17">
        <v>0</v>
      </c>
      <c r="O3" s="17">
        <v>4144102</v>
      </c>
      <c r="P3" s="40">
        <v>0</v>
      </c>
      <c r="Q3" s="45">
        <f>+F3/1000*454</f>
        <v>263.31942162488548</v>
      </c>
      <c r="R3" s="44" t="s">
        <v>88</v>
      </c>
      <c r="S3" s="44" t="s">
        <v>92</v>
      </c>
    </row>
    <row r="4" spans="1:19" ht="17" x14ac:dyDescent="0.2">
      <c r="A4" s="13" t="s">
        <v>6</v>
      </c>
      <c r="B4" s="14">
        <f>SUM(M4*M$13+N4*N$13+O4*O$13+P4*P$13)</f>
        <v>255878375000</v>
      </c>
      <c r="C4" s="14">
        <f>+$B4/J4</f>
        <v>200848.97063071435</v>
      </c>
      <c r="D4" s="14">
        <f>+$B4/K4</f>
        <v>15009.849909933289</v>
      </c>
      <c r="E4" s="14">
        <f>+$B4/L4</f>
        <v>14352.076313505453</v>
      </c>
      <c r="F4" s="18">
        <f>SUM(M4*M$14+N4*N$14+O4*O$14+P4*P$14)/K4*1000</f>
        <v>2352.6174815628624</v>
      </c>
      <c r="G4" s="33">
        <f t="shared" ref="G4:G11" si="0">+K4/L4</f>
        <v>0.95617720361130776</v>
      </c>
      <c r="H4" s="15">
        <v>612</v>
      </c>
      <c r="I4" s="16">
        <v>2187785</v>
      </c>
      <c r="J4" s="16">
        <v>1273984</v>
      </c>
      <c r="K4" s="16">
        <v>17047364</v>
      </c>
      <c r="L4" s="16">
        <v>17828666</v>
      </c>
      <c r="M4" s="17">
        <v>0</v>
      </c>
      <c r="N4" s="17">
        <v>2047027</v>
      </c>
      <c r="O4" s="17">
        <v>0</v>
      </c>
      <c r="P4" s="40">
        <v>0</v>
      </c>
      <c r="Q4" s="45">
        <f>+F4/1000*454</f>
        <v>1068.0883366295395</v>
      </c>
      <c r="R4" s="44" t="s">
        <v>88</v>
      </c>
      <c r="S4" s="44"/>
    </row>
    <row r="5" spans="1:19" ht="17" x14ac:dyDescent="0.2">
      <c r="A5" s="13" t="s">
        <v>5</v>
      </c>
      <c r="B5" s="14">
        <f>SUM(M5*M$13+N5*N$13+O5*O$13+P5*P$13)</f>
        <v>1762073649600</v>
      </c>
      <c r="C5" s="14">
        <f>+$B5/J5</f>
        <v>2244679.8084076433</v>
      </c>
      <c r="D5" s="14">
        <f>+$B5/K5</f>
        <v>2524.5936140102176</v>
      </c>
      <c r="E5" s="14">
        <f>+$B5/L5</f>
        <v>74877.767773717802</v>
      </c>
      <c r="F5" s="18">
        <f>SUM(M5*M$14+N5*N$14+O5*O$14+P5*P$14)/K5*1000</f>
        <v>408.50050648255024</v>
      </c>
      <c r="G5" s="33">
        <f t="shared" si="0"/>
        <v>29.659335014627327</v>
      </c>
      <c r="H5" s="15">
        <v>421</v>
      </c>
      <c r="I5" s="16">
        <v>33830904</v>
      </c>
      <c r="J5" s="16">
        <v>785000</v>
      </c>
      <c r="K5" s="16">
        <v>697963284</v>
      </c>
      <c r="L5" s="16">
        <v>23532668</v>
      </c>
      <c r="M5" s="17">
        <v>12704208</v>
      </c>
      <c r="N5" s="17">
        <v>0</v>
      </c>
      <c r="O5" s="17">
        <v>0</v>
      </c>
      <c r="P5" s="40">
        <v>0</v>
      </c>
      <c r="Q5" s="45">
        <f>+F5/1000*454</f>
        <v>185.45922994307782</v>
      </c>
      <c r="R5" s="44">
        <v>173</v>
      </c>
      <c r="S5" s="44"/>
    </row>
    <row r="6" spans="1:19" ht="17" x14ac:dyDescent="0.2">
      <c r="A6" s="13" t="s">
        <v>12</v>
      </c>
      <c r="B6" s="14">
        <f>SUM(M6*M$13+N6*N$13+O6*O$13+P6*P$13)</f>
        <v>715945086073.33997</v>
      </c>
      <c r="C6" s="14">
        <f>+$B6/J6</f>
        <v>470414.86813794723</v>
      </c>
      <c r="D6" s="14">
        <f>+$B6/K6</f>
        <v>1169.1824114828489</v>
      </c>
      <c r="E6" s="14">
        <f>+$B6/L6</f>
        <v>30796.929348203539</v>
      </c>
      <c r="F6" s="18">
        <f>SUM(M6*M$14+N6*N$14+O6*O$14+P6*P$14)/K6*1000</f>
        <v>304.61896480517305</v>
      </c>
      <c r="G6" s="33">
        <f t="shared" si="0"/>
        <v>26.340568456845375</v>
      </c>
      <c r="H6" s="15">
        <v>336</v>
      </c>
      <c r="I6" s="16">
        <v>174517352</v>
      </c>
      <c r="J6" s="16">
        <v>1521944</v>
      </c>
      <c r="K6" s="16">
        <v>612346781</v>
      </c>
      <c r="L6" s="16">
        <v>23247288</v>
      </c>
      <c r="M6" s="17">
        <v>0</v>
      </c>
      <c r="N6" s="17">
        <v>0</v>
      </c>
      <c r="O6" s="17">
        <v>0</v>
      </c>
      <c r="P6" s="40">
        <v>209822770</v>
      </c>
      <c r="Q6" s="45">
        <f>+F6/1000*454</f>
        <v>138.29701002154854</v>
      </c>
      <c r="R6" s="44">
        <v>132</v>
      </c>
      <c r="S6" s="44"/>
    </row>
    <row r="7" spans="1:19" ht="17" x14ac:dyDescent="0.2">
      <c r="A7" s="13" t="s">
        <v>13</v>
      </c>
      <c r="B7" s="14">
        <f>SUM(M7*M$13+N7*N$13+O7*O$13+P7*P$13)</f>
        <v>214276996754.24399</v>
      </c>
      <c r="C7" s="14">
        <f>+$B7/J7</f>
        <v>304748.20623591152</v>
      </c>
      <c r="D7" s="14">
        <f>+$B7/K7</f>
        <v>1247.6812095257078</v>
      </c>
      <c r="E7" s="14">
        <f>+$B7/L7</f>
        <v>32968.019857747495</v>
      </c>
      <c r="F7" s="18">
        <f>SUM(M7*M$14+N7*N$14+O7*O$14+P7*P$14)/K7*1000</f>
        <v>325.07105368661507</v>
      </c>
      <c r="G7" s="33">
        <f t="shared" si="0"/>
        <v>26.42343220852057</v>
      </c>
      <c r="H7" s="15">
        <v>156</v>
      </c>
      <c r="I7" s="16">
        <v>64538406</v>
      </c>
      <c r="J7" s="16">
        <v>703128</v>
      </c>
      <c r="K7" s="16">
        <v>171740181</v>
      </c>
      <c r="L7" s="16">
        <v>6499541</v>
      </c>
      <c r="M7" s="17">
        <v>0</v>
      </c>
      <c r="N7" s="17">
        <v>0</v>
      </c>
      <c r="O7" s="17">
        <v>0</v>
      </c>
      <c r="P7" s="40">
        <v>62798382</v>
      </c>
      <c r="Q7" s="45">
        <f>+F7/1000*454</f>
        <v>147.58225837372325</v>
      </c>
      <c r="R7" s="44" t="s">
        <v>88</v>
      </c>
      <c r="S7" s="44"/>
    </row>
    <row r="8" spans="1:19" ht="17" x14ac:dyDescent="0.2">
      <c r="A8" s="13" t="s">
        <v>34</v>
      </c>
      <c r="B8" s="14">
        <f>SUM(M8*M$13+N8*N$13+O8*O$13+P8*P$13)</f>
        <v>71768611286.985992</v>
      </c>
      <c r="C8" s="14">
        <f>+$B8/J8</f>
        <v>568266.19860789902</v>
      </c>
      <c r="D8" s="14">
        <f>+$B8/K8</f>
        <v>3440.1100476398069</v>
      </c>
      <c r="E8" s="14">
        <f>+$B8/L8</f>
        <v>67412.547305217449</v>
      </c>
      <c r="F8" s="18">
        <f>SUM(M8*M$14+N8*N$14+O8*O$14+P8*P$14)/K8*1000</f>
        <v>716.62911059523117</v>
      </c>
      <c r="G8" s="33">
        <f t="shared" si="0"/>
        <v>19.596043839198661</v>
      </c>
      <c r="H8" s="15">
        <v>30</v>
      </c>
      <c r="I8" s="16">
        <v>11371335</v>
      </c>
      <c r="J8" s="16">
        <v>126294</v>
      </c>
      <c r="K8" s="16">
        <v>20862301</v>
      </c>
      <c r="L8" s="16">
        <v>1064618</v>
      </c>
      <c r="M8" s="17">
        <v>273700</v>
      </c>
      <c r="N8" s="17">
        <v>0</v>
      </c>
      <c r="O8" s="17">
        <v>0</v>
      </c>
      <c r="P8" s="40">
        <v>9907683</v>
      </c>
      <c r="Q8" s="45">
        <f>+F8/1000*454</f>
        <v>325.34961621023496</v>
      </c>
      <c r="R8" s="44" t="s">
        <v>88</v>
      </c>
      <c r="S8" s="44"/>
    </row>
    <row r="9" spans="1:19" ht="17" x14ac:dyDescent="0.2">
      <c r="A9" s="13" t="s">
        <v>33</v>
      </c>
      <c r="B9" s="14">
        <f>SUM(M9*M$13+N9*N$13+O9*O$13+P9*P$13)</f>
        <v>5716047575.5359993</v>
      </c>
      <c r="C9" s="14">
        <f>+$B9/J9</f>
        <v>200943.80846291216</v>
      </c>
      <c r="D9" s="14">
        <f>+$B9/K9</f>
        <v>2008.0142764326915</v>
      </c>
      <c r="E9" s="14">
        <f>+$B9/L9</f>
        <v>22198.32921889405</v>
      </c>
      <c r="F9" s="18">
        <f>SUM(M9*M$14+N9*N$14+O9*O$14+P9*P$14)/K9*1000</f>
        <v>523.16834755079458</v>
      </c>
      <c r="G9" s="33">
        <f t="shared" si="0"/>
        <v>11.054866232490223</v>
      </c>
      <c r="H9" s="15">
        <v>22</v>
      </c>
      <c r="I9" s="16">
        <v>1313820</v>
      </c>
      <c r="J9" s="16">
        <v>28446</v>
      </c>
      <c r="K9" s="16">
        <v>2846617</v>
      </c>
      <c r="L9" s="16">
        <v>257499</v>
      </c>
      <c r="M9" s="17">
        <v>0</v>
      </c>
      <c r="N9" s="17">
        <v>0</v>
      </c>
      <c r="O9" s="17">
        <v>0</v>
      </c>
      <c r="P9" s="40">
        <v>1675208</v>
      </c>
      <c r="Q9" s="45">
        <f>+F9/1000*454</f>
        <v>237.51842978806073</v>
      </c>
      <c r="R9" s="44" t="s">
        <v>88</v>
      </c>
      <c r="S9" s="44"/>
    </row>
    <row r="10" spans="1:19" ht="17" x14ac:dyDescent="0.2">
      <c r="A10" s="13" t="s">
        <v>14</v>
      </c>
      <c r="B10" s="14">
        <f>SUM(M10*M$13+N10*N$13+O10*O$13+P10*P$13)</f>
        <v>141453749800</v>
      </c>
      <c r="C10" s="14">
        <f>+$B10/J10</f>
        <v>6009590.8658339707</v>
      </c>
      <c r="D10" s="14">
        <f>+$B10/K10</f>
        <v>11760.380415981355</v>
      </c>
      <c r="E10" s="14">
        <f>+$B10/L10</f>
        <v>613881.95638494089</v>
      </c>
      <c r="F10" s="18">
        <f>SUM(M10*M$14+N10*N$14+O10*O$14+P10*P$14)/K10*1000</f>
        <v>1902.9285860882339</v>
      </c>
      <c r="G10" s="33">
        <f t="shared" si="0"/>
        <v>52.199158077465555</v>
      </c>
      <c r="H10" s="15">
        <v>9</v>
      </c>
      <c r="I10" s="16">
        <v>1466612</v>
      </c>
      <c r="J10" s="16">
        <v>23538</v>
      </c>
      <c r="K10" s="16">
        <v>12027991</v>
      </c>
      <c r="L10" s="16">
        <v>230425</v>
      </c>
      <c r="M10" s="17">
        <v>1019854</v>
      </c>
      <c r="N10" s="17"/>
      <c r="O10" s="17">
        <v>0</v>
      </c>
      <c r="P10" s="40">
        <v>0</v>
      </c>
      <c r="Q10" s="45">
        <f>+F10/1000*454</f>
        <v>863.92957808405822</v>
      </c>
      <c r="R10" s="44">
        <v>1016</v>
      </c>
      <c r="S10" s="44"/>
    </row>
    <row r="11" spans="1:19" ht="17" x14ac:dyDescent="0.2">
      <c r="A11" s="13" t="s">
        <v>32</v>
      </c>
      <c r="B11" s="14">
        <f>SUM(M11*M$13+N11*N$13+O11*O$13+P11*P$13)</f>
        <v>14031692700</v>
      </c>
      <c r="C11" s="14">
        <f>+$B11/J11</f>
        <v>420211.20927168184</v>
      </c>
      <c r="D11" s="14">
        <f>+$B11/K11</f>
        <v>7371.344165047758</v>
      </c>
      <c r="E11" s="14">
        <f>+$B11/L11</f>
        <v>35918.374780816834</v>
      </c>
      <c r="F11" s="18">
        <f>SUM(M11*M$14+N11*N$14+O11*O$14+P11*P$14)/K11*1000</f>
        <v>1183.7887261607548</v>
      </c>
      <c r="G11" s="33">
        <f t="shared" si="0"/>
        <v>4.872703536368407</v>
      </c>
      <c r="H11" s="15">
        <v>9</v>
      </c>
      <c r="I11" s="16">
        <v>820494</v>
      </c>
      <c r="J11" s="16">
        <v>33392</v>
      </c>
      <c r="K11" s="16">
        <v>1903546</v>
      </c>
      <c r="L11" s="16">
        <v>390655</v>
      </c>
      <c r="M11" s="17">
        <v>76921</v>
      </c>
      <c r="N11" s="17">
        <v>26902</v>
      </c>
      <c r="O11" s="17">
        <v>0</v>
      </c>
      <c r="P11" s="40">
        <v>0</v>
      </c>
      <c r="Q11" s="45">
        <f>+F11/1000*454</f>
        <v>537.44008167698269</v>
      </c>
      <c r="R11" s="44" t="s">
        <v>88</v>
      </c>
      <c r="S11" s="44"/>
    </row>
    <row r="12" spans="1:19" ht="17" x14ac:dyDescent="0.2">
      <c r="A12" s="13" t="s">
        <v>30</v>
      </c>
      <c r="B12" s="23"/>
      <c r="C12" s="10"/>
      <c r="D12" s="37">
        <f>+E12</f>
        <v>5000</v>
      </c>
      <c r="E12" s="37">
        <f>1/25*N13</f>
        <v>5000</v>
      </c>
      <c r="F12" s="34">
        <f>1/25*N14*1000</f>
        <v>783.69120800000007</v>
      </c>
      <c r="G12" s="36">
        <v>1</v>
      </c>
      <c r="L12" s="4"/>
      <c r="M12" s="5"/>
      <c r="N12" s="6"/>
      <c r="Q12" s="45">
        <f>+F12/1000*454</f>
        <v>355.795808432</v>
      </c>
      <c r="R12" s="44">
        <v>395</v>
      </c>
      <c r="S12" s="44"/>
    </row>
    <row r="13" spans="1:19" x14ac:dyDescent="0.2">
      <c r="A13" s="35" t="s">
        <v>15</v>
      </c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0">
        <v>138700</v>
      </c>
      <c r="N13" s="30">
        <v>125000</v>
      </c>
      <c r="O13" s="30">
        <v>119783.88</v>
      </c>
      <c r="P13" s="41">
        <f>3412.142</f>
        <v>3412.1419999999998</v>
      </c>
      <c r="Q13" s="44"/>
      <c r="R13" s="44"/>
      <c r="S13" s="44"/>
    </row>
    <row r="14" spans="1:19" x14ac:dyDescent="0.2">
      <c r="A14" s="35" t="s">
        <v>37</v>
      </c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31">
        <f>2.2046*10.18</f>
        <v>22.442828000000002</v>
      </c>
      <c r="N14" s="31">
        <f>2.2046*8.887</f>
        <v>19.592280200000001</v>
      </c>
      <c r="O14" s="31">
        <v>13.9</v>
      </c>
      <c r="P14" s="42">
        <v>0.88900000000000001</v>
      </c>
      <c r="Q14" s="44"/>
      <c r="R14" s="44"/>
      <c r="S14" s="44"/>
    </row>
    <row r="15" spans="1:19" x14ac:dyDescent="0.2">
      <c r="A15" s="7"/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8"/>
      <c r="N15" s="28"/>
      <c r="O15" s="25"/>
      <c r="P15" s="26"/>
    </row>
    <row r="16" spans="1:19" ht="17" x14ac:dyDescent="0.2">
      <c r="A16" s="21" t="s">
        <v>55</v>
      </c>
      <c r="B16" s="1"/>
      <c r="C16" s="1"/>
      <c r="D16" s="1"/>
      <c r="E16" s="1"/>
      <c r="F16" s="1"/>
      <c r="G16" s="1"/>
      <c r="L16" s="4"/>
      <c r="M16" s="6"/>
    </row>
    <row r="17" spans="1:7" x14ac:dyDescent="0.2">
      <c r="A17" s="9" t="s">
        <v>20</v>
      </c>
      <c r="B17" s="20" t="s">
        <v>1</v>
      </c>
      <c r="C17" s="24"/>
      <c r="D17" s="24"/>
      <c r="E17" s="24"/>
      <c r="F17" s="24"/>
      <c r="G17" s="24"/>
    </row>
    <row r="18" spans="1:7" x14ac:dyDescent="0.2">
      <c r="A18" s="8" t="s">
        <v>21</v>
      </c>
      <c r="B18" s="20" t="s">
        <v>22</v>
      </c>
      <c r="C18" s="8"/>
      <c r="D18" s="8"/>
      <c r="E18" s="8"/>
      <c r="F18" s="8"/>
      <c r="G18" s="8"/>
    </row>
    <row r="19" spans="1:7" x14ac:dyDescent="0.2">
      <c r="A19" s="8" t="s">
        <v>23</v>
      </c>
      <c r="B19" s="20" t="s">
        <v>19</v>
      </c>
      <c r="C19" s="24"/>
      <c r="D19" s="24"/>
      <c r="E19" s="24"/>
      <c r="F19" s="24"/>
      <c r="G19" s="24"/>
    </row>
    <row r="20" spans="1:7" x14ac:dyDescent="0.2">
      <c r="A20" s="8" t="s">
        <v>24</v>
      </c>
      <c r="B20" s="20" t="s">
        <v>16</v>
      </c>
      <c r="C20" s="20"/>
      <c r="D20" s="20"/>
      <c r="E20" s="20"/>
      <c r="F20" s="20"/>
      <c r="G20" s="20"/>
    </row>
    <row r="21" spans="1:7" x14ac:dyDescent="0.2">
      <c r="A21" s="8" t="s">
        <v>38</v>
      </c>
      <c r="B21" s="20" t="s">
        <v>35</v>
      </c>
      <c r="C21" s="20"/>
      <c r="D21" s="8"/>
      <c r="E21" s="20"/>
      <c r="F21" s="20"/>
      <c r="G21" s="20"/>
    </row>
    <row r="22" spans="1:7" x14ac:dyDescent="0.2">
      <c r="B22" s="20" t="s">
        <v>36</v>
      </c>
    </row>
    <row r="23" spans="1:7" x14ac:dyDescent="0.2">
      <c r="A23" s="8" t="s">
        <v>39</v>
      </c>
      <c r="B23" s="20" t="s">
        <v>40</v>
      </c>
      <c r="C23" s="20"/>
      <c r="D23" s="8"/>
      <c r="E23" s="20"/>
      <c r="F23" s="20"/>
      <c r="G23" s="20"/>
    </row>
    <row r="24" spans="1:7" ht="16" customHeight="1" x14ac:dyDescent="0.25">
      <c r="A24" s="8" t="s">
        <v>48</v>
      </c>
      <c r="B24" s="20" t="s">
        <v>40</v>
      </c>
      <c r="C24" s="20"/>
      <c r="D24" s="8"/>
      <c r="E24" s="20"/>
      <c r="F24" s="20"/>
      <c r="G24" s="20"/>
    </row>
    <row r="25" spans="1:7" x14ac:dyDescent="0.2">
      <c r="A25" s="8" t="s">
        <v>49</v>
      </c>
      <c r="B25" s="20" t="s">
        <v>41</v>
      </c>
      <c r="C25" s="20"/>
      <c r="D25" s="8"/>
      <c r="E25" s="20"/>
      <c r="F25" s="20"/>
      <c r="G25" s="20"/>
    </row>
    <row r="26" spans="1:7" x14ac:dyDescent="0.2">
      <c r="A26" s="8" t="s">
        <v>44</v>
      </c>
      <c r="B26" s="20" t="s">
        <v>43</v>
      </c>
      <c r="C26" s="20"/>
      <c r="D26" s="8"/>
      <c r="E26" s="20"/>
      <c r="F26" s="20"/>
      <c r="G26" s="20"/>
    </row>
    <row r="27" spans="1:7" x14ac:dyDescent="0.2">
      <c r="A27" s="8" t="s">
        <v>45</v>
      </c>
      <c r="B27" s="20" t="s">
        <v>46</v>
      </c>
      <c r="C27" s="20"/>
      <c r="D27" s="8"/>
      <c r="E27" s="20"/>
      <c r="F27" s="20"/>
      <c r="G27" s="20"/>
    </row>
    <row r="28" spans="1:7" x14ac:dyDescent="0.2">
      <c r="A28" s="8" t="s">
        <v>50</v>
      </c>
      <c r="B28" s="29">
        <f>103900/0.877</f>
        <v>118472.06385404788</v>
      </c>
      <c r="C28" s="20" t="s">
        <v>53</v>
      </c>
      <c r="D28" s="8"/>
      <c r="E28" s="20"/>
      <c r="F28" s="20"/>
      <c r="G28" s="20"/>
    </row>
    <row r="29" spans="1:7" x14ac:dyDescent="0.2">
      <c r="A29" s="8" t="s">
        <v>51</v>
      </c>
      <c r="B29" s="29">
        <f>1/0.877 * 1.036 * 5.3 * 2.2</f>
        <v>13.773956670467504</v>
      </c>
      <c r="C29" s="20"/>
      <c r="D29" s="8"/>
      <c r="E29" s="20"/>
      <c r="F29" s="20"/>
      <c r="G29" s="20"/>
    </row>
    <row r="30" spans="1:7" x14ac:dyDescent="0.2">
      <c r="A30" s="8" t="s">
        <v>52</v>
      </c>
      <c r="B30" s="29">
        <v>14.46</v>
      </c>
      <c r="C30" s="20"/>
      <c r="D30" s="8"/>
      <c r="E30" s="20"/>
      <c r="F30" s="20"/>
      <c r="G30" s="20"/>
    </row>
    <row r="31" spans="1:7" x14ac:dyDescent="0.2">
      <c r="A31" s="8" t="s">
        <v>54</v>
      </c>
      <c r="B31" s="29">
        <f>44/12*14.46*0.119784*2.2</f>
        <v>13.972084896000004</v>
      </c>
      <c r="C31" s="20"/>
      <c r="D31" s="8"/>
      <c r="E31" s="20"/>
      <c r="F31" s="20"/>
      <c r="G31" s="20"/>
    </row>
    <row r="32" spans="1:7" x14ac:dyDescent="0.2">
      <c r="A32" s="8" t="s">
        <v>47</v>
      </c>
      <c r="B32" s="20" t="s">
        <v>42</v>
      </c>
      <c r="C32" s="20"/>
      <c r="D32" s="8"/>
      <c r="E32" s="20"/>
      <c r="F32" s="20"/>
      <c r="G32" s="20"/>
    </row>
    <row r="33" spans="1:7" x14ac:dyDescent="0.2">
      <c r="A33" s="8" t="s">
        <v>57</v>
      </c>
      <c r="B33" s="20" t="s">
        <v>40</v>
      </c>
      <c r="C33" s="20"/>
      <c r="D33" s="8"/>
      <c r="E33" s="20"/>
      <c r="F33" s="20"/>
      <c r="G33" s="20"/>
    </row>
    <row r="34" spans="1:7" x14ac:dyDescent="0.2">
      <c r="A34" s="8" t="s">
        <v>58</v>
      </c>
      <c r="B34" s="20" t="s">
        <v>56</v>
      </c>
      <c r="C34" s="20"/>
      <c r="D34" s="8"/>
      <c r="E34" s="20"/>
      <c r="F34" s="20"/>
      <c r="G34" s="20"/>
    </row>
    <row r="35" spans="1:7" x14ac:dyDescent="0.2">
      <c r="A35" s="8" t="s">
        <v>61</v>
      </c>
      <c r="B35" s="20" t="s">
        <v>59</v>
      </c>
      <c r="C35" s="20"/>
      <c r="D35" s="8"/>
      <c r="E35" s="20"/>
      <c r="F35" s="20" t="s">
        <v>60</v>
      </c>
      <c r="G35" s="20"/>
    </row>
    <row r="36" spans="1:7" x14ac:dyDescent="0.2">
      <c r="A36" s="8" t="s">
        <v>63</v>
      </c>
      <c r="B36" s="20" t="s">
        <v>59</v>
      </c>
      <c r="C36" s="20"/>
      <c r="D36" s="8"/>
      <c r="E36" s="20"/>
      <c r="F36" s="20" t="s">
        <v>62</v>
      </c>
      <c r="G36" s="20"/>
    </row>
    <row r="37" spans="1:7" x14ac:dyDescent="0.2">
      <c r="A37" s="8" t="s">
        <v>64</v>
      </c>
      <c r="B37" s="20" t="s">
        <v>65</v>
      </c>
      <c r="C37" s="20"/>
      <c r="D37" s="8"/>
      <c r="E37" s="20"/>
      <c r="F37" s="20"/>
      <c r="G37" s="20"/>
    </row>
    <row r="38" spans="1:7" x14ac:dyDescent="0.2">
      <c r="A38" s="8" t="s">
        <v>67</v>
      </c>
      <c r="B38" s="20" t="s">
        <v>66</v>
      </c>
      <c r="C38" s="20"/>
      <c r="D38" s="8"/>
      <c r="E38" s="20"/>
      <c r="F38" s="20"/>
      <c r="G38" s="20"/>
    </row>
    <row r="39" spans="1:7" x14ac:dyDescent="0.2">
      <c r="A39" s="8" t="s">
        <v>69</v>
      </c>
      <c r="B39" s="20">
        <f>0.846/0.952</f>
        <v>0.88865546218487401</v>
      </c>
      <c r="C39" s="20"/>
      <c r="D39" s="8"/>
      <c r="E39" s="20"/>
      <c r="F39" s="20"/>
      <c r="G39" s="20"/>
    </row>
    <row r="40" spans="1:7" x14ac:dyDescent="0.2">
      <c r="A40" s="20" t="s">
        <v>77</v>
      </c>
      <c r="B40" s="20"/>
      <c r="C40" s="20"/>
      <c r="D40" s="20"/>
      <c r="E40" s="20"/>
      <c r="F40" s="20"/>
      <c r="G40" s="20"/>
    </row>
    <row r="41" spans="1:7" x14ac:dyDescent="0.2">
      <c r="A41" s="20" t="s">
        <v>72</v>
      </c>
      <c r="B41" s="20">
        <v>0.501</v>
      </c>
      <c r="C41" s="20" t="s">
        <v>82</v>
      </c>
      <c r="D41" s="20"/>
      <c r="E41" s="20"/>
      <c r="F41" s="20"/>
      <c r="G41" s="20"/>
    </row>
    <row r="42" spans="1:7" x14ac:dyDescent="0.2">
      <c r="A42" s="20" t="s">
        <v>74</v>
      </c>
      <c r="B42" s="46">
        <v>0.41</v>
      </c>
      <c r="C42" s="20" t="s">
        <v>81</v>
      </c>
      <c r="D42" s="20"/>
      <c r="E42" s="20"/>
      <c r="F42" s="20"/>
      <c r="G42" s="20"/>
    </row>
    <row r="43" spans="1:7" x14ac:dyDescent="0.2">
      <c r="A43" s="20" t="s">
        <v>71</v>
      </c>
      <c r="B43" s="20">
        <v>0.249</v>
      </c>
      <c r="C43" s="20" t="s">
        <v>83</v>
      </c>
      <c r="D43" s="20"/>
      <c r="E43" s="20"/>
      <c r="F43" s="20"/>
      <c r="G43" s="20"/>
    </row>
    <row r="44" spans="1:7" x14ac:dyDescent="0.2">
      <c r="A44" s="20" t="s">
        <v>76</v>
      </c>
      <c r="B44" s="20">
        <v>0.52700000000000002</v>
      </c>
      <c r="C44" s="20" t="s">
        <v>80</v>
      </c>
      <c r="D44" s="20"/>
      <c r="E44" s="20"/>
      <c r="F44" s="20"/>
      <c r="G44" s="20"/>
    </row>
    <row r="45" spans="1:7" x14ac:dyDescent="0.2">
      <c r="A45" s="20" t="s">
        <v>70</v>
      </c>
      <c r="B45" s="20">
        <v>0.439</v>
      </c>
      <c r="C45" s="20" t="s">
        <v>80</v>
      </c>
      <c r="D45" s="20"/>
      <c r="E45" s="20"/>
      <c r="F45" s="20"/>
      <c r="G45" s="20"/>
    </row>
    <row r="46" spans="1:7" x14ac:dyDescent="0.2">
      <c r="A46" s="20" t="s">
        <v>75</v>
      </c>
      <c r="B46" s="20">
        <v>0.81599999999999995</v>
      </c>
      <c r="C46" s="20" t="s">
        <v>84</v>
      </c>
      <c r="D46" s="20"/>
      <c r="E46" s="20"/>
      <c r="F46" s="20"/>
      <c r="G46" s="20"/>
    </row>
    <row r="47" spans="1:7" x14ac:dyDescent="0.2">
      <c r="A47" s="20" t="s">
        <v>73</v>
      </c>
      <c r="B47" s="20">
        <v>0.86099999999999999</v>
      </c>
      <c r="C47" s="20" t="s">
        <v>80</v>
      </c>
      <c r="D47" s="20"/>
      <c r="E47" s="20"/>
      <c r="F47" s="20"/>
      <c r="G47" s="20"/>
    </row>
    <row r="48" spans="1:7" x14ac:dyDescent="0.2">
      <c r="A48" s="20" t="s">
        <v>78</v>
      </c>
      <c r="B48" s="20">
        <v>1.6E-2</v>
      </c>
      <c r="C48" s="20" t="s">
        <v>79</v>
      </c>
      <c r="D48" s="20"/>
      <c r="E48" s="20"/>
      <c r="F48" s="20"/>
      <c r="G48" s="20"/>
    </row>
    <row r="49" spans="1:7" x14ac:dyDescent="0.2">
      <c r="A49" s="20"/>
      <c r="B49" s="20" t="s">
        <v>85</v>
      </c>
      <c r="C49" s="20"/>
      <c r="D49" s="20"/>
      <c r="E49" s="20"/>
      <c r="F49" s="20"/>
      <c r="G49" s="20"/>
    </row>
    <row r="50" spans="1:7" x14ac:dyDescent="0.2">
      <c r="A50" s="20" t="s">
        <v>89</v>
      </c>
      <c r="B50" s="20" t="s">
        <v>90</v>
      </c>
      <c r="C50" s="20"/>
      <c r="D50" s="20"/>
      <c r="E50" s="20"/>
      <c r="F50" s="20"/>
      <c r="G50" s="20"/>
    </row>
    <row r="51" spans="1:7" x14ac:dyDescent="0.2">
      <c r="A51" s="8" t="s">
        <v>91</v>
      </c>
      <c r="B51" s="46">
        <f>412.8/454</f>
        <v>0.90925110132158593</v>
      </c>
      <c r="C51" s="20"/>
      <c r="D51" s="8"/>
      <c r="E51" s="20"/>
      <c r="F51" s="20"/>
      <c r="G51" s="20"/>
    </row>
    <row r="52" spans="1:7" x14ac:dyDescent="0.2">
      <c r="B52" s="38"/>
    </row>
    <row r="53" spans="1:7" x14ac:dyDescent="0.2">
      <c r="A53" s="3" t="s">
        <v>99</v>
      </c>
      <c r="B53" s="3" t="s">
        <v>98</v>
      </c>
    </row>
    <row r="54" spans="1:7" x14ac:dyDescent="0.2">
      <c r="A54" s="3" t="s">
        <v>96</v>
      </c>
      <c r="B54" s="3" t="s">
        <v>93</v>
      </c>
    </row>
    <row r="55" spans="1:7" x14ac:dyDescent="0.2">
      <c r="A55" s="3" t="s">
        <v>95</v>
      </c>
      <c r="B55" s="3" t="s">
        <v>94</v>
      </c>
    </row>
    <row r="56" spans="1:7" x14ac:dyDescent="0.2">
      <c r="A56" s="3" t="s">
        <v>97</v>
      </c>
      <c r="B56" s="3">
        <f>1000 * 20000000/28.94</f>
        <v>691085003.45542502</v>
      </c>
    </row>
    <row r="57" spans="1:7" x14ac:dyDescent="0.2">
      <c r="A57" s="3" t="s">
        <v>100</v>
      </c>
    </row>
    <row r="59" spans="1:7" x14ac:dyDescent="0.2">
      <c r="A59" s="3" t="s">
        <v>101</v>
      </c>
    </row>
  </sheetData>
  <sortState xmlns:xlrd2="http://schemas.microsoft.com/office/spreadsheetml/2017/richdata2" ref="A41:A48">
    <sortCondition ref="A41:A48"/>
  </sortState>
  <conditionalFormatting sqref="G3:G12 M3:P9 M11:P12 N10:P10 A16:A20 A3:B13 B16">
    <cfRule type="expression" dxfId="42" priority="51">
      <formula>MOD(ROW(),2)=0</formula>
    </cfRule>
  </conditionalFormatting>
  <conditionalFormatting sqref="C3:D3">
    <cfRule type="expression" dxfId="41" priority="46">
      <formula>MOD(ROW(),2)=0</formula>
    </cfRule>
  </conditionalFormatting>
  <conditionalFormatting sqref="I3:L12">
    <cfRule type="expression" dxfId="40" priority="50">
      <formula>MOD(ROW(),2)=0</formula>
    </cfRule>
  </conditionalFormatting>
  <conditionalFormatting sqref="I2:L2">
    <cfRule type="expression" dxfId="39" priority="49">
      <formula>MOD(ROW(),2)=0</formula>
    </cfRule>
  </conditionalFormatting>
  <conditionalFormatting sqref="H3:H12">
    <cfRule type="expression" dxfId="38" priority="48">
      <formula>MOD(ROW(),2)=0</formula>
    </cfRule>
  </conditionalFormatting>
  <conditionalFormatting sqref="E3">
    <cfRule type="expression" dxfId="37" priority="41">
      <formula>MOD(ROW(),2)=0</formula>
    </cfRule>
  </conditionalFormatting>
  <conditionalFormatting sqref="C4:D12">
    <cfRule type="expression" dxfId="36" priority="40">
      <formula>MOD(ROW(),2)=0</formula>
    </cfRule>
  </conditionalFormatting>
  <conditionalFormatting sqref="E12:F12 E4:E11">
    <cfRule type="expression" dxfId="35" priority="39">
      <formula>MOD(ROW(),2)=0</formula>
    </cfRule>
  </conditionalFormatting>
  <conditionalFormatting sqref="B18:G18">
    <cfRule type="expression" dxfId="34" priority="38">
      <formula>MOD(ROW(),2)=0</formula>
    </cfRule>
  </conditionalFormatting>
  <conditionalFormatting sqref="B20">
    <cfRule type="expression" dxfId="33" priority="37">
      <formula>MOD(ROW(),2)=0</formula>
    </cfRule>
  </conditionalFormatting>
  <conditionalFormatting sqref="C20:G20">
    <cfRule type="expression" dxfId="32" priority="36">
      <formula>MOD(ROW(),2)=0</formula>
    </cfRule>
  </conditionalFormatting>
  <conditionalFormatting sqref="C16:G16">
    <cfRule type="expression" dxfId="31" priority="35">
      <formula>MOD(ROW(),2)=0</formula>
    </cfRule>
  </conditionalFormatting>
  <conditionalFormatting sqref="C13:G13">
    <cfRule type="expression" dxfId="30" priority="34">
      <formula>MOD(ROW(),2)=0</formula>
    </cfRule>
  </conditionalFormatting>
  <conditionalFormatting sqref="H13:P13">
    <cfRule type="expression" dxfId="29" priority="33">
      <formula>MOD(ROW(),2)=0</formula>
    </cfRule>
  </conditionalFormatting>
  <conditionalFormatting sqref="M10">
    <cfRule type="expression" dxfId="28" priority="31">
      <formula>MOD(ROW(),2)=0</formula>
    </cfRule>
  </conditionalFormatting>
  <conditionalFormatting sqref="A21 D21">
    <cfRule type="expression" dxfId="27" priority="30">
      <formula>MOD(ROW(),2)=0</formula>
    </cfRule>
  </conditionalFormatting>
  <conditionalFormatting sqref="B21 E21:F21">
    <cfRule type="expression" dxfId="26" priority="29">
      <formula>MOD(ROW(),2)=0</formula>
    </cfRule>
  </conditionalFormatting>
  <conditionalFormatting sqref="C21 G21">
    <cfRule type="expression" dxfId="25" priority="28">
      <formula>MOD(ROW(),2)=0</formula>
    </cfRule>
  </conditionalFormatting>
  <conditionalFormatting sqref="B22">
    <cfRule type="expression" dxfId="24" priority="27">
      <formula>MOD(ROW(),2)=0</formula>
    </cfRule>
  </conditionalFormatting>
  <conditionalFormatting sqref="B23 E23:F23">
    <cfRule type="expression" dxfId="23" priority="22">
      <formula>MOD(ROW(),2)=0</formula>
    </cfRule>
  </conditionalFormatting>
  <conditionalFormatting sqref="B17:G17">
    <cfRule type="expression" dxfId="22" priority="25">
      <formula>MOD(ROW(),2)=0</formula>
    </cfRule>
  </conditionalFormatting>
  <conditionalFormatting sqref="B19:G19">
    <cfRule type="expression" dxfId="21" priority="24">
      <formula>MOD(ROW(),2)=0</formula>
    </cfRule>
  </conditionalFormatting>
  <conditionalFormatting sqref="A23 D23">
    <cfRule type="expression" dxfId="20" priority="23">
      <formula>MOD(ROW(),2)=0</formula>
    </cfRule>
  </conditionalFormatting>
  <conditionalFormatting sqref="C23 G23">
    <cfRule type="expression" dxfId="19" priority="21">
      <formula>MOD(ROW(),2)=0</formula>
    </cfRule>
  </conditionalFormatting>
  <conditionalFormatting sqref="D24:D32 A24:A32">
    <cfRule type="expression" dxfId="18" priority="20">
      <formula>MOD(ROW(),2)=0</formula>
    </cfRule>
  </conditionalFormatting>
  <conditionalFormatting sqref="B24:B32 E24:F32">
    <cfRule type="expression" dxfId="17" priority="19">
      <formula>MOD(ROW(),2)=0</formula>
    </cfRule>
  </conditionalFormatting>
  <conditionalFormatting sqref="C24:C32 G24:G32">
    <cfRule type="expression" dxfId="16" priority="18">
      <formula>MOD(ROW(),2)=0</formula>
    </cfRule>
  </conditionalFormatting>
  <conditionalFormatting sqref="A14:B15">
    <cfRule type="expression" dxfId="15" priority="17">
      <formula>MOD(ROW(),2)=0</formula>
    </cfRule>
  </conditionalFormatting>
  <conditionalFormatting sqref="C14:G15">
    <cfRule type="expression" dxfId="14" priority="16">
      <formula>MOD(ROW(),2)=0</formula>
    </cfRule>
  </conditionalFormatting>
  <conditionalFormatting sqref="H14:N15">
    <cfRule type="expression" dxfId="13" priority="15">
      <formula>MOD(ROW(),2)=0</formula>
    </cfRule>
  </conditionalFormatting>
  <conditionalFormatting sqref="O14:P15">
    <cfRule type="expression" dxfId="12" priority="14">
      <formula>MOD(ROW(),2)=0</formula>
    </cfRule>
  </conditionalFormatting>
  <conditionalFormatting sqref="F3">
    <cfRule type="expression" dxfId="11" priority="13">
      <formula>MOD(ROW(),2)=0</formula>
    </cfRule>
  </conditionalFormatting>
  <conditionalFormatting sqref="F4">
    <cfRule type="expression" dxfId="10" priority="11">
      <formula>MOD(ROW(),2)=0</formula>
    </cfRule>
  </conditionalFormatting>
  <conditionalFormatting sqref="F5">
    <cfRule type="expression" dxfId="9" priority="10">
      <formula>MOD(ROW(),2)=0</formula>
    </cfRule>
  </conditionalFormatting>
  <conditionalFormatting sqref="F6">
    <cfRule type="expression" dxfId="8" priority="9">
      <formula>MOD(ROW(),2)=0</formula>
    </cfRule>
  </conditionalFormatting>
  <conditionalFormatting sqref="F7">
    <cfRule type="expression" dxfId="7" priority="8">
      <formula>MOD(ROW(),2)=0</formula>
    </cfRule>
  </conditionalFormatting>
  <conditionalFormatting sqref="F8">
    <cfRule type="expression" dxfId="6" priority="7">
      <formula>MOD(ROW(),2)=0</formula>
    </cfRule>
  </conditionalFormatting>
  <conditionalFormatting sqref="F9">
    <cfRule type="expression" dxfId="5" priority="6">
      <formula>MOD(ROW(),2)=0</formula>
    </cfRule>
  </conditionalFormatting>
  <conditionalFormatting sqref="F10">
    <cfRule type="expression" dxfId="4" priority="5">
      <formula>MOD(ROW(),2)=0</formula>
    </cfRule>
  </conditionalFormatting>
  <conditionalFormatting sqref="F11">
    <cfRule type="expression" dxfId="3" priority="4">
      <formula>MOD(ROW(),2)=0</formula>
    </cfRule>
  </conditionalFormatting>
  <conditionalFormatting sqref="D33:D51 A33:A51">
    <cfRule type="expression" dxfId="2" priority="3">
      <formula>MOD(ROW(),2)=0</formula>
    </cfRule>
  </conditionalFormatting>
  <conditionalFormatting sqref="B33:B51 E33:F51">
    <cfRule type="expression" dxfId="1" priority="2">
      <formula>MOD(ROW(),2)=0</formula>
    </cfRule>
  </conditionalFormatting>
  <conditionalFormatting sqref="C33:C51 G33:G51">
    <cfRule type="expression" dxfId="0" priority="1">
      <formula>MOD(ROW(),2)=0</formula>
    </cfRule>
  </conditionalFormatting>
  <hyperlinks>
    <hyperlink ref="B32" r:id="rId1" xr:uid="{72F29453-312E-7146-A554-D7357C61EEBC}"/>
    <hyperlink ref="B35" r:id="rId2" xr:uid="{CE5B5707-FF0D-9C40-ABB0-0A717377067F}"/>
    <hyperlink ref="B36" r:id="rId3" xr:uid="{81CF7C55-5FF7-2E46-8E69-C760AC10E377}"/>
    <hyperlink ref="B50" r:id="rId4" xr:uid="{5271E9B4-C124-BA47-8208-D9328A71FD8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brownsberger</dc:creator>
  <cp:lastModifiedBy>will brownsberger</cp:lastModifiedBy>
  <dcterms:created xsi:type="dcterms:W3CDTF">2019-08-18T01:15:59Z</dcterms:created>
  <dcterms:modified xsi:type="dcterms:W3CDTF">2019-08-18T16:30:01Z</dcterms:modified>
</cp:coreProperties>
</file>