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8325" windowWidth="13110" windowHeight="8370" activeTab="0"/>
  </bookViews>
  <sheets>
    <sheet name="Notes and Credits" sheetId="1" r:id="rId1"/>
    <sheet name="Cost-Benefit Analysis" sheetId="2" r:id="rId2"/>
    <sheet name="Assumptions" sheetId="3" r:id="rId3"/>
    <sheet name="HERS Analyhsis in Full" sheetId="4" r:id="rId4"/>
    <sheet name="Cost Inputs" sheetId="5" r:id="rId5"/>
    <sheet name="Carbon Savings Alternatives" sheetId="6" r:id="rId6"/>
    <sheet name="Industry Subsidies" sheetId="7" r:id="rId7"/>
  </sheets>
  <definedNames>
    <definedName name="bonus">#REF!</definedName>
    <definedName name="carpwage">#REF!</definedName>
    <definedName name="grand.total">#REF!</definedName>
    <definedName name="labsuper">#REF!</definedName>
    <definedName name="matlsuper">#REF!</definedName>
    <definedName name="oh">#N/A</definedName>
    <definedName name="subsuper">#REF!</definedName>
    <definedName name="tothrs">#REF!</definedName>
    <definedName name="wagerate">#REF!</definedName>
  </definedNames>
  <calcPr fullCalcOnLoad="1"/>
</workbook>
</file>

<file path=xl/comments4.xml><?xml version="1.0" encoding="utf-8"?>
<comments xmlns="http://schemas.openxmlformats.org/spreadsheetml/2006/main">
  <authors>
    <author>Author</author>
  </authors>
  <commentList>
    <comment ref="A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Changing the Thermal Boundary to include the Attic  changes the conditioned floor area from 2728 to 4092
</t>
        </r>
      </text>
    </comment>
  </commentList>
</comments>
</file>

<file path=xl/comments5.xml><?xml version="1.0" encoding="utf-8"?>
<comments xmlns="http://schemas.openxmlformats.org/spreadsheetml/2006/main">
  <authors>
    <author>William Brownsberger</author>
  </authors>
  <commentList>
    <comment ref="K6" authorId="0">
      <text>
        <r>
          <rPr>
            <b/>
            <sz val="8"/>
            <rFont val="Tahoma"/>
            <family val="0"/>
          </rPr>
          <t>William Brownsberger:</t>
        </r>
        <r>
          <rPr>
            <sz val="8"/>
            <rFont val="Tahoma"/>
            <family val="0"/>
          </rPr>
          <t xml:space="preserve">
e</t>
        </r>
      </text>
    </comment>
  </commentList>
</comments>
</file>

<file path=xl/sharedStrings.xml><?xml version="1.0" encoding="utf-8"?>
<sst xmlns="http://schemas.openxmlformats.org/spreadsheetml/2006/main" count="366" uniqueCount="326">
  <si>
    <t>Some of the interior renovations may have contributed to energy savings -- for example, removing the chimney.</t>
  </si>
  <si>
    <t>There is no pre-project record of utility use.</t>
  </si>
  <si>
    <t>willbrownsberger.com</t>
  </si>
  <si>
    <t>http://byggmeister.com/</t>
  </si>
  <si>
    <r>
      <t xml:space="preserve">   </t>
    </r>
    <r>
      <rPr>
        <sz val="12"/>
        <rFont val="Times"/>
        <family val="0"/>
      </rPr>
      <t>In other words, they are adopted to be reasonably favorable to the benefit-cost ratios of the project components.</t>
    </r>
  </si>
  <si>
    <t>Allocated costs exclude general management, but include other overhead. Original budget shown without overhead allocation.</t>
  </si>
  <si>
    <t xml:space="preserve">Budget Reconiliation Notes </t>
  </si>
  <si>
    <t>(2) Difference between final/Ngrid amounts and original includes going from 4 to 6" of foam.</t>
  </si>
  <si>
    <t>paul@byggmeister.com</t>
  </si>
  <si>
    <t>http://deapenergygroup.web.officelive.com/MikeDuclos.aspx</t>
  </si>
  <si>
    <t>Some related project activities are excluded from analysis.</t>
  </si>
  <si>
    <t>Energy saving estimates are based on HERS modeling by Mike Duclos</t>
  </si>
  <si>
    <t>Pre and post project energy use is based on modeling.</t>
  </si>
  <si>
    <t>Actual experience since occupying units in August 2010 has been consistent with or slightly better than the modeling.</t>
  </si>
  <si>
    <t>In comparing this project to other projects, many benefits of the project should be considered.</t>
  </si>
  <si>
    <t>This analysis focuses on entirely on energy.benefits.</t>
  </si>
  <si>
    <t>The Deep Energy Retrofit approach taken here has considerable durability and comfort benefits.</t>
  </si>
  <si>
    <t>http://www.buildingscience.com/documents/case-studies/cold-climate-national-grid-deep-energy-retrofit-belmont/</t>
  </si>
  <si>
    <t>https://www.powerofaction.com/der/</t>
  </si>
  <si>
    <t>Cost allocations based on allocation by the project's general contractor, Paul Eldrenkamp</t>
  </si>
  <si>
    <t>This is a two family structure occupied by Will and Carolyn Brownsberger and by Carl and Susan Brownsberger.</t>
  </si>
  <si>
    <t>Renovations included finishing the attic and basement.  Energy savings baseline used includes those areas.</t>
  </si>
  <si>
    <t>Non-energy-related homeowner benefits of the project are not included in this analysis.</t>
  </si>
  <si>
    <t>http://www.newenglandbreeze.com/</t>
  </si>
  <si>
    <t>Range of estimates for SREC incentives provided by solar panel contractor, New England Breeze</t>
  </si>
  <si>
    <t>National Grid's Deep Energy Retrofit Grant Program provide incentives and oversight for the construction project.</t>
  </si>
  <si>
    <t>Additional oversight for the construction project was provided by Building Sciences Corporation.</t>
  </si>
  <si>
    <t>Synery Construction was the envelope subcontractor.</t>
  </si>
  <si>
    <t>http://synergy-green-builders.com/</t>
  </si>
  <si>
    <t>This page expands on the cost-benefit analysis of the additional insulation step.</t>
  </si>
  <si>
    <t>(Line 8 in the Cost-Benefit analsysis)</t>
  </si>
  <si>
    <t>Line 8 shows smaller saving because it follows line 7 -- there isn't so much heat loss left to stop if the foam</t>
  </si>
  <si>
    <t xml:space="preserve">    goes over cellulose cavity insulation.</t>
  </si>
  <si>
    <t xml:space="preserve">(1) Does it have net carbon benefits?  </t>
  </si>
  <si>
    <t xml:space="preserve">            Foam manufacturers say they uses zero GHG blowing agents</t>
  </si>
  <si>
    <t xml:space="preserve">     Given the light weight of the product embodied energy should be low.</t>
  </si>
  <si>
    <t xml:space="preserve">      Yes, the carbon benefits appear to be unreduced by material carbon costs.</t>
  </si>
  <si>
    <t xml:space="preserve">     Apparently, there is no appreciable GHG impact of polyisocyanurate manufacturing.</t>
  </si>
  <si>
    <t>Line 8 involves installation of 4" of polyisocyanurate foam paneling outside the walls; 6" on the roof.</t>
  </si>
  <si>
    <t>(2) If one were exclusively focused on carbon benefits, how does this investment compare to offsets?</t>
  </si>
  <si>
    <t xml:space="preserve">      Carbon offsets are much cheaper.</t>
  </si>
  <si>
    <t xml:space="preserve">       Upfront cost of additional insulation</t>
  </si>
  <si>
    <t xml:space="preserve">       Annual Therms of Gas Saved</t>
  </si>
  <si>
    <t xml:space="preserve">       Tons Carbon per Therm</t>
  </si>
  <si>
    <t xml:space="preserve">       Tons Carbon saved annually</t>
  </si>
  <si>
    <t xml:space="preserve">       Tons of CO2 saved annually</t>
  </si>
  <si>
    <t xml:space="preserve">      Cost of offets with same savings</t>
  </si>
  <si>
    <t>Additionally, investing in energy savings reduces exposure to risk of energy cost volatility.</t>
  </si>
  <si>
    <t>Component-by-component cost-benefit analysis of Deep Energy Retrofit project at 118-120 Gilbert Road, Belmont, MA (2010)</t>
  </si>
  <si>
    <t xml:space="preserve">      PV of offset same cost </t>
  </si>
  <si>
    <t xml:space="preserve">      Ratio of hard NPV loss to offset PV</t>
  </si>
  <si>
    <t>(3) How would the Step 8 economics change if less additional insulation were applied?</t>
  </si>
  <si>
    <t>(*)</t>
  </si>
  <si>
    <t>(*)  Carbon offset price ranges can be seen at this link: http://www.ecobusinesslinks.com/carbon_offset_wind_credits_carbon_reduction.htm</t>
  </si>
  <si>
    <t xml:space="preserve">      Cost of CO2 offsets/ton</t>
  </si>
  <si>
    <t xml:space="preserve">Higher energy price inflation assumptions could quickly make this line positive economically, but </t>
  </si>
  <si>
    <t>because of the reduced savings in this line, some questions are worth asking:</t>
  </si>
  <si>
    <t xml:space="preserve">      A single layer of 1 or 2" foam might achieve most of the air sealing and possible warm cavity benefits of Step 8.</t>
  </si>
  <si>
    <t xml:space="preserve">      Ths might make the economics of this step less dependent on energy price inflation.</t>
  </si>
  <si>
    <t>general remodeling</t>
  </si>
  <si>
    <t>S5 - Add 4" Polyisocyanurate rigid foam on AGWalls; new exterior claps</t>
  </si>
  <si>
    <t>Cost</t>
  </si>
  <si>
    <t>mod</t>
  </si>
  <si>
    <t>Energy Costs</t>
  </si>
  <si>
    <t>Electricity</t>
  </si>
  <si>
    <t>Gas</t>
  </si>
  <si>
    <t>Oil</t>
  </si>
  <si>
    <t xml:space="preserve">     Per kwh</t>
  </si>
  <si>
    <t>Renewables</t>
  </si>
  <si>
    <t xml:space="preserve">   Solar PV</t>
  </si>
  <si>
    <t>Conversion Factsrs</t>
  </si>
  <si>
    <t xml:space="preserve">      BTU/Unit</t>
  </si>
  <si>
    <t xml:space="preserve">      kwh/Unit</t>
  </si>
  <si>
    <t>Units</t>
  </si>
  <si>
    <t>kwh</t>
  </si>
  <si>
    <t>therms</t>
  </si>
  <si>
    <t>gallons</t>
  </si>
  <si>
    <t>118 &amp; 120 Gilbert Scenarios - 11/1/2010</t>
  </si>
  <si>
    <t>HERS</t>
  </si>
  <si>
    <t>Heat</t>
  </si>
  <si>
    <t>Cool</t>
  </si>
  <si>
    <t>DHW</t>
  </si>
  <si>
    <t xml:space="preserve">Heat </t>
  </si>
  <si>
    <t>L&amp;A</t>
  </si>
  <si>
    <t>PV</t>
  </si>
  <si>
    <t>Total</t>
  </si>
  <si>
    <t>DesLd = Design Load, Peak energy demand in KBTU/Hr</t>
  </si>
  <si>
    <t>DesLd</t>
  </si>
  <si>
    <t>AnnLd</t>
  </si>
  <si>
    <t>AnnCs</t>
  </si>
  <si>
    <t>Cond.</t>
  </si>
  <si>
    <t>AnnLd = Annual  Load, Annual useful energy demand, MMBTU/Yr (millions of BTUs)</t>
  </si>
  <si>
    <t>Space</t>
  </si>
  <si>
    <t>Checksum</t>
  </si>
  <si>
    <t>AnnCs - Annual Consumption, Annual Site Energy use in MMBTU/Yr</t>
  </si>
  <si>
    <t>sf</t>
  </si>
  <si>
    <t>DHW = Domestic Hot Water Annual site energy in MMBTU/Yr</t>
  </si>
  <si>
    <t>S0 - Baseline - Blower Door = 5700 CFM @ 50 Pa</t>
  </si>
  <si>
    <t>S1 - Thermal boundary includes attic, no insulation, change to 5 bedrooms</t>
  </si>
  <si>
    <t>S2 - No basement insulation but include basement in thermal boundary</t>
  </si>
  <si>
    <t>S3 - Two Renewaire EV130 Energy Recovery Ventilators at 100 CFM</t>
  </si>
  <si>
    <t xml:space="preserve">S4 - DP CE Above Grade Walls </t>
  </si>
  <si>
    <t>S5 - Add 4" Polyisocyanruate rigid foam on AGWalls</t>
  </si>
  <si>
    <t>S6 - Blower Door to 4500 CFM at 50 Pa</t>
  </si>
  <si>
    <t>S7 - Insulated Rafters with R26 Dense Pack Cellulose</t>
  </si>
  <si>
    <t>S8 - Add 6" Polyisocyanruate rigid foam on top of roof sheating</t>
  </si>
  <si>
    <t>S9 - Blower Door to 3000 CFM at 50 Pa</t>
  </si>
  <si>
    <t xml:space="preserve">S10 - Insulate Foundation Walls to R12 with closed cell spray foam </t>
  </si>
  <si>
    <t>S11 - Insulate Foundation Walls to R40 average with mineral wool</t>
  </si>
  <si>
    <t>S12 - Blower Door to 1700 CFM at 50 Pa</t>
  </si>
  <si>
    <t>S13 - Window upgrade to triple glazed &amp; Door Upgrade</t>
  </si>
  <si>
    <t>S14 - Blower Door to 590 CFM at 50 Pa</t>
  </si>
  <si>
    <t xml:space="preserve">S15 - Changed oil boiler to natural gas  </t>
  </si>
  <si>
    <t xml:space="preserve">S16- Added air conditioning </t>
  </si>
  <si>
    <t>S17 - Solar Thermal</t>
  </si>
  <si>
    <t>S18 - Two 40 gal 0.90 EF electric DHW heaters added</t>
  </si>
  <si>
    <t>S19 - Fridge estimate was 1500 KWHR/Yr, actual was 1541 KWHR/Yr</t>
  </si>
  <si>
    <t>S20 - Dishwasher estimated EF = 0.46 changed to average of both = 0.82</t>
  </si>
  <si>
    <t xml:space="preserve">S21 - CFLs were 0%, changed to 95.0% </t>
  </si>
  <si>
    <t xml:space="preserve">S22 - 21 Sanyo HIT-A 220 @ 204.4 CEC PTC each, Solectra PVI 5000 @ 96% </t>
  </si>
  <si>
    <t>required maintenance</t>
  </si>
  <si>
    <t>cost to meet code</t>
  </si>
  <si>
    <t>cost to exceed code</t>
  </si>
  <si>
    <t>Notes:</t>
  </si>
  <si>
    <t>Useful Life</t>
  </si>
  <si>
    <t>Electric</t>
  </si>
  <si>
    <t xml:space="preserve">Envelope </t>
  </si>
  <si>
    <t>Heating plant change</t>
  </si>
  <si>
    <t xml:space="preserve">   Efficiency upgrade at reduced load</t>
  </si>
  <si>
    <t xml:space="preserve">   Heating oil price from eia as of  2/21http://www.eia.doe.gov/oog/info/twip/twip.asp</t>
  </si>
  <si>
    <t>Spread</t>
  </si>
  <si>
    <t xml:space="preserve"> per BTU</t>
  </si>
  <si>
    <t xml:space="preserve">   Fuel switch (savings on whole amount of final heating load)</t>
  </si>
  <si>
    <t xml:space="preserve">   Total heating plant change (at reduced load)</t>
  </si>
  <si>
    <t>Combined</t>
  </si>
  <si>
    <t>mixed</t>
  </si>
  <si>
    <t xml:space="preserve">   Solar DHW with Backup (exclude cost and load of backup)</t>
  </si>
  <si>
    <t xml:space="preserve">Benefit Cost Ratio </t>
  </si>
  <si>
    <t xml:space="preserve">  Only about 10% of natural gas exports in the world market are from the middle east; ignore security costs associated with gas and electricity.</t>
  </si>
  <si>
    <t>per kwh</t>
  </si>
  <si>
    <t>per THOUSAND cubic feet</t>
  </si>
  <si>
    <t>per kwh for damage costs</t>
  </si>
  <si>
    <t xml:space="preserve">    Regarding oil heat non-GHG damages, no estimate, but can guesstimate from diesel?</t>
  </si>
  <si>
    <t xml:space="preserve">       http://www.nap.edu/openbook.php?record_id=12794&amp;page=178</t>
  </si>
  <si>
    <t xml:space="preserve">                  http://www.pima.org/contentpage/ContentPage.aspx?ModuleID=6&amp;SubModuleID=46</t>
  </si>
  <si>
    <t xml:space="preserve">                  EPA regulated?</t>
  </si>
  <si>
    <t xml:space="preserve">     Per Unit Assumed in analysis</t>
  </si>
  <si>
    <t xml:space="preserve"> (limited to the extra insulation component of the project).</t>
  </si>
  <si>
    <t xml:space="preserve">   For gas/oil Tons/Carbon Unit, see http://www.epa.gov/climatechange/emissions/downloads/2008_GHG_Fast_Facts.pdf</t>
  </si>
  <si>
    <t xml:space="preserve">   For MA MtC/kwh, see http://www.eia.doe.gov/oiaf/1605/pdf/EFactors1998-2000.pdf (a little out of date; probably high)</t>
  </si>
  <si>
    <t xml:space="preserve">   Gas charge components are gas delivery at rate for more than 10 therms, plus distribution adjustment plus supply charge as on 2/5/2011 NGrid  bill</t>
  </si>
  <si>
    <t xml:space="preserve">   Electric charge components are distribution, generation, transmission, NYPA, Purchased adj as of 1/27/2011 BMLD bill</t>
  </si>
  <si>
    <t xml:space="preserve">   Discount Rate (1)</t>
  </si>
  <si>
    <t>(1)  Mortgage interest rate for permanent financing for project was 4.25%.</t>
  </si>
  <si>
    <t xml:space="preserve">   Social cost of Carbon per ton (2)</t>
  </si>
  <si>
    <t xml:space="preserve">(2)  For social cost of carbon estimate, see review in IPCC 4 report: at section 20.6.1:   http://www.ipcc.ch/publications_and_data/ar4/wg2/en/ch20s20-6-1.html  </t>
  </si>
  <si>
    <t xml:space="preserve">         $350 is the 95th percentile from one study of varying estimates reviewed there.  Estimates range across three orders of magnitude from $1 to $1500/ton.</t>
  </si>
  <si>
    <t xml:space="preserve">         Compare National Academy of Sciences http://www.nap.edu/openbook.php?record_id=12794&amp;page=17 (and following pages)</t>
  </si>
  <si>
    <t xml:space="preserve">             Quoting range from $1 to 100 per ton of CO2 and and using $30/ton for illustration only, noting huge uncertainty</t>
  </si>
  <si>
    <t xml:space="preserve">         To be clear, that percentile reflects just the range of estimates using differing methodologies, not a probability of occurrence.  </t>
  </si>
  <si>
    <t xml:space="preserve">            Limiting estimates to peer reviewed studies reviewed in 2005, the mean was $43 and the standard deviation was $83.</t>
  </si>
  <si>
    <t xml:space="preserve">                 Note:  The units differ.  IPCC is using tons C; NAS using tons CO2.  $100/ton CO2 same as $367/ton C.</t>
  </si>
  <si>
    <t>higher of two estimates of annual marginal military cost of persian gulf oil defense</t>
  </si>
  <si>
    <t xml:space="preserve">         For a denominator, use total U.S. oil consumption, 18.8 million barrels per day from </t>
  </si>
  <si>
    <t xml:space="preserve">           Round this up to reflect expansion in the refining process, etc.</t>
  </si>
  <si>
    <t xml:space="preserve">           Gallons/Barrel </t>
  </si>
  <si>
    <t xml:space="preserve">           Yields this estimate of security costs per barrell of heating oil</t>
  </si>
  <si>
    <t xml:space="preserve">        See http://www.eia.gov/naturalgas/data.cfm#imports for data about experts in the world markets</t>
  </si>
  <si>
    <t xml:space="preserve">     For electricity, generation accounts for bulk of hidden costs and highly dependeng on fuel sources and control technologies</t>
  </si>
  <si>
    <t xml:space="preserve">        See http://www.nap.edu/openbook.php?record_id=12794&amp;page=6</t>
  </si>
  <si>
    <t xml:space="preserve">          current weighted average cost of coal damages</t>
  </si>
  <si>
    <t xml:space="preserve">          but this is expected to decline by 2030</t>
  </si>
  <si>
    <t xml:space="preserve">          natural gas -- expected to further decline</t>
  </si>
  <si>
    <t xml:space="preserve">    Damages associated with natural gas for heat </t>
  </si>
  <si>
    <t xml:space="preserve">   To pick a number for Massachusetts electricity damages, need to consider fuel blend (and technologies, but ignoring that):</t>
  </si>
  <si>
    <t xml:space="preserve">           http://apps1.eere.energy.gov/states/electricity.cfm/state=MA#fuel</t>
  </si>
  <si>
    <t xml:space="preserve">       Electric power generation in MA 23% coal and 26% oil (likely too high and dated estimate).</t>
  </si>
  <si>
    <t xml:space="preserve">              use estimate of:</t>
  </si>
  <si>
    <t xml:space="preserve">           Suggests high side ballpark per gallon estimate of </t>
  </si>
  <si>
    <t xml:space="preserve">      Social Cost of Carbon per Unit</t>
  </si>
  <si>
    <t xml:space="preserve">      % increase by adding SCC</t>
  </si>
  <si>
    <t xml:space="preserve">   Social Cost of Carbon Dioxide (climate change costs)</t>
  </si>
  <si>
    <t xml:space="preserve">   Non-climate costs of fuel burning</t>
  </si>
  <si>
    <t xml:space="preserve">  Compare National Academy of Sciences arguing military cost basically fixed, not a factor to weight in energy costs.</t>
  </si>
  <si>
    <t xml:space="preserve">        http://www.nap.edu/openbook.php?record_id=12794&amp;page=20</t>
  </si>
  <si>
    <t xml:space="preserve">This page summarizes assumptions and conversion factors in the analysis.  </t>
  </si>
  <si>
    <t>$ per MMBTU (price dependent)</t>
  </si>
  <si>
    <t xml:space="preserve">   Market Prices</t>
  </si>
  <si>
    <t xml:space="preserve">   Natural gas prices rose 6% per year from 1987 to 2008, but dropped by a third from 2008 to 2010.</t>
  </si>
  <si>
    <t xml:space="preserve">       http://www.eia.gov/dnav/ng/hist/n3050us3a.htm</t>
  </si>
  <si>
    <t xml:space="preserve">       Nationwide, energy prices have drifted upward by 2.7% annually over the past 14 years.</t>
  </si>
  <si>
    <t xml:space="preserve">       http://www.eia.gov/cneaf/electricity/epm/table5_3.html</t>
  </si>
  <si>
    <t xml:space="preserve">   Oil prices are the most volatile of the three , but also not to central to the analysis.</t>
  </si>
  <si>
    <t xml:space="preserve">   Electricity prices are dependent on energy markets but also on other cost components and on regulation.</t>
  </si>
  <si>
    <t xml:space="preserve">      http://www.eia.gov/dnav/pet/hist/LeafHandler.ashx?n=PET&amp;s=WTOTWORLD&amp;f=W</t>
  </si>
  <si>
    <t xml:space="preserve">   General price inflation as reflected in the BEA's implicit price deflator ran at 2.4% from 2000 through 2010.</t>
  </si>
  <si>
    <t xml:space="preserve">     See http://www.bea.gov/faq/index.cfm?faq_id=513</t>
  </si>
  <si>
    <t xml:space="preserve">   Energy markets, currency markets and general price inflation all play a role. 3% is more favorable than zero for the analysis, but is not wildly off.</t>
  </si>
  <si>
    <t xml:space="preserve">   Highlighted cells include the variables to which the analysis is most sensitive and should be varied for perspective.</t>
  </si>
  <si>
    <r>
      <t xml:space="preserve">   </t>
    </r>
    <r>
      <rPr>
        <sz val="12"/>
        <rFont val="Times"/>
        <family val="0"/>
      </rPr>
      <t>The assumptions in this spreadsheet as released lean on the high side for costs/prices and on the low side for a discount rate.</t>
    </r>
  </si>
  <si>
    <t xml:space="preserve">     Per Unit Actual, 3/1/2011 (3) </t>
  </si>
  <si>
    <t xml:space="preserve">   Price Inflation (4)</t>
  </si>
  <si>
    <t xml:space="preserve">      Metric Tons of C per Unit (5) </t>
  </si>
  <si>
    <t xml:space="preserve">      National defense (6)</t>
  </si>
  <si>
    <t xml:space="preserve">      Health and environmental (7)</t>
  </si>
  <si>
    <t>(3)  Actual Current Prices per unit:</t>
  </si>
  <si>
    <t>(4) Energy inflation projections over the life of this investment are highly uncertain.</t>
  </si>
  <si>
    <t>(5) Carbon per unit burned/consumed</t>
  </si>
  <si>
    <t>(6) For military cost of oil access:   see, page 74 of Rand Study, Imported Oil and U.S. National Security</t>
  </si>
  <si>
    <t>(7) As to other externalities -- extraction, health costs, see Hidden Costs of Energy, study National Academy of Sciences</t>
  </si>
  <si>
    <t xml:space="preserve">       If half of power is gas and other damage sources (no estimate of nuclear damage), then high side to </t>
  </si>
  <si>
    <t>HERS analysis from Mike Duclos; recolored to correlated with cost and cost-benefit analysis</t>
  </si>
  <si>
    <t>Notes</t>
  </si>
  <si>
    <t xml:space="preserve">The gray shaded areas include comparisons to National Grid grant application and to original project budget. </t>
  </si>
  <si>
    <t>Eldrenkamp Allocations</t>
  </si>
  <si>
    <t>Reconciliation of Eldrenkamp allocation to Budget and to National Grid Application</t>
  </si>
  <si>
    <t>Total Allocation</t>
  </si>
  <si>
    <t>(1) Difference in wall foam allocation from NGRID appplication is primarily in the renovation cost (renovation is $14,375; DER allowable is  $40,427)</t>
  </si>
  <si>
    <t xml:space="preserve">     Post grant approval made decision to improve seal by adding step of removing and replacing architechtural detail.  Could allocate more of this to DER.</t>
  </si>
  <si>
    <t xml:space="preserve">     NGRID application includes $13,000 in other and air seal lines that could be allocated to this line to reduce discrepancy.</t>
  </si>
  <si>
    <t>(1)</t>
  </si>
  <si>
    <t>(2)</t>
  </si>
  <si>
    <t>(3)</t>
  </si>
  <si>
    <t>(4)</t>
  </si>
  <si>
    <t>(4) Doors were upgraded with change orders;</t>
  </si>
  <si>
    <t>(5) Upgraded furnaces to two-stage</t>
  </si>
  <si>
    <t>(3) Original budget did not include the additional mineral wool step.  National grid application combines lines differently.</t>
  </si>
  <si>
    <t>(6)</t>
  </si>
  <si>
    <t>(6) WB adjusted this line to reflect fixed price without overhead</t>
  </si>
  <si>
    <t>(5)</t>
  </si>
  <si>
    <t xml:space="preserve">Allocation vs. Ngrid App </t>
  </si>
  <si>
    <t xml:space="preserve"> NGrid Application </t>
  </si>
  <si>
    <t>Original Fixed Budget</t>
  </si>
  <si>
    <t xml:space="preserve">   Total Envelope project including residing/reroofing</t>
  </si>
  <si>
    <t>This page shows contractor Paul Eldrenkamp's allocations of final project costs.(excluding solar PV, general remodeling and maintenance costs)</t>
  </si>
  <si>
    <t>Hard+soft dollar NPV excluding incentives</t>
  </si>
  <si>
    <t>Environmental Project Total</t>
  </si>
  <si>
    <t xml:space="preserve">   Residing and reroofing</t>
  </si>
  <si>
    <t>(1) Maximum $1000 Massachusetts State Income Tax PV Credit</t>
  </si>
  <si>
    <t>(2) 30% federal income tax credit; not capped for solar PV or solar hot water, $5000 cap for insulation measures</t>
  </si>
  <si>
    <t xml:space="preserve">(3) Solar Renewable Energy Credit Sales range from 30 to 60 cents per kilowatt hour and for small sellers </t>
  </si>
  <si>
    <t xml:space="preserve">     typically are sold at a 20% discount; here we have assumed the market is </t>
  </si>
  <si>
    <t xml:space="preserve">    We have also only assumed a 10 year market for SREC's</t>
  </si>
  <si>
    <t>NPV after all incentives</t>
  </si>
  <si>
    <t>Millions of BTUs saved</t>
  </si>
  <si>
    <t>Fuel Type</t>
  </si>
  <si>
    <t>Units of fuel saved (therms or gallons or kwh)</t>
  </si>
  <si>
    <t>Hard dollar annual savings (no inflation)</t>
  </si>
  <si>
    <t>Years to pay-back (no interest or inflation)</t>
  </si>
  <si>
    <t>NPV of savings (with inflation)</t>
  </si>
  <si>
    <t>NPV (savings less cost) before incentives (with price inflation for energy)</t>
  </si>
  <si>
    <t>Federal tax incentives (2)</t>
  </si>
  <si>
    <t>State tax incentives (1)</t>
  </si>
  <si>
    <t>SRECs (NPV), Grants or  Rebates (3)</t>
  </si>
  <si>
    <t>Soft dollar (social external costs saved) annual</t>
  </si>
  <si>
    <t>NPV of soft dollar benefit cash flow (no inflation)</t>
  </si>
  <si>
    <t xml:space="preserve">     This column also includes utility company grants and rebates</t>
  </si>
  <si>
    <t>Costs and Energy Benefits</t>
  </si>
  <si>
    <t>Benefit-cost with incentives</t>
  </si>
  <si>
    <t>Benefit-cost without incentives</t>
  </si>
  <si>
    <t xml:space="preserve">  Benefit-cost including social benefits (excluding incentives)</t>
  </si>
  <si>
    <t>willbrownsberger@gmail.com</t>
  </si>
  <si>
    <t>617-771-8274</t>
  </si>
  <si>
    <t>It summarizes cost-benefit analysis of Deep Energy Retrofit Project conducted at 118-120 Gilbert Road, Belmont in 2010.</t>
  </si>
  <si>
    <t>The project also included general interior renovations; the costs of which are not shown here.</t>
  </si>
  <si>
    <t xml:space="preserve">   We went from single pipe steam raidators to ducted hot air heat.  Radiators were removed generating floor work.</t>
  </si>
  <si>
    <t xml:space="preserve">   The ducting could have been done without renovation because of the unfinished attic and basement.</t>
  </si>
  <si>
    <t>Some of the interior renovations probably would have been necessary to accomodate the heating plant change.</t>
  </si>
  <si>
    <t>Some marginal carpentry related to new window installation may have been absorbed in general renovation.</t>
  </si>
  <si>
    <t xml:space="preserve">   http://www.elistore.org/Data/products/d19_07.pdf</t>
  </si>
  <si>
    <t>(1) Environmental Law Institute, Estimating U.S. Government Subsidies to Energy Sources: 2002-2008</t>
  </si>
  <si>
    <t xml:space="preserve">    Seven-year subsidy, all fossil fuels (2002-8)</t>
  </si>
  <si>
    <t>The Environmental Law Institute recently produced a seven year estimate of subsidy to all fossil fuels (1):</t>
  </si>
  <si>
    <t xml:space="preserve">    Average annual fossil fuel subsidy</t>
  </si>
  <si>
    <t>(2) http://www.eia.doe.gov/oiaf/servicerpt/subsidy/table_es1.html</t>
  </si>
  <si>
    <t xml:space="preserve">    1999 total subsidy to fossil fuels.</t>
  </si>
  <si>
    <t>To see a high side estimate for the potential impact of loading fossil-fuel subsidies into the analysis,</t>
  </si>
  <si>
    <t xml:space="preserve">take the ELI estimate and allocate it all to natural gas.  Using that denominator and total U.S. </t>
  </si>
  <si>
    <t>consumption of natural gas as the denominator, yields the following:</t>
  </si>
  <si>
    <t>2010 U.S. Natural Gas Consumption (mm cu ft.) (3)</t>
  </si>
  <si>
    <t>(3) http://eia.gov/dnav/ng/ng_cons_sum_dcu_nus_a.htm</t>
  </si>
  <si>
    <t>Very high side number for natural gas subsidy per 100cuft</t>
  </si>
  <si>
    <t>Subsidies to specific kinds of fossil fuels.are hard to isolate.</t>
  </si>
  <si>
    <t xml:space="preserve">   the annual subsidy during the 2002-08 subsidy period was::</t>
  </si>
  <si>
    <t>http://www.eli.org/pressdetail.cfm?ID=205</t>
  </si>
  <si>
    <t>Total U.S. consumption per year (gallons) (4)</t>
  </si>
  <si>
    <t>(4) http://eia.gov/dnav/pet/hist/LeafHandler.ashx?n=pet&amp;s=wrpupus2&amp;f=4</t>
  </si>
  <si>
    <t>Very high side number for per gallon oil subsidy</t>
  </si>
  <si>
    <t>Allocating all the subsidy to oil yields a similarly negligible per barrel subsidy.</t>
  </si>
  <si>
    <t xml:space="preserve">        Subsidy per kilowatt hour, combined renewables:</t>
  </si>
  <si>
    <t xml:space="preserve">        Per therm equivalent (29 kwh):</t>
  </si>
  <si>
    <t xml:space="preserve">   But they are more generous if compared per unit.  The following computes a low side estimate</t>
  </si>
  <si>
    <t xml:space="preserve">      of the subsidy per kilowatt for renewable generation which is higher than the high side</t>
  </si>
  <si>
    <t xml:space="preserve">      natural gas subsidy estimated above.</t>
  </si>
  <si>
    <t xml:space="preserve">        Total all subsidies to solar PV component of project:</t>
  </si>
  <si>
    <t xml:space="preserve">        Undiscounted kwh over life of project:</t>
  </si>
  <si>
    <t xml:space="preserve">        Subsidy per undiscounted kwh</t>
  </si>
  <si>
    <t xml:space="preserve">However, it is fairly clear that loading them into the analysis would not materially improve the benefit cost-numbers for the project -- </t>
  </si>
  <si>
    <t xml:space="preserve">   the subsidy to natural gas is well under $0.04 per therm and the subsidy to oil is well under $0.03 per gallon</t>
  </si>
  <si>
    <t>The Energy Information Administration, using different definitions produced a much lower estimate for 1999 (2):</t>
  </si>
  <si>
    <t xml:space="preserve">From a budget perspective, subsidies to renewables are lower than subsidies to fossil fuels per ELI, excluding ethanol, e.g., </t>
  </si>
  <si>
    <t>(5) http://eia.gov/cneaf/electricity/epm/table1_1.html</t>
  </si>
  <si>
    <t xml:space="preserve">        Gigawatt hours from hydro, other renewables and other in 2008 (5)</t>
  </si>
  <si>
    <t>NOTE ON INDUSTRIES LEVEL SUBSIDIES, NOT INCLUDED IN THIS ANALYSIS</t>
  </si>
  <si>
    <t xml:space="preserve">    For a higher estimate of per kwh subsidy, use the numbers from this project: for solar PV </t>
  </si>
  <si>
    <t xml:space="preserve">         Renewable Electricity Production Credit (omit smaller categories; 7 yrs.)</t>
  </si>
  <si>
    <t xml:space="preserve">   Windows with associated CFM reductions </t>
  </si>
  <si>
    <t xml:space="preserve">   Additional insulation (4)</t>
  </si>
  <si>
    <t xml:space="preserve">   Code insulation:  Cellulose in walls and ceilings, foam in basement (4) </t>
  </si>
  <si>
    <t xml:space="preserve">            Basement</t>
  </si>
  <si>
    <t xml:space="preserve">            Walls</t>
  </si>
  <si>
    <t xml:space="preserve">            Roof</t>
  </si>
  <si>
    <t xml:space="preserve">Code </t>
  </si>
  <si>
    <t>Additional</t>
  </si>
  <si>
    <t>Insulation Step CFM</t>
  </si>
  <si>
    <t>Allocation of MMBtu</t>
  </si>
  <si>
    <t>MMBtu</t>
  </si>
  <si>
    <t>Code</t>
  </si>
  <si>
    <t>Note: Based on estimates from contractor Paul Eldrenkamp, project general contractor, we further allocated the CFM between the S4 and S5 steps.</t>
  </si>
  <si>
    <t>This allocation is reflected in the cost-benefit analysis energy savings estimates of the code (green) and additional (yellow) insulation steps.</t>
  </si>
  <si>
    <t xml:space="preserve">            Total across insulation steps.</t>
  </si>
  <si>
    <t>(4) Cost and energy change of ERV allocated to code insulation.  See HERS analysis page for allocation of CFM reductions.</t>
  </si>
  <si>
    <t>All data in the spreadsheet is subject to continued vetting and may be modified in future versions.</t>
  </si>
  <si>
    <t>This spreadsheet was completed by Will Brownsberger, March 5, 2011 (updated on March 15)</t>
  </si>
  <si>
    <t>Revision History:</t>
  </si>
  <si>
    <t xml:space="preserve">   March 15, fixed error in computation of savings from solar hot water to net out remaining consumption by back up hot water heaters.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</si>
</sst>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.0_);[Red]\(&quot;$&quot;#,##0.0\)"/>
    <numFmt numFmtId="167" formatCode="#,##0.000"/>
    <numFmt numFmtId="168" formatCode="#,##0.0000"/>
    <numFmt numFmtId="169" formatCode="00"/>
    <numFmt numFmtId="170" formatCode="0.0%"/>
    <numFmt numFmtId="171" formatCode="##0"/>
    <numFmt numFmtId="172" formatCode="0##"/>
    <numFmt numFmtId="173" formatCode="###"/>
    <numFmt numFmtId="174" formatCode="&quot;$&quot;#,##0.00"/>
    <numFmt numFmtId="175" formatCode="&quot;$&quot;#,##0.0"/>
    <numFmt numFmtId="176" formatCode="&quot;$&quot;#,##0"/>
    <numFmt numFmtId="177" formatCode="_(* #,##0.0_);_(* \(#,##0.0\);_(* &quot;-&quot;??_);_(@_)"/>
    <numFmt numFmtId="178" formatCode="_(* #,##0_);_(* \(#,##0\);_(* &quot;-&quot;??_);_(@_)"/>
    <numFmt numFmtId="179" formatCode="#,##0.00000"/>
    <numFmt numFmtId="180" formatCode="#,##0.000000"/>
    <numFmt numFmtId="181" formatCode="&quot;$&quot;#,##0.000_);[Red]\(&quot;$&quot;#,##0.000\)"/>
    <numFmt numFmtId="182" formatCode="&quot;$&quot;#,##0.0000_);[Red]\(&quot;$&quot;#,##0.0000\)"/>
    <numFmt numFmtId="183" formatCode="&quot;$&quot;#,##0.00000_);[Red]\(&quot;$&quot;#,##0.00000\)"/>
    <numFmt numFmtId="184" formatCode="&quot;$&quot;#,##0.000000_);[Red]\(&quot;$&quot;#,##0.000000\)"/>
    <numFmt numFmtId="185" formatCode="&quot;$&quot;#,##0.0000000_);[Red]\(&quot;$&quot;#,##0.0000000\)"/>
    <numFmt numFmtId="186" formatCode="&quot;$&quot;#,##0.00000000_);[Red]\(&quot;$&quot;#,##0.00000000\)"/>
    <numFmt numFmtId="187" formatCode="&quot;$&quot;#,##0.000000000_);[Red]\(&quot;$&quot;#,##0.000000000\)"/>
    <numFmt numFmtId="188" formatCode="&quot;$&quot;#,##0.0000000000_);[Red]\(&quot;$&quot;#,##0.0000000000\)"/>
    <numFmt numFmtId="189" formatCode="&quot;$&quot;#,##0.00000000000_);[Red]\(&quot;$&quot;#,##0.00000000000\)"/>
    <numFmt numFmtId="190" formatCode="&quot;$&quot;#,##0.000000000000_);[Red]\(&quot;$&quot;#,##0.000000000000\)"/>
    <numFmt numFmtId="191" formatCode="&quot;$&quot;#,##0.0000000000000_);[Red]\(&quot;$&quot;#,##0.0000000000000\)"/>
  </numFmts>
  <fonts count="37">
    <font>
      <sz val="12"/>
      <name val="Times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sz val="10"/>
      <name val="Geneva"/>
      <family val="0"/>
    </font>
    <font>
      <i/>
      <sz val="11"/>
      <color indexed="23"/>
      <name val="Calibri"/>
      <family val="2"/>
    </font>
    <font>
      <u val="single"/>
      <sz val="12"/>
      <color indexed="61"/>
      <name val="Times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Times"/>
      <family val="0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  <font>
      <sz val="8"/>
      <name val="Times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Times"/>
      <family val="0"/>
    </font>
    <font>
      <sz val="12"/>
      <color indexed="8"/>
      <name val="times"/>
      <family val="0"/>
    </font>
    <font>
      <i/>
      <sz val="12"/>
      <name val="Times"/>
      <family val="0"/>
    </font>
    <font>
      <b/>
      <i/>
      <sz val="12"/>
      <color indexed="8"/>
      <name val="times"/>
      <family val="0"/>
    </font>
    <font>
      <b/>
      <i/>
      <sz val="12"/>
      <name val="Times"/>
      <family val="0"/>
    </font>
    <font>
      <b/>
      <sz val="8"/>
      <name val="Times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 style="thin"/>
      <bottom style="thin"/>
    </border>
    <border>
      <left style="thick"/>
      <right style="thick"/>
      <top style="thick"/>
      <bottom style="thick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n"/>
      <bottom style="medium"/>
    </border>
    <border>
      <left style="thin"/>
      <right style="medium"/>
      <top style="medium"/>
      <bottom style="thick"/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ck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 style="thin"/>
      <top style="medium"/>
      <bottom style="medium"/>
    </border>
    <border>
      <left style="medium"/>
      <right style="medium"/>
      <top style="medium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4" fontId="9" fillId="0" borderId="0" applyFont="0" applyFill="0" applyBorder="0" applyAlignment="0" applyProtection="0"/>
    <xf numFmtId="41" fontId="4" fillId="0" borderId="0" applyFont="0" applyFill="0" applyBorder="0" applyAlignment="0" applyProtection="0"/>
    <xf numFmtId="8" fontId="9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0" fontId="0" fillId="4" borderId="7" applyNumberFormat="0" applyFont="0" applyAlignment="0" applyProtection="0"/>
    <xf numFmtId="0" fontId="20" fillId="16" borderId="8" applyNumberFormat="0" applyAlignment="0" applyProtection="0"/>
    <xf numFmtId="9" fontId="9" fillId="0" borderId="0" applyFont="0" applyFill="0" applyBorder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34">
    <xf numFmtId="3" fontId="0" fillId="0" borderId="0" xfId="0" applyAlignment="1">
      <alignment/>
    </xf>
    <xf numFmtId="3" fontId="27" fillId="18" borderId="10" xfId="0" applyFont="1" applyFill="1" applyBorder="1" applyAlignment="1">
      <alignment/>
    </xf>
    <xf numFmtId="3" fontId="27" fillId="15" borderId="11" xfId="0" applyFont="1" applyFill="1" applyBorder="1" applyAlignment="1">
      <alignment/>
    </xf>
    <xf numFmtId="3" fontId="27" fillId="6" borderId="11" xfId="0" applyFont="1" applyFill="1" applyBorder="1" applyAlignment="1">
      <alignment/>
    </xf>
    <xf numFmtId="3" fontId="27" fillId="10" borderId="11" xfId="0" applyFont="1" applyFill="1" applyBorder="1" applyAlignment="1">
      <alignment/>
    </xf>
    <xf numFmtId="3" fontId="27" fillId="3" borderId="11" xfId="0" applyFont="1" applyFill="1" applyBorder="1" applyAlignment="1">
      <alignment/>
    </xf>
    <xf numFmtId="3" fontId="27" fillId="7" borderId="12" xfId="0" applyFont="1" applyFill="1" applyBorder="1" applyAlignment="1">
      <alignment/>
    </xf>
    <xf numFmtId="3" fontId="28" fillId="6" borderId="13" xfId="0" applyFont="1" applyFill="1" applyBorder="1" applyAlignment="1">
      <alignment/>
    </xf>
    <xf numFmtId="3" fontId="27" fillId="15" borderId="14" xfId="0" applyFont="1" applyFill="1" applyBorder="1" applyAlignment="1">
      <alignment/>
    </xf>
    <xf numFmtId="3" fontId="27" fillId="6" borderId="14" xfId="0" applyFont="1" applyFill="1" applyBorder="1" applyAlignment="1">
      <alignment/>
    </xf>
    <xf numFmtId="3" fontId="27" fillId="10" borderId="14" xfId="0" applyFont="1" applyFill="1" applyBorder="1" applyAlignment="1">
      <alignment/>
    </xf>
    <xf numFmtId="3" fontId="27" fillId="3" borderId="14" xfId="0" applyFont="1" applyFill="1" applyBorder="1" applyAlignment="1">
      <alignment/>
    </xf>
    <xf numFmtId="3" fontId="27" fillId="7" borderId="15" xfId="0" applyFont="1" applyFill="1" applyBorder="1" applyAlignment="1">
      <alignment/>
    </xf>
    <xf numFmtId="3" fontId="28" fillId="10" borderId="13" xfId="0" applyFont="1" applyFill="1" applyBorder="1" applyAlignment="1">
      <alignment/>
    </xf>
    <xf numFmtId="3" fontId="23" fillId="7" borderId="15" xfId="0" applyFont="1" applyFill="1" applyBorder="1" applyAlignment="1">
      <alignment/>
    </xf>
    <xf numFmtId="3" fontId="28" fillId="3" borderId="13" xfId="0" applyFont="1" applyFill="1" applyBorder="1" applyAlignment="1">
      <alignment/>
    </xf>
    <xf numFmtId="3" fontId="0" fillId="7" borderId="15" xfId="0" applyFill="1" applyBorder="1" applyAlignment="1">
      <alignment/>
    </xf>
    <xf numFmtId="3" fontId="28" fillId="18" borderId="13" xfId="0" applyFont="1" applyFill="1" applyBorder="1" applyAlignment="1">
      <alignment/>
    </xf>
    <xf numFmtId="3" fontId="27" fillId="18" borderId="13" xfId="0" applyFont="1" applyFill="1" applyBorder="1" applyAlignment="1">
      <alignment/>
    </xf>
    <xf numFmtId="3" fontId="0" fillId="15" borderId="14" xfId="0" applyNumberFormat="1" applyFill="1" applyBorder="1" applyAlignment="1">
      <alignment/>
    </xf>
    <xf numFmtId="164" fontId="0" fillId="6" borderId="14" xfId="0" applyNumberFormat="1" applyFill="1" applyBorder="1" applyAlignment="1">
      <alignment/>
    </xf>
    <xf numFmtId="164" fontId="0" fillId="10" borderId="14" xfId="0" applyNumberFormat="1" applyFill="1" applyBorder="1" applyAlignment="1">
      <alignment/>
    </xf>
    <xf numFmtId="164" fontId="0" fillId="3" borderId="14" xfId="0" applyNumberFormat="1" applyFill="1" applyBorder="1" applyAlignment="1">
      <alignment/>
    </xf>
    <xf numFmtId="1" fontId="0" fillId="15" borderId="14" xfId="0" applyNumberFormat="1" applyFill="1" applyBorder="1" applyAlignment="1">
      <alignment/>
    </xf>
    <xf numFmtId="164" fontId="0" fillId="7" borderId="15" xfId="0" applyNumberFormat="1" applyFill="1" applyBorder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8" fontId="0" fillId="0" borderId="0" xfId="44" applyAlignment="1">
      <alignment/>
    </xf>
    <xf numFmtId="6" fontId="0" fillId="0" borderId="0" xfId="44" applyNumberFormat="1" applyAlignment="1">
      <alignment/>
    </xf>
    <xf numFmtId="3" fontId="0" fillId="0" borderId="14" xfId="0" applyBorder="1" applyAlignment="1">
      <alignment/>
    </xf>
    <xf numFmtId="165" fontId="0" fillId="0" borderId="14" xfId="0" applyNumberFormat="1" applyBorder="1" applyAlignment="1">
      <alignment/>
    </xf>
    <xf numFmtId="3" fontId="0" fillId="19" borderId="14" xfId="0" applyFill="1" applyBorder="1" applyAlignment="1">
      <alignment/>
    </xf>
    <xf numFmtId="3" fontId="0" fillId="20" borderId="14" xfId="0" applyFill="1" applyBorder="1" applyAlignment="1">
      <alignment/>
    </xf>
    <xf numFmtId="165" fontId="0" fillId="20" borderId="14" xfId="0" applyNumberFormat="1" applyFill="1" applyBorder="1" applyAlignment="1">
      <alignment/>
    </xf>
    <xf numFmtId="3" fontId="0" fillId="14" borderId="14" xfId="0" applyFill="1" applyBorder="1" applyAlignment="1">
      <alignment/>
    </xf>
    <xf numFmtId="165" fontId="0" fillId="14" borderId="14" xfId="0" applyNumberFormat="1" applyFill="1" applyBorder="1" applyAlignment="1">
      <alignment/>
    </xf>
    <xf numFmtId="3" fontId="0" fillId="9" borderId="14" xfId="0" applyFill="1" applyBorder="1" applyAlignment="1">
      <alignment/>
    </xf>
    <xf numFmtId="165" fontId="0" fillId="9" borderId="14" xfId="0" applyNumberFormat="1" applyFill="1" applyBorder="1" applyAlignment="1">
      <alignment/>
    </xf>
    <xf numFmtId="3" fontId="0" fillId="21" borderId="14" xfId="0" applyFill="1" applyBorder="1" applyAlignment="1">
      <alignment/>
    </xf>
    <xf numFmtId="165" fontId="0" fillId="21" borderId="14" xfId="0" applyNumberFormat="1" applyFill="1" applyBorder="1" applyAlignment="1">
      <alignment/>
    </xf>
    <xf numFmtId="4" fontId="0" fillId="21" borderId="14" xfId="0" applyNumberFormat="1" applyFill="1" applyBorder="1" applyAlignment="1">
      <alignment/>
    </xf>
    <xf numFmtId="3" fontId="0" fillId="8" borderId="14" xfId="0" applyFill="1" applyBorder="1" applyAlignment="1">
      <alignment/>
    </xf>
    <xf numFmtId="165" fontId="0" fillId="8" borderId="14" xfId="0" applyNumberFormat="1" applyFill="1" applyBorder="1" applyAlignment="1">
      <alignment/>
    </xf>
    <xf numFmtId="3" fontId="0" fillId="22" borderId="14" xfId="0" applyFill="1" applyBorder="1" applyAlignment="1">
      <alignment/>
    </xf>
    <xf numFmtId="165" fontId="0" fillId="22" borderId="14" xfId="0" applyNumberFormat="1" applyFill="1" applyBorder="1" applyAlignment="1">
      <alignment/>
    </xf>
    <xf numFmtId="3" fontId="0" fillId="0" borderId="16" xfId="0" applyBorder="1" applyAlignment="1">
      <alignment wrapText="1"/>
    </xf>
    <xf numFmtId="165" fontId="0" fillId="0" borderId="16" xfId="0" applyNumberFormat="1" applyBorder="1" applyAlignment="1">
      <alignment wrapText="1"/>
    </xf>
    <xf numFmtId="3" fontId="31" fillId="0" borderId="0" xfId="0" applyFont="1" applyAlignment="1">
      <alignment/>
    </xf>
    <xf numFmtId="3" fontId="0" fillId="0" borderId="0" xfId="0" applyFont="1" applyAlignment="1">
      <alignment/>
    </xf>
    <xf numFmtId="3" fontId="0" fillId="0" borderId="14" xfId="0" applyFont="1" applyBorder="1" applyAlignment="1">
      <alignment/>
    </xf>
    <xf numFmtId="10" fontId="0" fillId="14" borderId="14" xfId="59" applyNumberFormat="1" applyFont="1" applyFill="1" applyBorder="1" applyAlignment="1" applyProtection="1">
      <alignment/>
      <protection locked="0"/>
    </xf>
    <xf numFmtId="6" fontId="0" fillId="14" borderId="14" xfId="59" applyNumberFormat="1" applyFont="1" applyFill="1" applyBorder="1" applyAlignment="1" applyProtection="1">
      <alignment/>
      <protection locked="0"/>
    </xf>
    <xf numFmtId="179" fontId="0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167" fontId="0" fillId="0" borderId="14" xfId="0" applyNumberFormat="1" applyFont="1" applyBorder="1" applyAlignment="1">
      <alignment/>
    </xf>
    <xf numFmtId="179" fontId="0" fillId="14" borderId="14" xfId="0" applyNumberFormat="1" applyFont="1" applyFill="1" applyBorder="1" applyAlignment="1" applyProtection="1">
      <alignment/>
      <protection locked="0"/>
    </xf>
    <xf numFmtId="4" fontId="0" fillId="14" borderId="14" xfId="0" applyNumberFormat="1" applyFont="1" applyFill="1" applyBorder="1" applyAlignment="1" applyProtection="1">
      <alignment/>
      <protection locked="0"/>
    </xf>
    <xf numFmtId="167" fontId="0" fillId="14" borderId="14" xfId="0" applyNumberFormat="1" applyFont="1" applyFill="1" applyBorder="1" applyAlignment="1" applyProtection="1">
      <alignment/>
      <protection locked="0"/>
    </xf>
    <xf numFmtId="170" fontId="0" fillId="14" borderId="14" xfId="59" applyNumberFormat="1" applyFont="1" applyFill="1" applyBorder="1" applyAlignment="1">
      <alignment/>
    </xf>
    <xf numFmtId="168" fontId="0" fillId="0" borderId="0" xfId="0" applyNumberFormat="1" applyFont="1" applyAlignment="1">
      <alignment/>
    </xf>
    <xf numFmtId="165" fontId="0" fillId="0" borderId="14" xfId="0" applyNumberFormat="1" applyFont="1" applyBorder="1" applyAlignment="1">
      <alignment/>
    </xf>
    <xf numFmtId="180" fontId="0" fillId="0" borderId="14" xfId="0" applyNumberFormat="1" applyFont="1" applyBorder="1" applyAlignment="1">
      <alignment/>
    </xf>
    <xf numFmtId="168" fontId="0" fillId="0" borderId="14" xfId="0" applyNumberFormat="1" applyFont="1" applyBorder="1" applyAlignment="1">
      <alignment/>
    </xf>
    <xf numFmtId="8" fontId="0" fillId="0" borderId="14" xfId="44" applyFont="1" applyBorder="1" applyAlignment="1">
      <alignment/>
    </xf>
    <xf numFmtId="180" fontId="0" fillId="0" borderId="0" xfId="0" applyNumberFormat="1" applyFont="1" applyAlignment="1">
      <alignment/>
    </xf>
    <xf numFmtId="9" fontId="0" fillId="0" borderId="14" xfId="59" applyFont="1" applyBorder="1" applyAlignment="1">
      <alignment/>
    </xf>
    <xf numFmtId="6" fontId="0" fillId="0" borderId="0" xfId="44" applyNumberFormat="1" applyFont="1" applyAlignment="1">
      <alignment/>
    </xf>
    <xf numFmtId="8" fontId="0" fillId="0" borderId="0" xfId="44" applyNumberFormat="1" applyFont="1" applyAlignment="1">
      <alignment/>
    </xf>
    <xf numFmtId="181" fontId="0" fillId="0" borderId="0" xfId="44" applyNumberFormat="1" applyFont="1" applyAlignment="1">
      <alignment/>
    </xf>
    <xf numFmtId="182" fontId="0" fillId="0" borderId="0" xfId="44" applyNumberFormat="1" applyFont="1" applyAlignment="1">
      <alignment/>
    </xf>
    <xf numFmtId="8" fontId="0" fillId="0" borderId="0" xfId="44" applyFont="1" applyAlignment="1">
      <alignment/>
    </xf>
    <xf numFmtId="167" fontId="0" fillId="0" borderId="0" xfId="0" applyNumberFormat="1" applyFont="1" applyAlignment="1">
      <alignment/>
    </xf>
    <xf numFmtId="10" fontId="0" fillId="0" borderId="0" xfId="59" applyNumberFormat="1" applyFont="1" applyAlignment="1">
      <alignment/>
    </xf>
    <xf numFmtId="3" fontId="0" fillId="0" borderId="0" xfId="0" applyFont="1" applyAlignment="1">
      <alignment/>
    </xf>
    <xf numFmtId="6" fontId="0" fillId="8" borderId="14" xfId="44" applyNumberFormat="1" applyFill="1" applyBorder="1" applyAlignment="1">
      <alignment/>
    </xf>
    <xf numFmtId="6" fontId="0" fillId="22" borderId="14" xfId="44" applyNumberFormat="1" applyFill="1" applyBorder="1" applyAlignment="1">
      <alignment/>
    </xf>
    <xf numFmtId="6" fontId="0" fillId="0" borderId="14" xfId="44" applyNumberFormat="1" applyBorder="1" applyAlignment="1">
      <alignment/>
    </xf>
    <xf numFmtId="6" fontId="0" fillId="20" borderId="14" xfId="44" applyNumberFormat="1" applyFill="1" applyBorder="1" applyAlignment="1">
      <alignment/>
    </xf>
    <xf numFmtId="6" fontId="0" fillId="14" borderId="14" xfId="44" applyNumberFormat="1" applyFill="1" applyBorder="1" applyAlignment="1">
      <alignment/>
    </xf>
    <xf numFmtId="6" fontId="0" fillId="9" borderId="14" xfId="44" applyNumberFormat="1" applyFill="1" applyBorder="1" applyAlignment="1">
      <alignment/>
    </xf>
    <xf numFmtId="3" fontId="28" fillId="18" borderId="17" xfId="0" applyFont="1" applyFill="1" applyBorder="1" applyAlignment="1">
      <alignment/>
    </xf>
    <xf numFmtId="3" fontId="0" fillId="15" borderId="18" xfId="0" applyNumberFormat="1" applyFill="1" applyBorder="1" applyAlignment="1">
      <alignment/>
    </xf>
    <xf numFmtId="164" fontId="0" fillId="6" borderId="18" xfId="0" applyNumberFormat="1" applyFill="1" applyBorder="1" applyAlignment="1">
      <alignment/>
    </xf>
    <xf numFmtId="164" fontId="0" fillId="10" borderId="18" xfId="0" applyNumberFormat="1" applyFill="1" applyBorder="1" applyAlignment="1">
      <alignment/>
    </xf>
    <xf numFmtId="164" fontId="0" fillId="3" borderId="18" xfId="0" applyNumberFormat="1" applyFill="1" applyBorder="1" applyAlignment="1">
      <alignment/>
    </xf>
    <xf numFmtId="1" fontId="0" fillId="15" borderId="18" xfId="0" applyNumberFormat="1" applyFill="1" applyBorder="1" applyAlignment="1">
      <alignment/>
    </xf>
    <xf numFmtId="164" fontId="0" fillId="7" borderId="19" xfId="0" applyNumberFormat="1" applyFill="1" applyBorder="1" applyAlignment="1">
      <alignment/>
    </xf>
    <xf numFmtId="3" fontId="28" fillId="14" borderId="20" xfId="0" applyFont="1" applyFill="1" applyBorder="1" applyAlignment="1">
      <alignment/>
    </xf>
    <xf numFmtId="3" fontId="0" fillId="14" borderId="21" xfId="0" applyNumberFormat="1" applyFill="1" applyBorder="1" applyAlignment="1">
      <alignment/>
    </xf>
    <xf numFmtId="164" fontId="0" fillId="14" borderId="21" xfId="0" applyNumberFormat="1" applyFill="1" applyBorder="1" applyAlignment="1">
      <alignment/>
    </xf>
    <xf numFmtId="1" fontId="0" fillId="14" borderId="21" xfId="0" applyNumberFormat="1" applyFill="1" applyBorder="1" applyAlignment="1">
      <alignment/>
    </xf>
    <xf numFmtId="164" fontId="0" fillId="14" borderId="22" xfId="0" applyNumberFormat="1" applyFill="1" applyBorder="1" applyAlignment="1">
      <alignment/>
    </xf>
    <xf numFmtId="3" fontId="28" fillId="14" borderId="13" xfId="0" applyFont="1" applyFill="1" applyBorder="1" applyAlignment="1">
      <alignment/>
    </xf>
    <xf numFmtId="3" fontId="0" fillId="14" borderId="14" xfId="0" applyNumberFormat="1" applyFill="1" applyBorder="1" applyAlignment="1">
      <alignment/>
    </xf>
    <xf numFmtId="164" fontId="0" fillId="14" borderId="14" xfId="0" applyNumberFormat="1" applyFill="1" applyBorder="1" applyAlignment="1">
      <alignment/>
    </xf>
    <xf numFmtId="1" fontId="0" fillId="14" borderId="14" xfId="0" applyNumberFormat="1" applyFill="1" applyBorder="1" applyAlignment="1">
      <alignment/>
    </xf>
    <xf numFmtId="164" fontId="0" fillId="14" borderId="15" xfId="0" applyNumberFormat="1" applyFill="1" applyBorder="1" applyAlignment="1">
      <alignment/>
    </xf>
    <xf numFmtId="3" fontId="28" fillId="20" borderId="13" xfId="0" applyFont="1" applyFill="1" applyBorder="1" applyAlignment="1">
      <alignment/>
    </xf>
    <xf numFmtId="3" fontId="0" fillId="20" borderId="14" xfId="0" applyNumberFormat="1" applyFill="1" applyBorder="1" applyAlignment="1">
      <alignment/>
    </xf>
    <xf numFmtId="164" fontId="0" fillId="20" borderId="14" xfId="0" applyNumberFormat="1" applyFill="1" applyBorder="1" applyAlignment="1">
      <alignment/>
    </xf>
    <xf numFmtId="1" fontId="0" fillId="20" borderId="14" xfId="0" applyNumberFormat="1" applyFill="1" applyBorder="1" applyAlignment="1">
      <alignment/>
    </xf>
    <xf numFmtId="164" fontId="0" fillId="20" borderId="15" xfId="0" applyNumberFormat="1" applyFill="1" applyBorder="1" applyAlignment="1">
      <alignment/>
    </xf>
    <xf numFmtId="3" fontId="28" fillId="9" borderId="13" xfId="0" applyFont="1" applyFill="1" applyBorder="1" applyAlignment="1">
      <alignment/>
    </xf>
    <xf numFmtId="3" fontId="0" fillId="9" borderId="14" xfId="0" applyNumberFormat="1" applyFill="1" applyBorder="1" applyAlignment="1">
      <alignment/>
    </xf>
    <xf numFmtId="164" fontId="0" fillId="9" borderId="14" xfId="0" applyNumberFormat="1" applyFill="1" applyBorder="1" applyAlignment="1">
      <alignment/>
    </xf>
    <xf numFmtId="1" fontId="0" fillId="9" borderId="14" xfId="0" applyNumberFormat="1" applyFill="1" applyBorder="1" applyAlignment="1">
      <alignment/>
    </xf>
    <xf numFmtId="164" fontId="0" fillId="9" borderId="15" xfId="0" applyNumberFormat="1" applyFill="1" applyBorder="1" applyAlignment="1">
      <alignment/>
    </xf>
    <xf numFmtId="3" fontId="28" fillId="23" borderId="13" xfId="0" applyFont="1" applyFill="1" applyBorder="1" applyAlignment="1">
      <alignment/>
    </xf>
    <xf numFmtId="3" fontId="0" fillId="23" borderId="14" xfId="0" applyNumberFormat="1" applyFill="1" applyBorder="1" applyAlignment="1">
      <alignment/>
    </xf>
    <xf numFmtId="164" fontId="0" fillId="23" borderId="14" xfId="0" applyNumberFormat="1" applyFill="1" applyBorder="1" applyAlignment="1">
      <alignment/>
    </xf>
    <xf numFmtId="1" fontId="0" fillId="23" borderId="14" xfId="0" applyNumberFormat="1" applyFill="1" applyBorder="1" applyAlignment="1">
      <alignment/>
    </xf>
    <xf numFmtId="164" fontId="0" fillId="23" borderId="15" xfId="0" applyNumberFormat="1" applyFill="1" applyBorder="1" applyAlignment="1">
      <alignment/>
    </xf>
    <xf numFmtId="164" fontId="0" fillId="8" borderId="14" xfId="0" applyNumberFormat="1" applyFill="1" applyBorder="1" applyAlignment="1">
      <alignment/>
    </xf>
    <xf numFmtId="3" fontId="28" fillId="8" borderId="13" xfId="0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164" fontId="0" fillId="0" borderId="14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3" fontId="28" fillId="0" borderId="13" xfId="0" applyFont="1" applyFill="1" applyBorder="1" applyAlignment="1">
      <alignment/>
    </xf>
    <xf numFmtId="3" fontId="28" fillId="22" borderId="23" xfId="0" applyFont="1" applyFill="1" applyBorder="1" applyAlignment="1">
      <alignment/>
    </xf>
    <xf numFmtId="3" fontId="0" fillId="22" borderId="16" xfId="0" applyNumberFormat="1" applyFill="1" applyBorder="1" applyAlignment="1">
      <alignment/>
    </xf>
    <xf numFmtId="164" fontId="0" fillId="22" borderId="16" xfId="0" applyNumberFormat="1" applyFill="1" applyBorder="1" applyAlignment="1">
      <alignment/>
    </xf>
    <xf numFmtId="1" fontId="0" fillId="22" borderId="16" xfId="0" applyNumberFormat="1" applyFill="1" applyBorder="1" applyAlignment="1">
      <alignment/>
    </xf>
    <xf numFmtId="164" fontId="0" fillId="22" borderId="24" xfId="0" applyNumberFormat="1" applyFill="1" applyBorder="1" applyAlignment="1">
      <alignment/>
    </xf>
    <xf numFmtId="3" fontId="28" fillId="0" borderId="0" xfId="0" applyFont="1" applyFill="1" applyBorder="1" applyAlignment="1">
      <alignment/>
    </xf>
    <xf numFmtId="3" fontId="0" fillId="19" borderId="25" xfId="0" applyFill="1" applyBorder="1" applyAlignment="1">
      <alignment/>
    </xf>
    <xf numFmtId="3" fontId="32" fillId="0" borderId="0" xfId="42" applyNumberFormat="1" applyFont="1" applyBorder="1" applyAlignment="1">
      <alignment/>
    </xf>
    <xf numFmtId="3" fontId="32" fillId="0" borderId="0" xfId="42" applyNumberFormat="1" applyFont="1" applyAlignment="1">
      <alignment/>
    </xf>
    <xf numFmtId="3" fontId="32" fillId="0" borderId="26" xfId="42" applyNumberFormat="1" applyFont="1" applyBorder="1" applyAlignment="1">
      <alignment/>
    </xf>
    <xf numFmtId="3" fontId="0" fillId="0" borderId="0" xfId="0" applyFont="1" applyAlignment="1">
      <alignment/>
    </xf>
    <xf numFmtId="3" fontId="0" fillId="0" borderId="0" xfId="0" applyFont="1" applyBorder="1" applyAlignment="1">
      <alignment/>
    </xf>
    <xf numFmtId="3" fontId="32" fillId="0" borderId="27" xfId="42" applyNumberFormat="1" applyFont="1" applyBorder="1" applyAlignment="1">
      <alignment/>
    </xf>
    <xf numFmtId="3" fontId="32" fillId="0" borderId="28" xfId="42" applyNumberFormat="1" applyFont="1" applyBorder="1" applyAlignment="1">
      <alignment/>
    </xf>
    <xf numFmtId="3" fontId="32" fillId="0" borderId="29" xfId="42" applyNumberFormat="1" applyFont="1" applyBorder="1" applyAlignment="1">
      <alignment/>
    </xf>
    <xf numFmtId="3" fontId="32" fillId="0" borderId="30" xfId="42" applyNumberFormat="1" applyFont="1" applyBorder="1" applyAlignment="1">
      <alignment horizontal="center" wrapText="1"/>
    </xf>
    <xf numFmtId="3" fontId="32" fillId="0" borderId="31" xfId="42" applyNumberFormat="1" applyFont="1" applyBorder="1" applyAlignment="1">
      <alignment horizontal="center" wrapText="1"/>
    </xf>
    <xf numFmtId="3" fontId="0" fillId="19" borderId="0" xfId="0" applyFont="1" applyFill="1" applyAlignment="1">
      <alignment/>
    </xf>
    <xf numFmtId="3" fontId="32" fillId="14" borderId="32" xfId="42" applyNumberFormat="1" applyFont="1" applyFill="1" applyBorder="1" applyAlignment="1">
      <alignment/>
    </xf>
    <xf numFmtId="3" fontId="32" fillId="14" borderId="33" xfId="42" applyNumberFormat="1" applyFont="1" applyFill="1" applyBorder="1" applyAlignment="1">
      <alignment/>
    </xf>
    <xf numFmtId="3" fontId="32" fillId="14" borderId="34" xfId="42" applyNumberFormat="1" applyFont="1" applyFill="1" applyBorder="1" applyAlignment="1">
      <alignment/>
    </xf>
    <xf numFmtId="3" fontId="32" fillId="20" borderId="21" xfId="42" applyNumberFormat="1" applyFont="1" applyFill="1" applyBorder="1" applyAlignment="1">
      <alignment/>
    </xf>
    <xf numFmtId="3" fontId="32" fillId="20" borderId="31" xfId="42" applyNumberFormat="1" applyFont="1" applyFill="1" applyBorder="1" applyAlignment="1">
      <alignment/>
    </xf>
    <xf numFmtId="3" fontId="32" fillId="20" borderId="30" xfId="42" applyNumberFormat="1" applyFont="1" applyFill="1" applyBorder="1" applyAlignment="1">
      <alignment/>
    </xf>
    <xf numFmtId="3" fontId="32" fillId="14" borderId="14" xfId="42" applyNumberFormat="1" applyFont="1" applyFill="1" applyBorder="1" applyAlignment="1">
      <alignment/>
    </xf>
    <xf numFmtId="3" fontId="32" fillId="14" borderId="35" xfId="42" applyNumberFormat="1" applyFont="1" applyFill="1" applyBorder="1" applyAlignment="1">
      <alignment/>
    </xf>
    <xf numFmtId="3" fontId="32" fillId="14" borderId="16" xfId="42" applyNumberFormat="1" applyFont="1" applyFill="1" applyBorder="1" applyAlignment="1">
      <alignment/>
    </xf>
    <xf numFmtId="3" fontId="32" fillId="14" borderId="36" xfId="42" applyNumberFormat="1" applyFont="1" applyFill="1" applyBorder="1" applyAlignment="1">
      <alignment/>
    </xf>
    <xf numFmtId="3" fontId="32" fillId="9" borderId="21" xfId="42" applyNumberFormat="1" applyFont="1" applyFill="1" applyBorder="1" applyAlignment="1">
      <alignment/>
    </xf>
    <xf numFmtId="3" fontId="32" fillId="9" borderId="31" xfId="42" applyNumberFormat="1" applyFont="1" applyFill="1" applyBorder="1" applyAlignment="1">
      <alignment/>
    </xf>
    <xf numFmtId="3" fontId="32" fillId="21" borderId="21" xfId="42" applyNumberFormat="1" applyFont="1" applyFill="1" applyBorder="1" applyAlignment="1">
      <alignment/>
    </xf>
    <xf numFmtId="3" fontId="32" fillId="21" borderId="31" xfId="42" applyNumberFormat="1" applyFont="1" applyFill="1" applyBorder="1" applyAlignment="1">
      <alignment/>
    </xf>
    <xf numFmtId="3" fontId="32" fillId="0" borderId="14" xfId="42" applyNumberFormat="1" applyFont="1" applyBorder="1" applyAlignment="1">
      <alignment/>
    </xf>
    <xf numFmtId="3" fontId="32" fillId="0" borderId="0" xfId="42" applyNumberFormat="1" applyFont="1" applyAlignment="1">
      <alignment/>
    </xf>
    <xf numFmtId="3" fontId="32" fillId="14" borderId="37" xfId="42" applyNumberFormat="1" applyFont="1" applyFill="1" applyBorder="1" applyAlignment="1">
      <alignment/>
    </xf>
    <xf numFmtId="3" fontId="32" fillId="20" borderId="38" xfId="42" applyNumberFormat="1" applyFont="1" applyFill="1" applyBorder="1" applyAlignment="1">
      <alignment/>
    </xf>
    <xf numFmtId="3" fontId="32" fillId="14" borderId="39" xfId="42" applyNumberFormat="1" applyFont="1" applyFill="1" applyBorder="1" applyAlignment="1">
      <alignment/>
    </xf>
    <xf numFmtId="3" fontId="32" fillId="8" borderId="40" xfId="42" applyNumberFormat="1" applyFont="1" applyFill="1" applyBorder="1" applyAlignment="1">
      <alignment/>
    </xf>
    <xf numFmtId="3" fontId="0" fillId="0" borderId="41" xfId="0" applyBorder="1" applyAlignment="1">
      <alignment/>
    </xf>
    <xf numFmtId="3" fontId="32" fillId="0" borderId="42" xfId="42" applyNumberFormat="1" applyFont="1" applyBorder="1" applyAlignment="1">
      <alignment horizontal="center" wrapText="1"/>
    </xf>
    <xf numFmtId="3" fontId="32" fillId="0" borderId="18" xfId="42" applyNumberFormat="1" applyFont="1" applyBorder="1" applyAlignment="1">
      <alignment horizontal="center" wrapText="1"/>
    </xf>
    <xf numFmtId="3" fontId="32" fillId="0" borderId="43" xfId="42" applyNumberFormat="1" applyFont="1" applyBorder="1" applyAlignment="1">
      <alignment horizontal="center" wrapText="1"/>
    </xf>
    <xf numFmtId="3" fontId="32" fillId="0" borderId="44" xfId="42" applyNumberFormat="1" applyFont="1" applyBorder="1" applyAlignment="1">
      <alignment horizontal="center" wrapText="1"/>
    </xf>
    <xf numFmtId="3" fontId="32" fillId="19" borderId="45" xfId="42" applyNumberFormat="1" applyFont="1" applyFill="1" applyBorder="1" applyAlignment="1">
      <alignment horizontal="center" wrapText="1"/>
    </xf>
    <xf numFmtId="3" fontId="32" fillId="14" borderId="46" xfId="42" applyNumberFormat="1" applyFont="1" applyFill="1" applyBorder="1" applyAlignment="1">
      <alignment/>
    </xf>
    <xf numFmtId="3" fontId="0" fillId="19" borderId="0" xfId="0" applyFont="1" applyFill="1" applyAlignment="1" quotePrefix="1">
      <alignment/>
    </xf>
    <xf numFmtId="3" fontId="32" fillId="19" borderId="47" xfId="42" applyNumberFormat="1" applyFont="1" applyFill="1" applyBorder="1" applyAlignment="1">
      <alignment horizontal="center" wrapText="1"/>
    </xf>
    <xf numFmtId="3" fontId="0" fillId="19" borderId="48" xfId="0" applyFont="1" applyFill="1" applyBorder="1" applyAlignment="1">
      <alignment/>
    </xf>
    <xf numFmtId="3" fontId="0" fillId="19" borderId="49" xfId="0" applyFont="1" applyFill="1" applyBorder="1" applyAlignment="1">
      <alignment/>
    </xf>
    <xf numFmtId="3" fontId="0" fillId="19" borderId="50" xfId="0" applyFont="1" applyFill="1" applyBorder="1" applyAlignment="1">
      <alignment/>
    </xf>
    <xf numFmtId="3" fontId="0" fillId="19" borderId="51" xfId="0" applyFont="1" applyFill="1" applyBorder="1" applyAlignment="1">
      <alignment/>
    </xf>
    <xf numFmtId="3" fontId="0" fillId="19" borderId="52" xfId="0" applyFont="1" applyFill="1" applyBorder="1" applyAlignment="1">
      <alignment/>
    </xf>
    <xf numFmtId="3" fontId="0" fillId="19" borderId="53" xfId="0" applyFont="1" applyFill="1" applyBorder="1" applyAlignment="1">
      <alignment/>
    </xf>
    <xf numFmtId="3" fontId="0" fillId="19" borderId="54" xfId="0" applyFont="1" applyFill="1" applyBorder="1" applyAlignment="1">
      <alignment/>
    </xf>
    <xf numFmtId="3" fontId="0" fillId="19" borderId="55" xfId="0" applyFont="1" applyFill="1" applyBorder="1" applyAlignment="1">
      <alignment/>
    </xf>
    <xf numFmtId="3" fontId="0" fillId="19" borderId="56" xfId="0" applyFont="1" applyFill="1" applyBorder="1" applyAlignment="1">
      <alignment/>
    </xf>
    <xf numFmtId="3" fontId="0" fillId="19" borderId="57" xfId="0" applyFont="1" applyFill="1" applyBorder="1" applyAlignment="1">
      <alignment/>
    </xf>
    <xf numFmtId="3" fontId="32" fillId="14" borderId="58" xfId="42" applyNumberFormat="1" applyFont="1" applyFill="1" applyBorder="1" applyAlignment="1">
      <alignment/>
    </xf>
    <xf numFmtId="3" fontId="32" fillId="24" borderId="32" xfId="42" applyNumberFormat="1" applyFont="1" applyFill="1" applyBorder="1" applyAlignment="1">
      <alignment/>
    </xf>
    <xf numFmtId="3" fontId="0" fillId="19" borderId="59" xfId="0" applyFont="1" applyFill="1" applyBorder="1" applyAlignment="1">
      <alignment/>
    </xf>
    <xf numFmtId="3" fontId="32" fillId="20" borderId="58" xfId="42" applyNumberFormat="1" applyFont="1" applyFill="1" applyBorder="1" applyAlignment="1">
      <alignment/>
    </xf>
    <xf numFmtId="3" fontId="32" fillId="20" borderId="32" xfId="42" applyNumberFormat="1" applyFont="1" applyFill="1" applyBorder="1" applyAlignment="1">
      <alignment/>
    </xf>
    <xf numFmtId="3" fontId="32" fillId="20" borderId="33" xfId="42" applyNumberFormat="1" applyFont="1" applyFill="1" applyBorder="1" applyAlignment="1">
      <alignment/>
    </xf>
    <xf numFmtId="3" fontId="32" fillId="20" borderId="37" xfId="42" applyNumberFormat="1" applyFont="1" applyFill="1" applyBorder="1" applyAlignment="1">
      <alignment/>
    </xf>
    <xf numFmtId="3" fontId="32" fillId="14" borderId="60" xfId="42" applyNumberFormat="1" applyFont="1" applyFill="1" applyBorder="1" applyAlignment="1">
      <alignment/>
    </xf>
    <xf numFmtId="3" fontId="32" fillId="20" borderId="61" xfId="42" applyNumberFormat="1" applyFont="1" applyFill="1" applyBorder="1" applyAlignment="1">
      <alignment/>
    </xf>
    <xf numFmtId="3" fontId="32" fillId="20" borderId="62" xfId="42" applyNumberFormat="1" applyFont="1" applyFill="1" applyBorder="1" applyAlignment="1">
      <alignment/>
    </xf>
    <xf numFmtId="3" fontId="32" fillId="20" borderId="63" xfId="42" applyNumberFormat="1" applyFont="1" applyFill="1" applyBorder="1" applyAlignment="1">
      <alignment/>
    </xf>
    <xf numFmtId="3" fontId="32" fillId="20" borderId="64" xfId="42" applyNumberFormat="1" applyFont="1" applyFill="1" applyBorder="1" applyAlignment="1">
      <alignment/>
    </xf>
    <xf numFmtId="3" fontId="0" fillId="19" borderId="65" xfId="0" applyFont="1" applyFill="1" applyBorder="1" applyAlignment="1">
      <alignment/>
    </xf>
    <xf numFmtId="3" fontId="0" fillId="19" borderId="66" xfId="0" applyFont="1" applyFill="1" applyBorder="1" applyAlignment="1">
      <alignment/>
    </xf>
    <xf numFmtId="3" fontId="0" fillId="19" borderId="67" xfId="0" applyFont="1" applyFill="1" applyBorder="1" applyAlignment="1">
      <alignment/>
    </xf>
    <xf numFmtId="3" fontId="32" fillId="14" borderId="68" xfId="42" applyNumberFormat="1" applyFont="1" applyFill="1" applyBorder="1" applyAlignment="1">
      <alignment/>
    </xf>
    <xf numFmtId="3" fontId="32" fillId="24" borderId="69" xfId="42" applyNumberFormat="1" applyFont="1" applyFill="1" applyBorder="1" applyAlignment="1">
      <alignment/>
    </xf>
    <xf numFmtId="3" fontId="32" fillId="14" borderId="69" xfId="42" applyNumberFormat="1" applyFont="1" applyFill="1" applyBorder="1" applyAlignment="1">
      <alignment/>
    </xf>
    <xf numFmtId="3" fontId="32" fillId="14" borderId="70" xfId="42" applyNumberFormat="1" applyFont="1" applyFill="1" applyBorder="1" applyAlignment="1">
      <alignment/>
    </xf>
    <xf numFmtId="3" fontId="32" fillId="14" borderId="71" xfId="42" applyNumberFormat="1" applyFont="1" applyFill="1" applyBorder="1" applyAlignment="1">
      <alignment/>
    </xf>
    <xf numFmtId="3" fontId="0" fillId="19" borderId="72" xfId="0" applyFont="1" applyFill="1" applyBorder="1" applyAlignment="1">
      <alignment/>
    </xf>
    <xf numFmtId="3" fontId="0" fillId="19" borderId="73" xfId="0" applyFont="1" applyFill="1" applyBorder="1" applyAlignment="1">
      <alignment/>
    </xf>
    <xf numFmtId="3" fontId="0" fillId="19" borderId="74" xfId="0" applyFont="1" applyFill="1" applyBorder="1" applyAlignment="1">
      <alignment/>
    </xf>
    <xf numFmtId="3" fontId="0" fillId="0" borderId="0" xfId="0" applyAlignment="1" quotePrefix="1">
      <alignment/>
    </xf>
    <xf numFmtId="3" fontId="32" fillId="0" borderId="0" xfId="42" applyNumberFormat="1" applyFont="1" applyAlignment="1" quotePrefix="1">
      <alignment/>
    </xf>
    <xf numFmtId="3" fontId="0" fillId="19" borderId="75" xfId="0" applyFont="1" applyFill="1" applyBorder="1" applyAlignment="1">
      <alignment/>
    </xf>
    <xf numFmtId="3" fontId="0" fillId="19" borderId="76" xfId="0" applyFont="1" applyFill="1" applyBorder="1" applyAlignment="1">
      <alignment/>
    </xf>
    <xf numFmtId="3" fontId="0" fillId="19" borderId="77" xfId="0" applyFont="1" applyFill="1" applyBorder="1" applyAlignment="1">
      <alignment/>
    </xf>
    <xf numFmtId="3" fontId="32" fillId="9" borderId="78" xfId="42" applyNumberFormat="1" applyFont="1" applyFill="1" applyBorder="1" applyAlignment="1">
      <alignment/>
    </xf>
    <xf numFmtId="3" fontId="32" fillId="9" borderId="69" xfId="42" applyNumberFormat="1" applyFont="1" applyFill="1" applyBorder="1" applyAlignment="1">
      <alignment/>
    </xf>
    <xf numFmtId="3" fontId="32" fillId="9" borderId="70" xfId="42" applyNumberFormat="1" applyFont="1" applyFill="1" applyBorder="1" applyAlignment="1">
      <alignment/>
    </xf>
    <xf numFmtId="3" fontId="32" fillId="9" borderId="71" xfId="42" applyNumberFormat="1" applyFont="1" applyFill="1" applyBorder="1" applyAlignment="1">
      <alignment/>
    </xf>
    <xf numFmtId="3" fontId="32" fillId="21" borderId="78" xfId="42" applyNumberFormat="1" applyFont="1" applyFill="1" applyBorder="1" applyAlignment="1">
      <alignment/>
    </xf>
    <xf numFmtId="3" fontId="32" fillId="21" borderId="69" xfId="42" applyNumberFormat="1" applyFont="1" applyFill="1" applyBorder="1" applyAlignment="1">
      <alignment/>
    </xf>
    <xf numFmtId="3" fontId="32" fillId="21" borderId="70" xfId="42" applyNumberFormat="1" applyFont="1" applyFill="1" applyBorder="1" applyAlignment="1">
      <alignment/>
    </xf>
    <xf numFmtId="3" fontId="32" fillId="21" borderId="71" xfId="42" applyNumberFormat="1" applyFont="1" applyFill="1" applyBorder="1" applyAlignment="1">
      <alignment/>
    </xf>
    <xf numFmtId="3" fontId="32" fillId="19" borderId="79" xfId="42" applyNumberFormat="1" applyFont="1" applyFill="1" applyBorder="1" applyAlignment="1">
      <alignment horizontal="center" wrapText="1"/>
    </xf>
    <xf numFmtId="3" fontId="32" fillId="8" borderId="80" xfId="42" applyNumberFormat="1" applyFont="1" applyFill="1" applyBorder="1" applyAlignment="1">
      <alignment/>
    </xf>
    <xf numFmtId="3" fontId="32" fillId="8" borderId="81" xfId="42" applyNumberFormat="1" applyFont="1" applyFill="1" applyBorder="1" applyAlignment="1">
      <alignment/>
    </xf>
    <xf numFmtId="3" fontId="32" fillId="8" borderId="82" xfId="42" applyNumberFormat="1" applyFont="1" applyFill="1" applyBorder="1" applyAlignment="1">
      <alignment/>
    </xf>
    <xf numFmtId="3" fontId="32" fillId="0" borderId="15" xfId="42" applyNumberFormat="1" applyFont="1" applyBorder="1" applyAlignment="1">
      <alignment/>
    </xf>
    <xf numFmtId="6" fontId="0" fillId="16" borderId="14" xfId="44" applyNumberFormat="1" applyFill="1" applyBorder="1" applyAlignment="1">
      <alignment/>
    </xf>
    <xf numFmtId="165" fontId="0" fillId="16" borderId="14" xfId="42" applyNumberFormat="1" applyFill="1" applyBorder="1" applyAlignment="1">
      <alignment/>
    </xf>
    <xf numFmtId="165" fontId="0" fillId="19" borderId="14" xfId="0" applyNumberFormat="1" applyFill="1" applyBorder="1" applyAlignment="1">
      <alignment/>
    </xf>
    <xf numFmtId="4" fontId="0" fillId="19" borderId="14" xfId="0" applyNumberFormat="1" applyFill="1" applyBorder="1" applyAlignment="1">
      <alignment/>
    </xf>
    <xf numFmtId="6" fontId="0" fillId="19" borderId="14" xfId="44" applyNumberFormat="1" applyFill="1" applyBorder="1" applyAlignment="1">
      <alignment/>
    </xf>
    <xf numFmtId="6" fontId="0" fillId="21" borderId="14" xfId="0" applyNumberFormat="1" applyFill="1" applyBorder="1" applyAlignment="1">
      <alignment/>
    </xf>
    <xf numFmtId="6" fontId="0" fillId="8" borderId="14" xfId="0" applyNumberFormat="1" applyFill="1" applyBorder="1" applyAlignment="1">
      <alignment/>
    </xf>
    <xf numFmtId="6" fontId="0" fillId="22" borderId="14" xfId="0" applyNumberFormat="1" applyFill="1" applyBorder="1" applyAlignment="1">
      <alignment/>
    </xf>
    <xf numFmtId="6" fontId="0" fillId="0" borderId="14" xfId="0" applyNumberFormat="1" applyBorder="1" applyAlignment="1">
      <alignment/>
    </xf>
    <xf numFmtId="6" fontId="0" fillId="20" borderId="14" xfId="0" applyNumberFormat="1" applyFill="1" applyBorder="1" applyAlignment="1">
      <alignment/>
    </xf>
    <xf numFmtId="6" fontId="0" fillId="14" borderId="14" xfId="0" applyNumberFormat="1" applyFill="1" applyBorder="1" applyAlignment="1">
      <alignment/>
    </xf>
    <xf numFmtId="6" fontId="0" fillId="9" borderId="14" xfId="0" applyNumberFormat="1" applyFill="1" applyBorder="1" applyAlignment="1">
      <alignment/>
    </xf>
    <xf numFmtId="6" fontId="0" fillId="19" borderId="14" xfId="0" applyNumberFormat="1" applyFill="1" applyBorder="1" applyAlignment="1">
      <alignment/>
    </xf>
    <xf numFmtId="5" fontId="0" fillId="22" borderId="14" xfId="44" applyNumberFormat="1" applyFill="1" applyBorder="1" applyAlignment="1">
      <alignment/>
    </xf>
    <xf numFmtId="5" fontId="0" fillId="14" borderId="14" xfId="44" applyNumberFormat="1" applyFill="1" applyBorder="1" applyAlignment="1">
      <alignment/>
    </xf>
    <xf numFmtId="5" fontId="0" fillId="9" borderId="14" xfId="44" applyNumberFormat="1" applyFill="1" applyBorder="1" applyAlignment="1">
      <alignment/>
    </xf>
    <xf numFmtId="3" fontId="0" fillId="0" borderId="83" xfId="0" applyBorder="1" applyAlignment="1">
      <alignment wrapText="1"/>
    </xf>
    <xf numFmtId="3" fontId="0" fillId="0" borderId="25" xfId="0" applyBorder="1" applyAlignment="1">
      <alignment/>
    </xf>
    <xf numFmtId="3" fontId="0" fillId="21" borderId="25" xfId="0" applyFill="1" applyBorder="1" applyAlignment="1">
      <alignment/>
    </xf>
    <xf numFmtId="3" fontId="0" fillId="0" borderId="24" xfId="0" applyBorder="1" applyAlignment="1">
      <alignment wrapText="1"/>
    </xf>
    <xf numFmtId="3" fontId="0" fillId="0" borderId="15" xfId="0" applyBorder="1" applyAlignment="1">
      <alignment/>
    </xf>
    <xf numFmtId="3" fontId="0" fillId="8" borderId="15" xfId="0" applyFill="1" applyBorder="1" applyAlignment="1">
      <alignment/>
    </xf>
    <xf numFmtId="3" fontId="0" fillId="22" borderId="15" xfId="0" applyFill="1" applyBorder="1" applyAlignment="1">
      <alignment/>
    </xf>
    <xf numFmtId="3" fontId="0" fillId="20" borderId="15" xfId="0" applyFill="1" applyBorder="1" applyAlignment="1">
      <alignment/>
    </xf>
    <xf numFmtId="3" fontId="0" fillId="14" borderId="15" xfId="0" applyFill="1" applyBorder="1" applyAlignment="1">
      <alignment/>
    </xf>
    <xf numFmtId="3" fontId="0" fillId="9" borderId="15" xfId="0" applyFill="1" applyBorder="1" applyAlignment="1">
      <alignment/>
    </xf>
    <xf numFmtId="3" fontId="0" fillId="19" borderId="15" xfId="0" applyFill="1" applyBorder="1" applyAlignment="1">
      <alignment/>
    </xf>
    <xf numFmtId="3" fontId="0" fillId="21" borderId="15" xfId="0" applyFill="1" applyBorder="1" applyAlignment="1">
      <alignment/>
    </xf>
    <xf numFmtId="6" fontId="0" fillId="0" borderId="25" xfId="44" applyNumberFormat="1" applyBorder="1" applyAlignment="1">
      <alignment/>
    </xf>
    <xf numFmtId="6" fontId="0" fillId="8" borderId="25" xfId="44" applyNumberFormat="1" applyFill="1" applyBorder="1" applyAlignment="1">
      <alignment/>
    </xf>
    <xf numFmtId="6" fontId="0" fillId="22" borderId="25" xfId="44" applyNumberFormat="1" applyFill="1" applyBorder="1" applyAlignment="1">
      <alignment/>
    </xf>
    <xf numFmtId="6" fontId="0" fillId="20" borderId="25" xfId="44" applyNumberFormat="1" applyFill="1" applyBorder="1" applyAlignment="1">
      <alignment/>
    </xf>
    <xf numFmtId="6" fontId="0" fillId="14" borderId="25" xfId="44" applyNumberFormat="1" applyFill="1" applyBorder="1" applyAlignment="1">
      <alignment/>
    </xf>
    <xf numFmtId="6" fontId="0" fillId="9" borderId="25" xfId="44" applyNumberFormat="1" applyFill="1" applyBorder="1" applyAlignment="1">
      <alignment/>
    </xf>
    <xf numFmtId="6" fontId="0" fillId="19" borderId="25" xfId="44" applyNumberFormat="1" applyFill="1" applyBorder="1" applyAlignment="1">
      <alignment/>
    </xf>
    <xf numFmtId="6" fontId="0" fillId="0" borderId="15" xfId="44" applyNumberFormat="1" applyBorder="1" applyAlignment="1">
      <alignment/>
    </xf>
    <xf numFmtId="6" fontId="0" fillId="8" borderId="15" xfId="44" applyNumberFormat="1" applyFill="1" applyBorder="1" applyAlignment="1">
      <alignment/>
    </xf>
    <xf numFmtId="5" fontId="0" fillId="22" borderId="15" xfId="44" applyNumberFormat="1" applyFill="1" applyBorder="1" applyAlignment="1">
      <alignment/>
    </xf>
    <xf numFmtId="6" fontId="0" fillId="20" borderId="15" xfId="44" applyNumberFormat="1" applyFill="1" applyBorder="1" applyAlignment="1">
      <alignment/>
    </xf>
    <xf numFmtId="5" fontId="32" fillId="14" borderId="15" xfId="44" applyNumberFormat="1" applyFont="1" applyFill="1" applyBorder="1" applyAlignment="1">
      <alignment/>
    </xf>
    <xf numFmtId="5" fontId="32" fillId="9" borderId="15" xfId="44" applyNumberFormat="1" applyFont="1" applyFill="1" applyBorder="1" applyAlignment="1">
      <alignment/>
    </xf>
    <xf numFmtId="4" fontId="0" fillId="19" borderId="15" xfId="0" applyNumberFormat="1" applyFill="1" applyBorder="1" applyAlignment="1">
      <alignment/>
    </xf>
    <xf numFmtId="6" fontId="0" fillId="16" borderId="25" xfId="44" applyNumberFormat="1" applyFill="1" applyBorder="1" applyAlignment="1">
      <alignment/>
    </xf>
    <xf numFmtId="4" fontId="0" fillId="21" borderId="25" xfId="0" applyNumberFormat="1" applyFill="1" applyBorder="1" applyAlignment="1">
      <alignment/>
    </xf>
    <xf numFmtId="6" fontId="0" fillId="22" borderId="15" xfId="44" applyNumberFormat="1" applyFill="1" applyBorder="1" applyAlignment="1">
      <alignment/>
    </xf>
    <xf numFmtId="6" fontId="0" fillId="14" borderId="15" xfId="44" applyNumberFormat="1" applyFill="1" applyBorder="1" applyAlignment="1">
      <alignment/>
    </xf>
    <xf numFmtId="5" fontId="0" fillId="9" borderId="15" xfId="44" applyNumberFormat="1" applyFill="1" applyBorder="1" applyAlignment="1">
      <alignment/>
    </xf>
    <xf numFmtId="6" fontId="0" fillId="19" borderId="15" xfId="44" applyNumberFormat="1" applyFill="1" applyBorder="1" applyAlignment="1">
      <alignment/>
    </xf>
    <xf numFmtId="6" fontId="0" fillId="24" borderId="25" xfId="44" applyNumberFormat="1" applyFill="1" applyBorder="1" applyAlignment="1">
      <alignment/>
    </xf>
    <xf numFmtId="6" fontId="0" fillId="21" borderId="25" xfId="0" applyNumberFormat="1" applyFill="1" applyBorder="1" applyAlignment="1">
      <alignment/>
    </xf>
    <xf numFmtId="3" fontId="31" fillId="0" borderId="15" xfId="0" applyFont="1" applyBorder="1" applyAlignment="1">
      <alignment/>
    </xf>
    <xf numFmtId="3" fontId="0" fillId="24" borderId="15" xfId="0" applyFill="1" applyBorder="1" applyAlignment="1">
      <alignment/>
    </xf>
    <xf numFmtId="3" fontId="33" fillId="0" borderId="15" xfId="0" applyFont="1" applyBorder="1" applyAlignment="1">
      <alignment/>
    </xf>
    <xf numFmtId="6" fontId="0" fillId="8" borderId="25" xfId="0" applyNumberFormat="1" applyFill="1" applyBorder="1" applyAlignment="1">
      <alignment/>
    </xf>
    <xf numFmtId="6" fontId="0" fillId="22" borderId="25" xfId="0" applyNumberFormat="1" applyFill="1" applyBorder="1" applyAlignment="1">
      <alignment/>
    </xf>
    <xf numFmtId="6" fontId="0" fillId="0" borderId="25" xfId="0" applyNumberFormat="1" applyBorder="1" applyAlignment="1">
      <alignment/>
    </xf>
    <xf numFmtId="6" fontId="0" fillId="20" borderId="25" xfId="0" applyNumberFormat="1" applyFill="1" applyBorder="1" applyAlignment="1">
      <alignment/>
    </xf>
    <xf numFmtId="6" fontId="0" fillId="14" borderId="25" xfId="0" applyNumberFormat="1" applyFill="1" applyBorder="1" applyAlignment="1">
      <alignment/>
    </xf>
    <xf numFmtId="6" fontId="0" fillId="9" borderId="25" xfId="0" applyNumberFormat="1" applyFill="1" applyBorder="1" applyAlignment="1">
      <alignment/>
    </xf>
    <xf numFmtId="6" fontId="0" fillId="19" borderId="25" xfId="0" applyNumberFormat="1" applyFill="1" applyBorder="1" applyAlignment="1">
      <alignment/>
    </xf>
    <xf numFmtId="3" fontId="0" fillId="0" borderId="53" xfId="0" applyBorder="1" applyAlignment="1">
      <alignment wrapText="1"/>
    </xf>
    <xf numFmtId="3" fontId="0" fillId="0" borderId="84" xfId="0" applyBorder="1" applyAlignment="1">
      <alignment/>
    </xf>
    <xf numFmtId="3" fontId="0" fillId="8" borderId="84" xfId="0" applyFill="1" applyBorder="1" applyAlignment="1">
      <alignment/>
    </xf>
    <xf numFmtId="3" fontId="0" fillId="22" borderId="84" xfId="0" applyFill="1" applyBorder="1" applyAlignment="1">
      <alignment/>
    </xf>
    <xf numFmtId="3" fontId="0" fillId="20" borderId="84" xfId="0" applyFill="1" applyBorder="1" applyAlignment="1">
      <alignment/>
    </xf>
    <xf numFmtId="3" fontId="0" fillId="14" borderId="84" xfId="0" applyFill="1" applyBorder="1" applyAlignment="1">
      <alignment/>
    </xf>
    <xf numFmtId="3" fontId="0" fillId="9" borderId="84" xfId="0" applyFill="1" applyBorder="1" applyAlignment="1">
      <alignment/>
    </xf>
    <xf numFmtId="3" fontId="0" fillId="19" borderId="84" xfId="0" applyFill="1" applyBorder="1" applyAlignment="1">
      <alignment/>
    </xf>
    <xf numFmtId="3" fontId="0" fillId="21" borderId="84" xfId="0" applyFill="1" applyBorder="1" applyAlignment="1">
      <alignment/>
    </xf>
    <xf numFmtId="3" fontId="34" fillId="0" borderId="13" xfId="42" applyNumberFormat="1" applyFont="1" applyBorder="1" applyAlignment="1">
      <alignment/>
    </xf>
    <xf numFmtId="3" fontId="16" fillId="0" borderId="0" xfId="53" applyAlignment="1">
      <alignment/>
    </xf>
    <xf numFmtId="165" fontId="0" fillId="0" borderId="0" xfId="42" applyNumberFormat="1" applyAlignment="1">
      <alignment/>
    </xf>
    <xf numFmtId="3" fontId="0" fillId="0" borderId="0" xfId="0" applyFill="1" applyAlignment="1">
      <alignment/>
    </xf>
    <xf numFmtId="165" fontId="0" fillId="0" borderId="0" xfId="0" applyNumberFormat="1" applyFill="1" applyAlignment="1">
      <alignment/>
    </xf>
    <xf numFmtId="3" fontId="31" fillId="0" borderId="0" xfId="0" applyFont="1" applyFill="1" applyAlignment="1">
      <alignment/>
    </xf>
    <xf numFmtId="167" fontId="0" fillId="0" borderId="0" xfId="0" applyNumberFormat="1" applyAlignment="1">
      <alignment/>
    </xf>
    <xf numFmtId="8" fontId="0" fillId="0" borderId="14" xfId="44" applyBorder="1" applyAlignment="1">
      <alignment/>
    </xf>
    <xf numFmtId="181" fontId="0" fillId="0" borderId="14" xfId="44" applyNumberFormat="1" applyBorder="1" applyAlignment="1">
      <alignment/>
    </xf>
    <xf numFmtId="167" fontId="0" fillId="0" borderId="14" xfId="0" applyNumberFormat="1" applyBorder="1" applyAlignment="1">
      <alignment/>
    </xf>
    <xf numFmtId="3" fontId="0" fillId="0" borderId="14" xfId="42" applyNumberFormat="1" applyBorder="1" applyAlignment="1">
      <alignment/>
    </xf>
    <xf numFmtId="8" fontId="0" fillId="0" borderId="14" xfId="44" applyNumberFormat="1" applyBorder="1" applyAlignment="1">
      <alignment/>
    </xf>
    <xf numFmtId="181" fontId="0" fillId="0" borderId="0" xfId="44" applyNumberFormat="1" applyBorder="1" applyAlignment="1">
      <alignment/>
    </xf>
    <xf numFmtId="3" fontId="0" fillId="0" borderId="0" xfId="0" applyFill="1" applyBorder="1" applyAlignment="1">
      <alignment/>
    </xf>
    <xf numFmtId="3" fontId="28" fillId="0" borderId="14" xfId="0" applyFont="1" applyBorder="1" applyAlignment="1">
      <alignment/>
    </xf>
    <xf numFmtId="3" fontId="28" fillId="20" borderId="14" xfId="0" applyFont="1" applyFill="1" applyBorder="1" applyAlignment="1">
      <alignment/>
    </xf>
    <xf numFmtId="3" fontId="28" fillId="14" borderId="14" xfId="0" applyFont="1" applyFill="1" applyBorder="1" applyAlignment="1">
      <alignment/>
    </xf>
    <xf numFmtId="165" fontId="28" fillId="14" borderId="14" xfId="0" applyNumberFormat="1" applyFont="1" applyFill="1" applyBorder="1" applyAlignment="1">
      <alignment/>
    </xf>
    <xf numFmtId="3" fontId="28" fillId="14" borderId="15" xfId="0" applyFont="1" applyFill="1" applyBorder="1" applyAlignment="1">
      <alignment/>
    </xf>
    <xf numFmtId="165" fontId="28" fillId="20" borderId="25" xfId="0" applyNumberFormat="1" applyFont="1" applyFill="1" applyBorder="1" applyAlignment="1">
      <alignment/>
    </xf>
    <xf numFmtId="165" fontId="28" fillId="0" borderId="85" xfId="0" applyNumberFormat="1" applyFont="1" applyBorder="1" applyAlignment="1">
      <alignment/>
    </xf>
    <xf numFmtId="3" fontId="28" fillId="20" borderId="21" xfId="0" applyFont="1" applyFill="1" applyBorder="1" applyAlignment="1">
      <alignment/>
    </xf>
    <xf numFmtId="3" fontId="28" fillId="14" borderId="22" xfId="0" applyFont="1" applyFill="1" applyBorder="1" applyAlignment="1">
      <alignment/>
    </xf>
    <xf numFmtId="165" fontId="28" fillId="0" borderId="56" xfId="0" applyNumberFormat="1" applyFont="1" applyBorder="1" applyAlignment="1">
      <alignment/>
    </xf>
    <xf numFmtId="165" fontId="28" fillId="20" borderId="30" xfId="0" applyNumberFormat="1" applyFont="1" applyFill="1" applyBorder="1" applyAlignment="1">
      <alignment/>
    </xf>
    <xf numFmtId="165" fontId="28" fillId="14" borderId="21" xfId="0" applyNumberFormat="1" applyFont="1" applyFill="1" applyBorder="1" applyAlignment="1">
      <alignment/>
    </xf>
    <xf numFmtId="3" fontId="28" fillId="0" borderId="57" xfId="0" applyFont="1" applyBorder="1" applyAlignment="1">
      <alignment/>
    </xf>
    <xf numFmtId="3" fontId="28" fillId="0" borderId="21" xfId="0" applyFont="1" applyBorder="1" applyAlignment="1">
      <alignment/>
    </xf>
    <xf numFmtId="3" fontId="28" fillId="0" borderId="16" xfId="0" applyFont="1" applyBorder="1" applyAlignment="1">
      <alignment/>
    </xf>
    <xf numFmtId="3" fontId="28" fillId="20" borderId="32" xfId="0" applyFont="1" applyFill="1" applyBorder="1" applyAlignment="1">
      <alignment/>
    </xf>
    <xf numFmtId="3" fontId="28" fillId="14" borderId="86" xfId="0" applyFont="1" applyFill="1" applyBorder="1" applyAlignment="1">
      <alignment/>
    </xf>
    <xf numFmtId="3" fontId="28" fillId="0" borderId="24" xfId="0" applyFont="1" applyBorder="1" applyAlignment="1">
      <alignment/>
    </xf>
    <xf numFmtId="3" fontId="28" fillId="0" borderId="59" xfId="0" applyFont="1" applyBorder="1" applyAlignment="1">
      <alignment/>
    </xf>
    <xf numFmtId="3" fontId="28" fillId="20" borderId="34" xfId="0" applyFont="1" applyFill="1" applyBorder="1" applyAlignment="1">
      <alignment/>
    </xf>
    <xf numFmtId="3" fontId="28" fillId="14" borderId="32" xfId="0" applyFont="1" applyFill="1" applyBorder="1" applyAlignment="1">
      <alignment/>
    </xf>
    <xf numFmtId="3" fontId="28" fillId="0" borderId="83" xfId="0" applyFont="1" applyBorder="1" applyAlignment="1">
      <alignment/>
    </xf>
    <xf numFmtId="3" fontId="35" fillId="0" borderId="0" xfId="0" applyFont="1" applyAlignment="1">
      <alignment/>
    </xf>
    <xf numFmtId="3" fontId="31" fillId="0" borderId="66" xfId="0" applyFont="1" applyBorder="1" applyAlignment="1">
      <alignment horizontal="left" vertical="top" wrapText="1"/>
    </xf>
    <xf numFmtId="3" fontId="31" fillId="0" borderId="52" xfId="0" applyFont="1" applyBorder="1" applyAlignment="1">
      <alignment horizontal="left" vertical="top" wrapText="1"/>
    </xf>
    <xf numFmtId="3" fontId="0" fillId="0" borderId="87" xfId="0" applyBorder="1" applyAlignment="1">
      <alignment horizontal="center"/>
    </xf>
    <xf numFmtId="3" fontId="0" fillId="0" borderId="88" xfId="0" applyBorder="1" applyAlignment="1">
      <alignment horizontal="center"/>
    </xf>
    <xf numFmtId="3" fontId="0" fillId="0" borderId="52" xfId="0" applyBorder="1" applyAlignment="1">
      <alignment horizontal="center"/>
    </xf>
    <xf numFmtId="3" fontId="0" fillId="0" borderId="87" xfId="0" applyBorder="1" applyAlignment="1">
      <alignment horizontal="center" wrapText="1"/>
    </xf>
    <xf numFmtId="3" fontId="0" fillId="0" borderId="88" xfId="0" applyBorder="1" applyAlignment="1">
      <alignment horizontal="center" wrapText="1"/>
    </xf>
    <xf numFmtId="3" fontId="0" fillId="0" borderId="89" xfId="0" applyFont="1" applyBorder="1" applyAlignment="1">
      <alignment horizontal="center" wrapText="1"/>
    </xf>
    <xf numFmtId="3" fontId="0" fillId="0" borderId="90" xfId="0" applyFont="1" applyBorder="1" applyAlignment="1">
      <alignment horizontal="center" wrapText="1"/>
    </xf>
    <xf numFmtId="3" fontId="0" fillId="8" borderId="0" xfId="0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mes NR 12 p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illbrownsberger@gmail.com" TargetMode="External" /><Relationship Id="rId2" Type="http://schemas.openxmlformats.org/officeDocument/2006/relationships/hyperlink" Target="mailto:paul@byggmeister.com" TargetMode="External" /><Relationship Id="rId3" Type="http://schemas.openxmlformats.org/officeDocument/2006/relationships/hyperlink" Target="http://www.buildingscience.com/documents/case-studies/cold-climate-national-grid-deep-energy-retrofit-belmont/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eli.org/pressdetail.cfm?ID=205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7"/>
  <sheetViews>
    <sheetView tabSelected="1" workbookViewId="0" topLeftCell="A12">
      <selection activeCell="K19" sqref="K19"/>
      <selection activeCell="M42" sqref="M42"/>
    </sheetView>
  </sheetViews>
  <sheetFormatPr defaultColWidth="8.796875" defaultRowHeight="15"/>
  <sheetData>
    <row r="1" ht="15.75">
      <c r="A1" s="48" t="s">
        <v>323</v>
      </c>
    </row>
    <row r="2" ht="15.75">
      <c r="A2" s="323" t="s">
        <v>322</v>
      </c>
    </row>
    <row r="3" ht="15.75">
      <c r="A3" t="s">
        <v>2</v>
      </c>
    </row>
    <row r="4" ht="15.75">
      <c r="A4" s="288" t="s">
        <v>261</v>
      </c>
    </row>
    <row r="5" ht="15.75">
      <c r="A5" t="s">
        <v>262</v>
      </c>
    </row>
    <row r="7" ht="15.75">
      <c r="A7" s="48" t="s">
        <v>263</v>
      </c>
    </row>
    <row r="8" ht="15.75">
      <c r="A8" s="74" t="s">
        <v>20</v>
      </c>
    </row>
    <row r="9" ht="15.75">
      <c r="A9" s="74" t="s">
        <v>21</v>
      </c>
    </row>
    <row r="11" ht="15.75">
      <c r="A11" s="48" t="s">
        <v>10</v>
      </c>
    </row>
    <row r="12" ht="15.75">
      <c r="A12" t="s">
        <v>264</v>
      </c>
    </row>
    <row r="13" ht="15.75">
      <c r="A13" t="s">
        <v>0</v>
      </c>
    </row>
    <row r="14" ht="15.75">
      <c r="A14" t="s">
        <v>267</v>
      </c>
    </row>
    <row r="15" ht="15.75">
      <c r="A15" t="s">
        <v>265</v>
      </c>
    </row>
    <row r="16" ht="15.75">
      <c r="A16" t="s">
        <v>266</v>
      </c>
    </row>
    <row r="17" ht="15.75">
      <c r="A17" t="s">
        <v>268</v>
      </c>
    </row>
    <row r="19" ht="15.75">
      <c r="A19" s="48" t="s">
        <v>22</v>
      </c>
    </row>
    <row r="20" ht="15.75">
      <c r="A20" s="74" t="s">
        <v>15</v>
      </c>
    </row>
    <row r="21" ht="15.75">
      <c r="A21" t="s">
        <v>14</v>
      </c>
    </row>
    <row r="22" ht="15.75">
      <c r="A22" t="s">
        <v>16</v>
      </c>
    </row>
    <row r="23" ht="15.75">
      <c r="A23" t="s">
        <v>47</v>
      </c>
    </row>
    <row r="25" ht="15.75">
      <c r="A25" s="48" t="s">
        <v>11</v>
      </c>
    </row>
    <row r="26" ht="15.75">
      <c r="A26" s="74" t="s">
        <v>9</v>
      </c>
    </row>
    <row r="27" ht="15.75">
      <c r="A27" t="s">
        <v>12</v>
      </c>
    </row>
    <row r="28" ht="15.75">
      <c r="A28" t="s">
        <v>13</v>
      </c>
    </row>
    <row r="29" ht="15.75">
      <c r="A29" t="s">
        <v>1</v>
      </c>
    </row>
    <row r="31" ht="15.75">
      <c r="A31" s="48" t="s">
        <v>19</v>
      </c>
    </row>
    <row r="32" ht="15.75">
      <c r="A32" s="288" t="s">
        <v>8</v>
      </c>
    </row>
    <row r="33" ht="15.75">
      <c r="A33" t="s">
        <v>3</v>
      </c>
    </row>
    <row r="35" ht="15.75">
      <c r="A35" s="48" t="s">
        <v>24</v>
      </c>
    </row>
    <row r="36" ht="15.75">
      <c r="A36" t="s">
        <v>23</v>
      </c>
    </row>
    <row r="38" ht="15.75">
      <c r="A38" s="48" t="s">
        <v>25</v>
      </c>
    </row>
    <row r="39" ht="15.75">
      <c r="A39" s="74" t="s">
        <v>18</v>
      </c>
    </row>
    <row r="40" ht="15.75">
      <c r="A40" s="48" t="s">
        <v>26</v>
      </c>
    </row>
    <row r="41" ht="15.75">
      <c r="A41" s="288" t="s">
        <v>17</v>
      </c>
    </row>
    <row r="42" ht="15.75">
      <c r="A42" s="48" t="s">
        <v>27</v>
      </c>
    </row>
    <row r="43" ht="15.75">
      <c r="A43" t="s">
        <v>28</v>
      </c>
    </row>
    <row r="46" ht="15.75">
      <c r="A46" t="s">
        <v>324</v>
      </c>
    </row>
    <row r="47" ht="15.75">
      <c r="A47" t="s">
        <v>325</v>
      </c>
    </row>
  </sheetData>
  <sheetProtection sheet="1" objects="1" scenarios="1"/>
  <hyperlinks>
    <hyperlink ref="A4" r:id="rId1" display="willbrownsberger@gmail.com"/>
    <hyperlink ref="A32" r:id="rId2" display="paul@byggmeister.com"/>
    <hyperlink ref="A41" r:id="rId3" display="http://www.buildingscience.com/documents/case-studies/cold-climate-national-grid-deep-energy-retrofit-belmont/"/>
  </hyperlinks>
  <printOptions/>
  <pageMargins left="0.75" right="0.75" top="1" bottom="1" header="0.5" footer="0.5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workbookViewId="0" topLeftCell="A1">
      <pane xSplit="6" ySplit="14" topLeftCell="G15" activePane="bottomRight" state="split"/>
      <selection pane="topLeft" activeCell="A1" sqref="A1"/>
      <selection pane="topRight" activeCell="G1" sqref="G1"/>
      <selection pane="bottomLeft" activeCell="A15" sqref="A15"/>
      <selection pane="bottomRight" activeCell="A1" sqref="A1:A2"/>
      <selection pane="topLeft" activeCell="D4" sqref="D4"/>
    </sheetView>
  </sheetViews>
  <sheetFormatPr defaultColWidth="8.796875" defaultRowHeight="15"/>
  <cols>
    <col min="1" max="1" width="54.19921875" style="0" customWidth="1"/>
    <col min="2" max="2" width="8.8984375" style="0" customWidth="1"/>
    <col min="3" max="3" width="7.19921875" style="0" customWidth="1"/>
    <col min="4" max="4" width="6.5" style="25" customWidth="1"/>
    <col min="5" max="5" width="7.69921875" style="0" customWidth="1"/>
    <col min="6" max="6" width="8.69921875" style="0" customWidth="1"/>
    <col min="7" max="7" width="7" style="0" customWidth="1"/>
    <col min="8" max="8" width="7.09765625" style="0" customWidth="1"/>
    <col min="9" max="9" width="10.5" style="0" bestFit="1" customWidth="1"/>
    <col min="10" max="10" width="6.5" style="0" customWidth="1"/>
    <col min="11" max="11" width="10.19921875" style="0" customWidth="1"/>
    <col min="12" max="12" width="8.09765625" style="0" bestFit="1" customWidth="1"/>
    <col min="13" max="13" width="8.3984375" style="0" customWidth="1"/>
    <col min="14" max="14" width="7.8984375" style="0" customWidth="1"/>
    <col min="15" max="15" width="10.5" style="0" bestFit="1" customWidth="1"/>
    <col min="16" max="17" width="8" style="0" customWidth="1"/>
    <col min="18" max="18" width="10.5" style="0" bestFit="1" customWidth="1"/>
  </cols>
  <sheetData>
    <row r="1" spans="1:18" ht="33" customHeight="1">
      <c r="A1" s="324" t="s">
        <v>48</v>
      </c>
      <c r="B1" s="326" t="s">
        <v>257</v>
      </c>
      <c r="C1" s="327"/>
      <c r="D1" s="327"/>
      <c r="E1" s="327"/>
      <c r="F1" s="328"/>
      <c r="G1" s="327" t="s">
        <v>259</v>
      </c>
      <c r="H1" s="327"/>
      <c r="I1" s="327"/>
      <c r="J1" s="327"/>
      <c r="K1" s="328"/>
      <c r="L1" s="326" t="s">
        <v>258</v>
      </c>
      <c r="M1" s="327"/>
      <c r="N1" s="327"/>
      <c r="O1" s="328"/>
      <c r="P1" s="329" t="s">
        <v>260</v>
      </c>
      <c r="Q1" s="330"/>
      <c r="R1" s="330"/>
    </row>
    <row r="2" spans="1:18" ht="129" customHeight="1" thickBot="1">
      <c r="A2" s="325"/>
      <c r="B2" s="234" t="s">
        <v>61</v>
      </c>
      <c r="C2" s="46" t="s">
        <v>124</v>
      </c>
      <c r="D2" s="47" t="s">
        <v>244</v>
      </c>
      <c r="E2" s="46" t="s">
        <v>245</v>
      </c>
      <c r="F2" s="278" t="s">
        <v>246</v>
      </c>
      <c r="G2" s="234" t="s">
        <v>247</v>
      </c>
      <c r="H2" s="46" t="s">
        <v>248</v>
      </c>
      <c r="I2" s="46" t="s">
        <v>249</v>
      </c>
      <c r="J2" s="46" t="s">
        <v>137</v>
      </c>
      <c r="K2" s="237" t="s">
        <v>250</v>
      </c>
      <c r="L2" s="234" t="s">
        <v>252</v>
      </c>
      <c r="M2" s="46" t="s">
        <v>251</v>
      </c>
      <c r="N2" s="46" t="s">
        <v>253</v>
      </c>
      <c r="O2" s="237" t="s">
        <v>243</v>
      </c>
      <c r="P2" s="234" t="s">
        <v>254</v>
      </c>
      <c r="Q2" s="46" t="s">
        <v>255</v>
      </c>
      <c r="R2" s="46" t="s">
        <v>235</v>
      </c>
    </row>
    <row r="3" spans="1:18" ht="15.75">
      <c r="A3" s="268" t="s">
        <v>68</v>
      </c>
      <c r="B3" s="235"/>
      <c r="C3" s="30"/>
      <c r="D3" s="31"/>
      <c r="E3" s="30"/>
      <c r="F3" s="279"/>
      <c r="G3" s="235"/>
      <c r="H3" s="30"/>
      <c r="I3" s="30"/>
      <c r="J3" s="30"/>
      <c r="K3" s="253"/>
      <c r="L3" s="246"/>
      <c r="M3" s="77"/>
      <c r="N3" s="77"/>
      <c r="O3" s="253"/>
      <c r="P3" s="246"/>
      <c r="Q3" s="77"/>
      <c r="R3" s="77"/>
    </row>
    <row r="4" spans="1:18" ht="15.75">
      <c r="A4" s="239" t="s">
        <v>136</v>
      </c>
      <c r="B4" s="247">
        <f>+'Cost Inputs'!G15</f>
        <v>11000</v>
      </c>
      <c r="C4" s="42">
        <v>30</v>
      </c>
      <c r="D4" s="43">
        <f>+'HERS Analyhsis in Full'!J20-'HERS Analyhsis in Full'!J24</f>
        <v>28.5</v>
      </c>
      <c r="E4" s="42" t="s">
        <v>65</v>
      </c>
      <c r="F4" s="280">
        <f>+D4*10</f>
        <v>285</v>
      </c>
      <c r="G4" s="271">
        <f>+F4*Assumptions!$C$14</f>
        <v>489.40200000000004</v>
      </c>
      <c r="H4" s="42">
        <f>+B4/G4</f>
        <v>22.476409986064624</v>
      </c>
      <c r="I4" s="224">
        <f>-PV((1+Assumptions!$B$7)/(1+Assumptions!$C$16)-1,C4,G4,0)</f>
        <v>12244.741076336328</v>
      </c>
      <c r="J4" s="43">
        <f>+I4/B4</f>
        <v>1.1131582796669388</v>
      </c>
      <c r="K4" s="254">
        <f>+I4-B4</f>
        <v>1244.7410763363278</v>
      </c>
      <c r="L4" s="247"/>
      <c r="M4" s="75">
        <f>0.3*B4</f>
        <v>3300</v>
      </c>
      <c r="N4" s="75"/>
      <c r="O4" s="254">
        <f>K4+SUM(L4:N4)</f>
        <v>4544.741076336328</v>
      </c>
      <c r="P4" s="247">
        <f>+F4*(Assumptions!$C$19+Assumptions!$C$22+Assumptions!$C$23)</f>
        <v>147.18825</v>
      </c>
      <c r="Q4" s="75">
        <f>-PV(Assumptions!$B$7,C4,P4,0)</f>
        <v>2469.6741733001672</v>
      </c>
      <c r="R4" s="75">
        <f>+Q4+K4</f>
        <v>3714.415249636495</v>
      </c>
    </row>
    <row r="5" spans="1:18" ht="15.75">
      <c r="A5" s="240" t="s">
        <v>69</v>
      </c>
      <c r="B5" s="248">
        <v>37810</v>
      </c>
      <c r="C5" s="44">
        <v>30</v>
      </c>
      <c r="D5" s="45">
        <f>-'HERS Analyhsis in Full'!L28</f>
        <v>19.3</v>
      </c>
      <c r="E5" s="44" t="s">
        <v>125</v>
      </c>
      <c r="F5" s="281">
        <f>+D5*1000000/Assumptions!$B$25</f>
        <v>5656.009143393019</v>
      </c>
      <c r="G5" s="272">
        <f>+F5*Assumptions!$B$14</f>
        <v>802.5311373560354</v>
      </c>
      <c r="H5" s="44">
        <f>+B5/G5</f>
        <v>47.11343677525866</v>
      </c>
      <c r="I5" s="225">
        <f>-PV((1+Assumptions!$B$7)/(1+Assumptions!$B$16)-1,C5,G5,0)</f>
        <v>20079.170053703005</v>
      </c>
      <c r="J5" s="45">
        <f>+I5/B5</f>
        <v>0.5310544843613596</v>
      </c>
      <c r="K5" s="255">
        <f>+I5-B5</f>
        <v>-17730.829946296995</v>
      </c>
      <c r="L5" s="248">
        <v>1000</v>
      </c>
      <c r="M5" s="76">
        <f>0.3*B5</f>
        <v>11343</v>
      </c>
      <c r="N5" s="76">
        <f>-PV(Assumptions!B7,10,'Cost-Benefit Analysis'!F5*'Cost-Benefit Analysis'!C22*0.8)</f>
        <v>14499.088045650991</v>
      </c>
      <c r="O5" s="262">
        <f>K5+SUM(L5:N5)</f>
        <v>9111.258099353996</v>
      </c>
      <c r="P5" s="248">
        <f>+F5*(Assumptions!$B$19+Assumptions!$B$22+Assumptions!$B$23)</f>
        <v>481.99369471285195</v>
      </c>
      <c r="Q5" s="76">
        <f>-PV(Assumptions!$B$7,C5,P5,0)</f>
        <v>8087.380477217819</v>
      </c>
      <c r="R5" s="231">
        <f>+Q5+K5</f>
        <v>-9643.449469079176</v>
      </c>
    </row>
    <row r="6" spans="1:18" ht="15.75">
      <c r="A6" s="268" t="s">
        <v>126</v>
      </c>
      <c r="B6" s="246"/>
      <c r="C6" s="30"/>
      <c r="D6" s="31"/>
      <c r="E6" s="30"/>
      <c r="F6" s="279"/>
      <c r="G6" s="273"/>
      <c r="H6" s="30"/>
      <c r="I6" s="226"/>
      <c r="J6" s="30"/>
      <c r="K6" s="253"/>
      <c r="L6" s="246"/>
      <c r="M6" s="77"/>
      <c r="N6" s="77"/>
      <c r="O6" s="253"/>
      <c r="P6" s="246"/>
      <c r="Q6" s="77"/>
      <c r="R6" s="77"/>
    </row>
    <row r="7" spans="1:18" ht="15.75">
      <c r="A7" s="241" t="s">
        <v>308</v>
      </c>
      <c r="B7" s="249">
        <f>+'Cost Inputs'!F7+'Cost Inputs'!F9+'Cost Inputs'!F11+'Cost Inputs'!G6</f>
        <v>24417.4</v>
      </c>
      <c r="C7" s="33">
        <v>75</v>
      </c>
      <c r="D7" s="34">
        <f>+'HERS Analyhsis in Full'!M9-'HERS Analyhsis in Full'!M10+('HERS Analyhsis in Full'!M12-'HERS Analyhsis in Full'!M13)+'HERS Analyhsis in Full'!M15-'HERS Analyhsis in Full'!M16+'HERS Analyhsis in Full'!M8-'HERS Analyhsis in Full'!M9+'HERS Analyhsis in Full'!E38</f>
        <v>269.5266666666666</v>
      </c>
      <c r="E7" s="33" t="s">
        <v>65</v>
      </c>
      <c r="F7" s="282">
        <f>+D7*10</f>
        <v>2695.266666666666</v>
      </c>
      <c r="G7" s="274">
        <f>+F7*Assumptions!$C$14</f>
        <v>4628.311919999999</v>
      </c>
      <c r="H7" s="33">
        <f>+B7/G7</f>
        <v>5.2756599862007585</v>
      </c>
      <c r="I7" s="227">
        <f>-PV((1+Assumptions!$B$7)/(1+Assumptions!$C$16)-1,C7,G7,0)</f>
        <v>227047.67991126614</v>
      </c>
      <c r="J7" s="34">
        <f>+I7/B7</f>
        <v>9.298601813103202</v>
      </c>
      <c r="K7" s="256">
        <f>+I7-B7</f>
        <v>202630.27991126615</v>
      </c>
      <c r="L7" s="249"/>
      <c r="M7" s="78">
        <v>1500</v>
      </c>
      <c r="N7" s="78"/>
      <c r="O7" s="256">
        <f>K7+SUM(L7:N7)</f>
        <v>204130.27991126615</v>
      </c>
      <c r="P7" s="249">
        <f>+F7*(Assumptions!$C$19+Assumptions!$C$22+Assumptions!$C$23)</f>
        <v>1391.9704699999998</v>
      </c>
      <c r="Q7" s="78">
        <f>-PV(Assumptions!$B$7,C7,P7,0)</f>
        <v>31308.3490055967</v>
      </c>
      <c r="R7" s="78">
        <f>+Q7+K7</f>
        <v>233938.62891686286</v>
      </c>
    </row>
    <row r="8" spans="1:18" ht="15.75">
      <c r="A8" s="242" t="s">
        <v>307</v>
      </c>
      <c r="B8" s="250">
        <f>'Cost Inputs'!G8+'Cost Inputs'!G10+'Cost Inputs'!G12</f>
        <v>75392</v>
      </c>
      <c r="C8" s="35">
        <v>75</v>
      </c>
      <c r="D8" s="36">
        <f>+'HERS Analyhsis in Full'!M10-'HERS Analyhsis in Full'!M12+'HERS Analyhsis in Full'!M13-'HERS Analyhsis in Full'!M15+'HERS Analyhsis in Full'!M16-'HERS Analyhsis in Full'!M18-'HERS Analyhsis in Full'!E38</f>
        <v>47.47333333333334</v>
      </c>
      <c r="E8" s="35" t="s">
        <v>65</v>
      </c>
      <c r="F8" s="283">
        <f>+D8*10</f>
        <v>474.73333333333346</v>
      </c>
      <c r="G8" s="275">
        <f>+F8*Assumptions!$C$14</f>
        <v>815.2120800000002</v>
      </c>
      <c r="H8" s="35">
        <f>+B8/G8</f>
        <v>92.48145586851459</v>
      </c>
      <c r="I8" s="228">
        <f>-PV((1+Assumptions!$B$7)/(1+Assumptions!$C$16)-1,C8,G8,0)</f>
        <v>39991.256985038635</v>
      </c>
      <c r="J8" s="36">
        <f>+I8/B8</f>
        <v>0.5304443042370363</v>
      </c>
      <c r="K8" s="257">
        <f>+I8-B8</f>
        <v>-35400.743014961365</v>
      </c>
      <c r="L8" s="250"/>
      <c r="M8" s="79"/>
      <c r="N8" s="79">
        <v>57000</v>
      </c>
      <c r="O8" s="263">
        <f>K8+SUM(L8:N8)</f>
        <v>21599.256985038635</v>
      </c>
      <c r="P8" s="250">
        <f>+F8*(Assumptions!$C$19+Assumptions!$C$22+Assumptions!$C$23)</f>
        <v>245.1760300000001</v>
      </c>
      <c r="Q8" s="79">
        <f>-PV(Assumptions!$B$7,C8,P8,0)</f>
        <v>5514.525545248565</v>
      </c>
      <c r="R8" s="232">
        <f>+Q8+K8</f>
        <v>-29886.2174697128</v>
      </c>
    </row>
    <row r="9" spans="1:18" ht="15.75">
      <c r="A9" s="243" t="s">
        <v>306</v>
      </c>
      <c r="B9" s="251">
        <f>+'Cost Inputs'!E13+'Cost Inputs'!G13</f>
        <v>46263.23875000001</v>
      </c>
      <c r="C9" s="37">
        <v>30</v>
      </c>
      <c r="D9" s="38">
        <f>+'HERS Analyhsis in Full'!M18-'HERS Analyhsis in Full'!M20</f>
        <v>41</v>
      </c>
      <c r="E9" s="37" t="s">
        <v>65</v>
      </c>
      <c r="F9" s="284">
        <f>+D9*10</f>
        <v>410</v>
      </c>
      <c r="G9" s="276">
        <f>+F9*Assumptions!$C$14</f>
        <v>704.052</v>
      </c>
      <c r="H9" s="37">
        <f>+B9/G9</f>
        <v>65.70997419224717</v>
      </c>
      <c r="I9" s="229">
        <f>-PV((1+Assumptions!$B$7)/(1+Assumptions!$C$16)-1,C9,G9,0)</f>
        <v>17615.241548413665</v>
      </c>
      <c r="J9" s="38">
        <f>+I9/B9</f>
        <v>0.380761097241893</v>
      </c>
      <c r="K9" s="258">
        <f>+I9-B9</f>
        <v>-28647.997201586346</v>
      </c>
      <c r="L9" s="251"/>
      <c r="M9" s="80"/>
      <c r="N9" s="80"/>
      <c r="O9" s="264">
        <f>K9+SUM(L9:N9)</f>
        <v>-28647.997201586346</v>
      </c>
      <c r="P9" s="251">
        <f>+F9*(Assumptions!$C$19+Assumptions!$C$22+Assumptions!$C$23)</f>
        <v>211.74450000000004</v>
      </c>
      <c r="Q9" s="80">
        <f>-PV(Assumptions!$B$7,C9,P9,0)</f>
        <v>3552.864600186206</v>
      </c>
      <c r="R9" s="233">
        <f>+Q9+K9</f>
        <v>-25095.13260140014</v>
      </c>
    </row>
    <row r="10" spans="1:18" ht="15.75">
      <c r="A10" s="269" t="s">
        <v>237</v>
      </c>
      <c r="B10" s="266">
        <f>+'Cost Inputs'!E8+'Cost Inputs'!E10</f>
        <v>37595.2854</v>
      </c>
      <c r="C10" s="32"/>
      <c r="D10" s="220"/>
      <c r="E10" s="32"/>
      <c r="F10" s="285"/>
      <c r="G10" s="277"/>
      <c r="H10" s="32"/>
      <c r="I10" s="230"/>
      <c r="J10" s="221"/>
      <c r="K10" s="259"/>
      <c r="L10" s="252"/>
      <c r="M10" s="222"/>
      <c r="N10" s="222"/>
      <c r="O10" s="265"/>
      <c r="P10" s="252"/>
      <c r="Q10" s="222"/>
      <c r="R10" s="222"/>
    </row>
    <row r="11" spans="1:18" ht="15.75">
      <c r="A11" s="270" t="s">
        <v>233</v>
      </c>
      <c r="B11" s="260">
        <f>+SUM(B7:B10)</f>
        <v>183667.92415</v>
      </c>
      <c r="C11" s="30" t="s">
        <v>135</v>
      </c>
      <c r="D11" s="219">
        <f>+SUM(D7:D10)</f>
        <v>357.99999999999994</v>
      </c>
      <c r="E11" s="30" t="s">
        <v>65</v>
      </c>
      <c r="F11" s="279">
        <f>+D11*10</f>
        <v>3579.9999999999995</v>
      </c>
      <c r="G11" s="273">
        <f>+F11*Assumptions!$C$14</f>
        <v>6147.575999999999</v>
      </c>
      <c r="H11" s="30">
        <f>+B11/G11</f>
        <v>29.87647881864332</v>
      </c>
      <c r="I11" s="218">
        <f>+SUM(I7:I10)</f>
        <v>284654.1784447184</v>
      </c>
      <c r="J11" s="31">
        <f>+I11/B11</f>
        <v>1.5498306509537496</v>
      </c>
      <c r="K11" s="253">
        <f>+I11-B11</f>
        <v>100986.25429471841</v>
      </c>
      <c r="L11" s="246"/>
      <c r="M11" s="218">
        <f>+SUM(M7:M10)</f>
        <v>1500</v>
      </c>
      <c r="N11" s="218">
        <f>+SUM(N7:N10)</f>
        <v>57000</v>
      </c>
      <c r="O11" s="253">
        <f>K11+SUM(L11:N11)</f>
        <v>159486.2542947184</v>
      </c>
      <c r="P11" s="260">
        <f>+SUM(P7:P10)</f>
        <v>1848.8909999999998</v>
      </c>
      <c r="Q11" s="218">
        <f>+SUM(Q7:Q10)</f>
        <v>40375.73915103148</v>
      </c>
      <c r="R11" s="77">
        <f>+Q11+K11</f>
        <v>141361.9934457499</v>
      </c>
    </row>
    <row r="12" spans="1:18" ht="15.75">
      <c r="A12" s="268" t="s">
        <v>127</v>
      </c>
      <c r="B12" s="235"/>
      <c r="C12" s="30"/>
      <c r="D12" s="31"/>
      <c r="E12" s="30"/>
      <c r="F12" s="279"/>
      <c r="G12" s="273"/>
      <c r="H12" s="30"/>
      <c r="I12" s="226"/>
      <c r="J12" s="30"/>
      <c r="K12" s="238"/>
      <c r="L12" s="235"/>
      <c r="M12" s="30"/>
      <c r="N12" s="30"/>
      <c r="O12" s="238"/>
      <c r="P12" s="235"/>
      <c r="Q12" s="30"/>
      <c r="R12" s="30"/>
    </row>
    <row r="13" spans="1:18" ht="15.75">
      <c r="A13" s="245" t="s">
        <v>128</v>
      </c>
      <c r="B13" s="126"/>
      <c r="C13" s="32">
        <v>30</v>
      </c>
      <c r="D13" s="40">
        <f>+'HERS Analyhsis in Full'!H20-'HERS Analyhsis in Full'!H21</f>
        <v>12</v>
      </c>
      <c r="E13" s="39" t="s">
        <v>66</v>
      </c>
      <c r="F13" s="286">
        <f>+D13*1000000/Assumptions!D25</f>
        <v>86.51766402307138</v>
      </c>
      <c r="G13" s="267">
        <f>+F13*Assumptions!D14</f>
        <v>313.0209084354722</v>
      </c>
      <c r="H13" s="39">
        <f>+B13/G13</f>
        <v>0</v>
      </c>
      <c r="I13" s="223">
        <f>-PV((1+Assumptions!$B$7)/(1+Assumptions!$D$16)-1,C13,G13,0)</f>
        <v>7831.721111217238</v>
      </c>
      <c r="J13" s="220"/>
      <c r="K13" s="244"/>
      <c r="L13" s="126"/>
      <c r="M13" s="32"/>
      <c r="N13" s="32"/>
      <c r="O13" s="244"/>
      <c r="P13" s="126">
        <f>+F13*(Assumptions!$D$19+Assumptions!$D$22+Assumptions!$D$23)</f>
        <v>150.38851126936856</v>
      </c>
      <c r="Q13" s="221"/>
      <c r="R13" s="32"/>
    </row>
    <row r="14" spans="1:18" ht="15.75">
      <c r="A14" s="245" t="s">
        <v>132</v>
      </c>
      <c r="B14" s="126"/>
      <c r="C14" s="32">
        <v>30</v>
      </c>
      <c r="D14" s="40">
        <f>+'HERS Analyhsis in Full'!H28</f>
        <v>41.7</v>
      </c>
      <c r="E14" s="39" t="s">
        <v>130</v>
      </c>
      <c r="F14" s="286" t="s">
        <v>131</v>
      </c>
      <c r="G14" s="267">
        <f>+D14*(Assumptions!D27-Assumptions!C27)</f>
        <v>371.67525681326595</v>
      </c>
      <c r="H14" s="39">
        <f>+B14/G14</f>
        <v>0</v>
      </c>
      <c r="I14" s="223">
        <f>-PV((1+Assumptions!$B$7)/(1+Assumptions!$D$16)-1,C14,D14*1000000/Assumptions!D25*Assumptions!D14,0)--PV((1+Assumptions!$B$7)/(1+Assumptions!$D$16)-1,C14,D14*1000000/Assumptions!C25*Assumptions!C14,0)</f>
        <v>9299.24128662991</v>
      </c>
      <c r="J14" s="220"/>
      <c r="K14" s="244"/>
      <c r="L14" s="126"/>
      <c r="M14" s="32"/>
      <c r="N14" s="32"/>
      <c r="O14" s="244"/>
      <c r="P14" s="126">
        <f>-(D14*1000000/Assumptions!C25)*(Assumptions!$C$19+Assumptions!$C$22+Assumptions!$C$23)+(D14*1000000/Assumptions!D25)*(Assumptions!$D$19+Assumptions!$D$22+Assumptions!$D$23)</f>
        <v>307.2404266610558</v>
      </c>
      <c r="Q14" s="32"/>
      <c r="R14" s="32"/>
    </row>
    <row r="15" spans="1:18" ht="15.75">
      <c r="A15" s="245" t="s">
        <v>133</v>
      </c>
      <c r="B15" s="267">
        <f>'Cost Inputs'!E14</f>
        <v>25690</v>
      </c>
      <c r="C15" s="39">
        <f>+C14</f>
        <v>30</v>
      </c>
      <c r="D15" s="40">
        <v>12</v>
      </c>
      <c r="E15" s="39" t="s">
        <v>134</v>
      </c>
      <c r="F15" s="286" t="s">
        <v>134</v>
      </c>
      <c r="G15" s="267">
        <f>+G14+G13</f>
        <v>684.6961652487382</v>
      </c>
      <c r="H15" s="39">
        <f>+B15/G15</f>
        <v>37.52029192491135</v>
      </c>
      <c r="I15" s="223">
        <f>+I14+I13</f>
        <v>17130.962397847146</v>
      </c>
      <c r="J15" s="40">
        <f>+I15/B15</f>
        <v>0.6668338808037036</v>
      </c>
      <c r="K15" s="245">
        <f>+I15-B15</f>
        <v>-8559.037602152854</v>
      </c>
      <c r="L15" s="236"/>
      <c r="M15" s="39"/>
      <c r="N15" s="39">
        <v>675</v>
      </c>
      <c r="O15" s="245">
        <f>K15+SUM(L15:N15)</f>
        <v>-7884.037602152854</v>
      </c>
      <c r="P15" s="261">
        <f>+P14+P13</f>
        <v>457.62893793042434</v>
      </c>
      <c r="Q15" s="41">
        <f>-PV(Assumptions!$B$7,C15,P15,0)</f>
        <v>7678.563804933847</v>
      </c>
      <c r="R15" s="39">
        <f>+Q15+K15</f>
        <v>-880.4737972190069</v>
      </c>
    </row>
    <row r="16" spans="1:18" ht="15.75">
      <c r="A16" s="268" t="s">
        <v>236</v>
      </c>
      <c r="B16" s="246">
        <f>+B4+B5+B11+B15</f>
        <v>258167.92415</v>
      </c>
      <c r="C16" s="30" t="s">
        <v>135</v>
      </c>
      <c r="D16" s="31">
        <f>+D4+D5+D11+D15</f>
        <v>417.79999999999995</v>
      </c>
      <c r="E16" s="30"/>
      <c r="F16" s="279" t="s">
        <v>135</v>
      </c>
      <c r="G16" s="273">
        <f>+G4+G5+G11+G15</f>
        <v>8124.205302604772</v>
      </c>
      <c r="H16" s="30">
        <f>+B16/G16</f>
        <v>31.777621876102334</v>
      </c>
      <c r="I16" s="226">
        <f>+I4+I5+I11+I15</f>
        <v>334109.0519726049</v>
      </c>
      <c r="J16" s="31">
        <f>+I16/B16</f>
        <v>1.294154001015563</v>
      </c>
      <c r="K16" s="253">
        <f aca="true" t="shared" si="0" ref="K16:R16">+K4+K5+K11+K15</f>
        <v>75941.1278226049</v>
      </c>
      <c r="L16" s="246">
        <f t="shared" si="0"/>
        <v>1000</v>
      </c>
      <c r="M16" s="77">
        <f t="shared" si="0"/>
        <v>16143</v>
      </c>
      <c r="N16" s="77">
        <f t="shared" si="0"/>
        <v>72174.08804565099</v>
      </c>
      <c r="O16" s="253">
        <f t="shared" si="0"/>
        <v>165258.21586825588</v>
      </c>
      <c r="P16" s="246">
        <f t="shared" si="0"/>
        <v>2935.7018826432763</v>
      </c>
      <c r="Q16" s="77">
        <f t="shared" si="0"/>
        <v>58611.35760648331</v>
      </c>
      <c r="R16" s="77">
        <f t="shared" si="0"/>
        <v>134552.48542908818</v>
      </c>
    </row>
    <row r="17" spans="2:11" ht="15.75">
      <c r="B17" s="26"/>
      <c r="G17" s="25"/>
      <c r="I17" s="25"/>
      <c r="J17" s="25"/>
      <c r="K17" s="25"/>
    </row>
    <row r="19" ht="15.75">
      <c r="A19" t="s">
        <v>238</v>
      </c>
    </row>
    <row r="20" ht="15.75">
      <c r="A20" t="s">
        <v>239</v>
      </c>
    </row>
    <row r="21" ht="15.75">
      <c r="A21" t="s">
        <v>240</v>
      </c>
    </row>
    <row r="22" spans="1:4" ht="15.75">
      <c r="A22" t="s">
        <v>241</v>
      </c>
      <c r="C22" s="28">
        <v>0.4</v>
      </c>
      <c r="D22" s="25" t="s">
        <v>139</v>
      </c>
    </row>
    <row r="23" ht="15.75">
      <c r="A23" t="s">
        <v>242</v>
      </c>
    </row>
    <row r="24" ht="15.75">
      <c r="A24" t="s">
        <v>256</v>
      </c>
    </row>
    <row r="25" ht="15.75">
      <c r="A25" t="s">
        <v>321</v>
      </c>
    </row>
  </sheetData>
  <sheetProtection sheet="1" objects="1" scenarios="1"/>
  <mergeCells count="5">
    <mergeCell ref="A1:A2"/>
    <mergeCell ref="L1:O1"/>
    <mergeCell ref="P1:R1"/>
    <mergeCell ref="G1:K1"/>
    <mergeCell ref="B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0"/>
  <sheetViews>
    <sheetView workbookViewId="0" topLeftCell="A1">
      <selection activeCell="A4" sqref="A4"/>
      <selection activeCell="M27" sqref="M27"/>
    </sheetView>
  </sheetViews>
  <sheetFormatPr defaultColWidth="8.796875" defaultRowHeight="15"/>
  <cols>
    <col min="1" max="1" width="27.8984375" style="49" customWidth="1"/>
    <col min="2" max="2" width="10.69921875" style="49" customWidth="1"/>
    <col min="3" max="3" width="10.19921875" style="49" customWidth="1"/>
    <col min="4" max="4" width="9.69921875" style="49" customWidth="1"/>
    <col min="5" max="16384" width="9" style="49" customWidth="1"/>
  </cols>
  <sheetData>
    <row r="1" ht="15.75">
      <c r="A1" s="48" t="s">
        <v>185</v>
      </c>
    </row>
    <row r="2" ht="15.75">
      <c r="A2" s="48" t="s">
        <v>199</v>
      </c>
    </row>
    <row r="3" ht="15.75">
      <c r="A3" s="48" t="s">
        <v>4</v>
      </c>
    </row>
    <row r="4" ht="15.75">
      <c r="A4" s="74" t="s">
        <v>198</v>
      </c>
    </row>
    <row r="7" spans="1:4" ht="15.75">
      <c r="A7" s="50" t="s">
        <v>152</v>
      </c>
      <c r="B7" s="51">
        <v>0.0425</v>
      </c>
      <c r="C7" s="50"/>
      <c r="D7" s="50"/>
    </row>
    <row r="8" spans="1:4" ht="15.75">
      <c r="A8" s="50" t="s">
        <v>154</v>
      </c>
      <c r="B8" s="52">
        <v>350</v>
      </c>
      <c r="C8" s="50"/>
      <c r="D8" s="50"/>
    </row>
    <row r="9" spans="1:4" ht="15.75">
      <c r="A9" s="50"/>
      <c r="B9" s="50" t="s">
        <v>64</v>
      </c>
      <c r="C9" s="50" t="s">
        <v>65</v>
      </c>
      <c r="D9" s="50" t="s">
        <v>66</v>
      </c>
    </row>
    <row r="10" spans="1:4" ht="15.75">
      <c r="A10" s="50" t="s">
        <v>73</v>
      </c>
      <c r="B10" s="50" t="s">
        <v>74</v>
      </c>
      <c r="C10" s="50" t="s">
        <v>75</v>
      </c>
      <c r="D10" s="50" t="s">
        <v>76</v>
      </c>
    </row>
    <row r="11" spans="1:4" ht="15.75">
      <c r="A11" s="50" t="s">
        <v>63</v>
      </c>
      <c r="B11" s="50"/>
      <c r="C11" s="50"/>
      <c r="D11" s="50"/>
    </row>
    <row r="12" spans="1:4" ht="15.75">
      <c r="A12" s="50" t="s">
        <v>187</v>
      </c>
      <c r="B12" s="50"/>
      <c r="C12" s="50"/>
      <c r="D12" s="50"/>
    </row>
    <row r="13" spans="1:4" ht="15.75">
      <c r="A13" s="50" t="s">
        <v>200</v>
      </c>
      <c r="B13" s="53">
        <f>0.06779+0.08638+0.02044-0.01272-0.02</f>
        <v>0.14189</v>
      </c>
      <c r="C13" s="54">
        <f>0.7343+0.1361+0.8468</f>
        <v>1.7172</v>
      </c>
      <c r="D13" s="55">
        <v>3.618</v>
      </c>
    </row>
    <row r="14" spans="1:4" ht="15.75">
      <c r="A14" s="50" t="s">
        <v>146</v>
      </c>
      <c r="B14" s="56">
        <f>0.06779+0.08638+0.02044-0.01272-0.02</f>
        <v>0.14189</v>
      </c>
      <c r="C14" s="57">
        <f>0.7343+0.1361+0.8468</f>
        <v>1.7172</v>
      </c>
      <c r="D14" s="58">
        <v>3.618</v>
      </c>
    </row>
    <row r="15" spans="1:4" ht="15.75">
      <c r="A15" s="50" t="s">
        <v>67</v>
      </c>
      <c r="B15" s="53">
        <f>0.06779+0.08638+0.02044-0.01272-0.02</f>
        <v>0.14189</v>
      </c>
      <c r="C15" s="54">
        <f>+C14/C26</f>
        <v>0.0585960156</v>
      </c>
      <c r="D15" s="55">
        <f>+D14/D26</f>
        <v>0.08901010382119683</v>
      </c>
    </row>
    <row r="16" spans="1:11" ht="15.75">
      <c r="A16" s="50" t="s">
        <v>201</v>
      </c>
      <c r="B16" s="59">
        <v>0.03</v>
      </c>
      <c r="C16" s="59">
        <v>0.03</v>
      </c>
      <c r="D16" s="59">
        <v>0.03</v>
      </c>
      <c r="I16" s="60"/>
      <c r="J16" s="60"/>
      <c r="K16" s="72"/>
    </row>
    <row r="17" spans="1:4" ht="15.75">
      <c r="A17" s="50" t="s">
        <v>181</v>
      </c>
      <c r="B17" s="50"/>
      <c r="C17" s="50"/>
      <c r="D17" s="50"/>
    </row>
    <row r="18" spans="1:15" ht="15.75">
      <c r="A18" s="61" t="s">
        <v>202</v>
      </c>
      <c r="B18" s="62">
        <v>0.0001577656675749319</v>
      </c>
      <c r="C18" s="63">
        <f>0.1*14.47/1000</f>
        <v>0.0014470000000000002</v>
      </c>
      <c r="D18" s="63">
        <v>0.002764370053198391</v>
      </c>
      <c r="G18" s="60"/>
      <c r="I18" s="60"/>
      <c r="O18" s="60"/>
    </row>
    <row r="19" spans="1:8" ht="15.75">
      <c r="A19" s="61" t="s">
        <v>179</v>
      </c>
      <c r="B19" s="64">
        <f>+B18*$B$8</f>
        <v>0.05521798365122616</v>
      </c>
      <c r="C19" s="64">
        <f>+C18*$B$8</f>
        <v>0.5064500000000001</v>
      </c>
      <c r="D19" s="64">
        <f>+D18*$B$8</f>
        <v>0.9675295186194368</v>
      </c>
      <c r="G19" s="65"/>
      <c r="H19" s="65"/>
    </row>
    <row r="20" spans="1:7" ht="15.75">
      <c r="A20" s="61" t="s">
        <v>180</v>
      </c>
      <c r="B20" s="66">
        <f>+B19/B14</f>
        <v>0.38916050215819414</v>
      </c>
      <c r="C20" s="66">
        <f>+C19/C14</f>
        <v>0.2949277894246448</v>
      </c>
      <c r="D20" s="66">
        <f>+D19/D14</f>
        <v>0.2674210941457813</v>
      </c>
      <c r="G20" s="65"/>
    </row>
    <row r="21" spans="1:4" ht="15.75">
      <c r="A21" s="50" t="s">
        <v>182</v>
      </c>
      <c r="B21" s="50"/>
      <c r="C21" s="50"/>
      <c r="D21" s="50"/>
    </row>
    <row r="22" spans="1:12" ht="15.75">
      <c r="A22" s="50" t="s">
        <v>203</v>
      </c>
      <c r="B22" s="64">
        <v>0</v>
      </c>
      <c r="C22" s="64">
        <v>0</v>
      </c>
      <c r="D22" s="64">
        <f>+D61</f>
        <v>0.27071102413568165</v>
      </c>
      <c r="L22" s="60"/>
    </row>
    <row r="23" spans="1:4" ht="15.75">
      <c r="A23" s="50" t="s">
        <v>204</v>
      </c>
      <c r="B23" s="64">
        <f>+B77</f>
        <v>0.03</v>
      </c>
      <c r="C23" s="64">
        <v>0.01</v>
      </c>
      <c r="D23" s="64">
        <f>+C80</f>
        <v>0.5</v>
      </c>
    </row>
    <row r="24" spans="1:4" ht="15.75">
      <c r="A24" s="50" t="s">
        <v>70</v>
      </c>
      <c r="B24" s="50"/>
      <c r="C24" s="50"/>
      <c r="D24" s="50"/>
    </row>
    <row r="25" spans="1:4" ht="15.75">
      <c r="A25" s="50" t="s">
        <v>71</v>
      </c>
      <c r="B25" s="50">
        <v>3412.3</v>
      </c>
      <c r="C25" s="50">
        <v>100000</v>
      </c>
      <c r="D25" s="50">
        <v>138700</v>
      </c>
    </row>
    <row r="26" spans="1:4" ht="15.75">
      <c r="A26" s="50" t="s">
        <v>72</v>
      </c>
      <c r="B26" s="61">
        <v>1</v>
      </c>
      <c r="C26" s="61">
        <f>+C25/B25</f>
        <v>29.30574685695865</v>
      </c>
      <c r="D26" s="61">
        <f>+D25/B25</f>
        <v>40.64707089060165</v>
      </c>
    </row>
    <row r="27" spans="1:4" ht="15.75">
      <c r="A27" s="50" t="s">
        <v>186</v>
      </c>
      <c r="B27" s="61">
        <f>1000000*B14/B25</f>
        <v>41.581924215338624</v>
      </c>
      <c r="C27" s="61">
        <f>1000000*C14/C25</f>
        <v>17.172</v>
      </c>
      <c r="D27" s="61">
        <f>1000000*D14/D25</f>
        <v>26.08507570295602</v>
      </c>
    </row>
    <row r="29" ht="15.75">
      <c r="A29" s="49" t="s">
        <v>123</v>
      </c>
    </row>
    <row r="30" ht="15.75">
      <c r="A30" s="49" t="s">
        <v>153</v>
      </c>
    </row>
    <row r="31" ht="15.75">
      <c r="A31" s="49" t="s">
        <v>155</v>
      </c>
    </row>
    <row r="32" ht="15.75">
      <c r="A32" s="49" t="s">
        <v>156</v>
      </c>
    </row>
    <row r="33" ht="15.75">
      <c r="A33" s="49" t="s">
        <v>159</v>
      </c>
    </row>
    <row r="34" ht="15.75">
      <c r="A34" s="49" t="s">
        <v>160</v>
      </c>
    </row>
    <row r="35" ht="15.75">
      <c r="A35" s="49" t="s">
        <v>157</v>
      </c>
    </row>
    <row r="36" ht="15.75">
      <c r="A36" s="49" t="s">
        <v>158</v>
      </c>
    </row>
    <row r="37" ht="15.75">
      <c r="A37" s="49" t="s">
        <v>161</v>
      </c>
    </row>
    <row r="38" ht="15.75">
      <c r="A38" s="49" t="s">
        <v>205</v>
      </c>
    </row>
    <row r="39" ht="15.75">
      <c r="A39" s="49" t="s">
        <v>150</v>
      </c>
    </row>
    <row r="40" ht="15.75">
      <c r="A40" s="49" t="s">
        <v>151</v>
      </c>
    </row>
    <row r="41" ht="15.75">
      <c r="A41" s="49" t="s">
        <v>129</v>
      </c>
    </row>
    <row r="42" ht="15.75">
      <c r="A42" s="49" t="s">
        <v>206</v>
      </c>
    </row>
    <row r="43" ht="15.75">
      <c r="A43" s="49" t="s">
        <v>197</v>
      </c>
    </row>
    <row r="44" ht="15.75">
      <c r="A44" s="49" t="s">
        <v>188</v>
      </c>
    </row>
    <row r="45" ht="15.75">
      <c r="A45" s="49" t="s">
        <v>189</v>
      </c>
    </row>
    <row r="46" ht="15.75">
      <c r="A46" s="49" t="s">
        <v>193</v>
      </c>
    </row>
    <row r="47" ht="15.75">
      <c r="A47" s="49" t="s">
        <v>190</v>
      </c>
    </row>
    <row r="48" ht="15.75">
      <c r="A48" s="49" t="s">
        <v>191</v>
      </c>
    </row>
    <row r="49" ht="15.75">
      <c r="A49" s="49" t="s">
        <v>192</v>
      </c>
    </row>
    <row r="50" spans="1:12" ht="15.75">
      <c r="A50" s="49" t="s">
        <v>194</v>
      </c>
      <c r="J50" s="73"/>
      <c r="L50" s="60"/>
    </row>
    <row r="51" ht="15.75">
      <c r="A51" s="49" t="s">
        <v>195</v>
      </c>
    </row>
    <row r="52" ht="15.75">
      <c r="A52" s="49" t="s">
        <v>196</v>
      </c>
    </row>
    <row r="53" ht="15.75">
      <c r="A53" s="49" t="s">
        <v>207</v>
      </c>
    </row>
    <row r="54" ht="15.75">
      <c r="A54" s="49" t="s">
        <v>148</v>
      </c>
    </row>
    <row r="55" ht="15.75">
      <c r="A55" s="49" t="s">
        <v>149</v>
      </c>
    </row>
    <row r="56" ht="15.75">
      <c r="A56" s="49" t="s">
        <v>208</v>
      </c>
    </row>
    <row r="57" spans="1:2" ht="15.75">
      <c r="A57" s="67">
        <v>83000000000</v>
      </c>
      <c r="B57" s="49" t="s">
        <v>162</v>
      </c>
    </row>
    <row r="58" ht="15.75">
      <c r="A58" s="49" t="s">
        <v>163</v>
      </c>
    </row>
    <row r="59" spans="1:4" ht="15.75">
      <c r="A59" s="49" t="s">
        <v>164</v>
      </c>
      <c r="D59" s="49">
        <v>20000000</v>
      </c>
    </row>
    <row r="60" spans="2:4" ht="15.75">
      <c r="B60" s="49" t="s">
        <v>165</v>
      </c>
      <c r="D60" s="49">
        <v>42</v>
      </c>
    </row>
    <row r="61" spans="1:4" ht="15.75">
      <c r="A61" s="49" t="s">
        <v>166</v>
      </c>
      <c r="D61" s="68">
        <f>+A57/(D59*D60*365)</f>
        <v>0.27071102413568165</v>
      </c>
    </row>
    <row r="62" ht="15.75">
      <c r="A62" s="49" t="s">
        <v>138</v>
      </c>
    </row>
    <row r="63" ht="15.75">
      <c r="A63" s="49" t="s">
        <v>167</v>
      </c>
    </row>
    <row r="64" ht="15.75">
      <c r="A64" s="49" t="s">
        <v>183</v>
      </c>
    </row>
    <row r="65" ht="15.75">
      <c r="A65" s="49" t="s">
        <v>184</v>
      </c>
    </row>
    <row r="66" ht="15.75">
      <c r="A66" s="49" t="s">
        <v>209</v>
      </c>
    </row>
    <row r="67" ht="15.75">
      <c r="A67" s="49" t="s">
        <v>168</v>
      </c>
    </row>
    <row r="68" ht="15.75">
      <c r="A68" s="49" t="s">
        <v>169</v>
      </c>
    </row>
    <row r="69" spans="1:4" ht="15.75">
      <c r="A69" s="49" t="s">
        <v>170</v>
      </c>
      <c r="C69" s="69">
        <v>0.032</v>
      </c>
      <c r="D69" s="49" t="s">
        <v>139</v>
      </c>
    </row>
    <row r="70" spans="1:4" ht="15.75">
      <c r="A70" s="49" t="s">
        <v>171</v>
      </c>
      <c r="C70" s="69">
        <v>0.017</v>
      </c>
      <c r="D70" s="49" t="s">
        <v>139</v>
      </c>
    </row>
    <row r="71" spans="1:4" ht="15.75">
      <c r="A71" s="49" t="s">
        <v>172</v>
      </c>
      <c r="C71" s="70">
        <v>0.0016</v>
      </c>
      <c r="D71" s="49" t="s">
        <v>139</v>
      </c>
    </row>
    <row r="72" spans="1:4" ht="15.75">
      <c r="A72" s="49" t="s">
        <v>173</v>
      </c>
      <c r="C72" s="69">
        <v>0.11</v>
      </c>
      <c r="D72" s="49" t="s">
        <v>140</v>
      </c>
    </row>
    <row r="73" spans="1:3" ht="15.75">
      <c r="A73" s="49" t="s">
        <v>174</v>
      </c>
      <c r="C73" s="69"/>
    </row>
    <row r="74" spans="1:3" ht="15.75">
      <c r="A74" s="49" t="s">
        <v>176</v>
      </c>
      <c r="C74" s="69"/>
    </row>
    <row r="75" spans="1:3" ht="15.75">
      <c r="A75" s="49" t="s">
        <v>175</v>
      </c>
      <c r="C75" s="69"/>
    </row>
    <row r="76" spans="1:3" ht="15.75">
      <c r="A76" s="49" t="s">
        <v>210</v>
      </c>
      <c r="C76" s="69"/>
    </row>
    <row r="77" spans="1:3" ht="15.75">
      <c r="A77" s="49" t="s">
        <v>177</v>
      </c>
      <c r="B77" s="71">
        <v>0.03</v>
      </c>
      <c r="C77" s="49" t="s">
        <v>141</v>
      </c>
    </row>
    <row r="78" ht="15.75">
      <c r="A78" s="49" t="s">
        <v>142</v>
      </c>
    </row>
    <row r="79" ht="15.75">
      <c r="A79" s="49" t="s">
        <v>143</v>
      </c>
    </row>
    <row r="80" spans="1:3" ht="15.75">
      <c r="A80" s="49" t="s">
        <v>178</v>
      </c>
      <c r="C80" s="71">
        <v>0.5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">
      <selection activeCell="B61" sqref="B61"/>
      <selection activeCell="J24" sqref="J24"/>
    </sheetView>
  </sheetViews>
  <sheetFormatPr defaultColWidth="8.796875" defaultRowHeight="15"/>
  <cols>
    <col min="1" max="1" width="63.19921875" style="0" bestFit="1" customWidth="1"/>
  </cols>
  <sheetData>
    <row r="1" spans="1:15" ht="15">
      <c r="A1" s="1" t="s">
        <v>77</v>
      </c>
      <c r="B1" s="2" t="s">
        <v>78</v>
      </c>
      <c r="C1" s="3" t="s">
        <v>79</v>
      </c>
      <c r="D1" s="3" t="s">
        <v>80</v>
      </c>
      <c r="E1" s="4" t="s">
        <v>79</v>
      </c>
      <c r="F1" s="4" t="s">
        <v>80</v>
      </c>
      <c r="G1" s="4" t="s">
        <v>81</v>
      </c>
      <c r="H1" s="5" t="s">
        <v>82</v>
      </c>
      <c r="I1" s="5" t="s">
        <v>80</v>
      </c>
      <c r="J1" s="5" t="s">
        <v>81</v>
      </c>
      <c r="K1" s="5" t="s">
        <v>83</v>
      </c>
      <c r="L1" s="5" t="s">
        <v>84</v>
      </c>
      <c r="M1" s="5" t="s">
        <v>85</v>
      </c>
      <c r="N1" s="2" t="s">
        <v>85</v>
      </c>
      <c r="O1" s="6" t="s">
        <v>85</v>
      </c>
    </row>
    <row r="2" spans="1:15" ht="15">
      <c r="A2" s="7" t="s">
        <v>86</v>
      </c>
      <c r="B2" s="8"/>
      <c r="C2" s="9" t="s">
        <v>87</v>
      </c>
      <c r="D2" s="9" t="s">
        <v>87</v>
      </c>
      <c r="E2" s="10" t="s">
        <v>88</v>
      </c>
      <c r="F2" s="10" t="s">
        <v>88</v>
      </c>
      <c r="G2" s="10" t="s">
        <v>88</v>
      </c>
      <c r="H2" s="11" t="s">
        <v>89</v>
      </c>
      <c r="I2" s="11" t="s">
        <v>89</v>
      </c>
      <c r="J2" s="11" t="s">
        <v>89</v>
      </c>
      <c r="K2" s="11" t="s">
        <v>89</v>
      </c>
      <c r="L2" s="11" t="s">
        <v>89</v>
      </c>
      <c r="M2" s="11" t="s">
        <v>89</v>
      </c>
      <c r="N2" s="8" t="s">
        <v>90</v>
      </c>
      <c r="O2" s="12" t="s">
        <v>89</v>
      </c>
    </row>
    <row r="3" spans="1:15" ht="15">
      <c r="A3" s="13" t="s">
        <v>91</v>
      </c>
      <c r="B3" s="8"/>
      <c r="C3" s="9"/>
      <c r="D3" s="9"/>
      <c r="E3" s="10"/>
      <c r="F3" s="10"/>
      <c r="G3" s="10"/>
      <c r="H3" s="11"/>
      <c r="I3" s="11"/>
      <c r="J3" s="11"/>
      <c r="K3" s="11"/>
      <c r="L3" s="11"/>
      <c r="M3" s="11"/>
      <c r="N3" s="8" t="s">
        <v>92</v>
      </c>
      <c r="O3" s="14" t="s">
        <v>93</v>
      </c>
    </row>
    <row r="4" spans="1:15" ht="15">
      <c r="A4" s="15" t="s">
        <v>94</v>
      </c>
      <c r="B4" s="8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8" t="s">
        <v>95</v>
      </c>
      <c r="O4" s="16"/>
    </row>
    <row r="5" spans="1:15" ht="15">
      <c r="A5" s="17" t="s">
        <v>96</v>
      </c>
      <c r="B5" s="8"/>
      <c r="C5" s="9"/>
      <c r="D5" s="9"/>
      <c r="E5" s="10"/>
      <c r="F5" s="10"/>
      <c r="G5" s="10"/>
      <c r="H5" s="11"/>
      <c r="I5" s="11"/>
      <c r="J5" s="11"/>
      <c r="K5" s="11"/>
      <c r="L5" s="11"/>
      <c r="M5" s="11"/>
      <c r="N5" s="8"/>
      <c r="O5" s="16"/>
    </row>
    <row r="6" spans="1:15" ht="15">
      <c r="A6" s="18" t="s">
        <v>97</v>
      </c>
      <c r="B6" s="19">
        <v>197</v>
      </c>
      <c r="C6" s="20">
        <v>99.8</v>
      </c>
      <c r="D6" s="20">
        <v>0</v>
      </c>
      <c r="E6" s="21">
        <v>198.5</v>
      </c>
      <c r="F6" s="21">
        <v>0</v>
      </c>
      <c r="G6" s="21">
        <v>13.8</v>
      </c>
      <c r="H6" s="22">
        <v>276.6</v>
      </c>
      <c r="I6" s="22">
        <v>0</v>
      </c>
      <c r="J6" s="22">
        <v>27.9</v>
      </c>
      <c r="K6" s="22">
        <v>34.9</v>
      </c>
      <c r="L6" s="22">
        <v>0</v>
      </c>
      <c r="M6" s="22">
        <v>339.5</v>
      </c>
      <c r="N6" s="23">
        <v>2728</v>
      </c>
      <c r="O6" s="24">
        <f aca="true" t="shared" si="0" ref="O6:O27">SUM(H6:L6)</f>
        <v>339.4</v>
      </c>
    </row>
    <row r="7" spans="1:15" ht="15">
      <c r="A7" s="17" t="s">
        <v>98</v>
      </c>
      <c r="B7" s="19">
        <v>181</v>
      </c>
      <c r="C7" s="20">
        <v>128.5</v>
      </c>
      <c r="D7" s="20">
        <v>0</v>
      </c>
      <c r="E7" s="21">
        <v>254</v>
      </c>
      <c r="F7" s="21">
        <v>0</v>
      </c>
      <c r="G7" s="21">
        <v>15.8</v>
      </c>
      <c r="H7" s="22">
        <v>353.9</v>
      </c>
      <c r="I7" s="22">
        <v>0</v>
      </c>
      <c r="J7" s="22">
        <v>31.9</v>
      </c>
      <c r="K7" s="22">
        <v>47.7</v>
      </c>
      <c r="L7" s="22">
        <v>0</v>
      </c>
      <c r="M7" s="22">
        <v>433.5</v>
      </c>
      <c r="N7" s="23">
        <v>4092</v>
      </c>
      <c r="O7" s="24">
        <f t="shared" si="0"/>
        <v>433.49999999999994</v>
      </c>
    </row>
    <row r="8" spans="1:15" ht="15.75" thickBot="1">
      <c r="A8" s="81" t="s">
        <v>99</v>
      </c>
      <c r="B8" s="82">
        <v>166</v>
      </c>
      <c r="C8" s="83">
        <v>153.6</v>
      </c>
      <c r="D8" s="83">
        <v>0</v>
      </c>
      <c r="E8" s="84">
        <v>298</v>
      </c>
      <c r="F8" s="84">
        <v>0</v>
      </c>
      <c r="G8" s="84">
        <v>15.8</v>
      </c>
      <c r="H8" s="85">
        <v>415.3</v>
      </c>
      <c r="I8" s="85">
        <v>0</v>
      </c>
      <c r="J8" s="85">
        <v>31.9</v>
      </c>
      <c r="K8" s="85">
        <v>60.6</v>
      </c>
      <c r="L8" s="85">
        <v>0</v>
      </c>
      <c r="M8" s="85">
        <v>507.8</v>
      </c>
      <c r="N8" s="86">
        <v>5478</v>
      </c>
      <c r="O8" s="87">
        <f t="shared" si="0"/>
        <v>507.8</v>
      </c>
    </row>
    <row r="9" spans="1:15" ht="15.75" thickTop="1">
      <c r="A9" s="88" t="s">
        <v>100</v>
      </c>
      <c r="B9" s="89">
        <v>170</v>
      </c>
      <c r="C9" s="90">
        <v>155.3</v>
      </c>
      <c r="D9" s="90">
        <v>0</v>
      </c>
      <c r="E9" s="90">
        <v>302</v>
      </c>
      <c r="F9" s="90">
        <v>0</v>
      </c>
      <c r="G9" s="90">
        <v>15.8</v>
      </c>
      <c r="H9" s="90">
        <v>420.9</v>
      </c>
      <c r="I9" s="90">
        <v>0</v>
      </c>
      <c r="J9" s="90">
        <v>31.9</v>
      </c>
      <c r="K9" s="90">
        <v>67.8</v>
      </c>
      <c r="L9" s="90">
        <v>0</v>
      </c>
      <c r="M9" s="90">
        <v>520.6</v>
      </c>
      <c r="N9" s="91">
        <v>5478</v>
      </c>
      <c r="O9" s="92">
        <f t="shared" si="0"/>
        <v>520.5999999999999</v>
      </c>
    </row>
    <row r="10" spans="1:15" ht="15.75">
      <c r="A10" s="98" t="s">
        <v>101</v>
      </c>
      <c r="B10" s="99">
        <v>148</v>
      </c>
      <c r="C10" s="100">
        <v>129.8</v>
      </c>
      <c r="D10" s="100">
        <v>0</v>
      </c>
      <c r="E10" s="100">
        <v>246.7</v>
      </c>
      <c r="F10" s="100">
        <v>0</v>
      </c>
      <c r="G10" s="100">
        <v>15.8</v>
      </c>
      <c r="H10" s="100">
        <v>343.8</v>
      </c>
      <c r="I10" s="100">
        <v>0</v>
      </c>
      <c r="J10" s="100">
        <v>31.9</v>
      </c>
      <c r="K10" s="100">
        <v>67.8</v>
      </c>
      <c r="L10" s="100">
        <v>0</v>
      </c>
      <c r="M10" s="100">
        <v>443.6</v>
      </c>
      <c r="N10" s="101">
        <v>5478</v>
      </c>
      <c r="O10" s="102">
        <f t="shared" si="0"/>
        <v>443.5</v>
      </c>
    </row>
    <row r="11" spans="1:15" ht="15.75">
      <c r="A11" s="93" t="s">
        <v>102</v>
      </c>
      <c r="B11" s="94">
        <v>140</v>
      </c>
      <c r="C11" s="95">
        <v>121.3</v>
      </c>
      <c r="D11" s="95">
        <v>0</v>
      </c>
      <c r="E11" s="95">
        <v>228.4</v>
      </c>
      <c r="F11" s="95">
        <v>0</v>
      </c>
      <c r="G11" s="95">
        <v>15.8</v>
      </c>
      <c r="H11" s="95">
        <v>318.4</v>
      </c>
      <c r="I11" s="95">
        <v>0</v>
      </c>
      <c r="J11" s="95">
        <v>31.9</v>
      </c>
      <c r="K11" s="95">
        <v>67.8</v>
      </c>
      <c r="L11" s="95">
        <v>0</v>
      </c>
      <c r="M11" s="95">
        <v>418.1</v>
      </c>
      <c r="N11" s="96">
        <v>5478</v>
      </c>
      <c r="O11" s="97">
        <f t="shared" si="0"/>
        <v>418.09999999999997</v>
      </c>
    </row>
    <row r="12" spans="1:15" s="290" customFormat="1" ht="15.75">
      <c r="A12" s="119" t="s">
        <v>103</v>
      </c>
      <c r="B12" s="115">
        <v>135</v>
      </c>
      <c r="C12" s="116">
        <v>115</v>
      </c>
      <c r="D12" s="116">
        <v>0</v>
      </c>
      <c r="E12" s="116">
        <v>213.8</v>
      </c>
      <c r="F12" s="116">
        <v>0</v>
      </c>
      <c r="G12" s="116">
        <v>15.8</v>
      </c>
      <c r="H12" s="116">
        <v>298</v>
      </c>
      <c r="I12" s="116">
        <v>0</v>
      </c>
      <c r="J12" s="116">
        <v>31.9</v>
      </c>
      <c r="K12" s="116">
        <v>67.8</v>
      </c>
      <c r="L12" s="116">
        <v>0</v>
      </c>
      <c r="M12" s="116">
        <v>397.8</v>
      </c>
      <c r="N12" s="117">
        <v>5478</v>
      </c>
      <c r="O12" s="118">
        <f t="shared" si="0"/>
        <v>397.7</v>
      </c>
    </row>
    <row r="13" spans="1:15" ht="15.75">
      <c r="A13" s="98" t="s">
        <v>104</v>
      </c>
      <c r="B13" s="99">
        <v>107</v>
      </c>
      <c r="C13" s="100">
        <v>84.7</v>
      </c>
      <c r="D13" s="100">
        <v>0</v>
      </c>
      <c r="E13" s="100">
        <v>150.5</v>
      </c>
      <c r="F13" s="100">
        <v>0</v>
      </c>
      <c r="G13" s="100">
        <v>15.8</v>
      </c>
      <c r="H13" s="100">
        <v>209.8</v>
      </c>
      <c r="I13" s="100">
        <v>0</v>
      </c>
      <c r="J13" s="100">
        <v>31.9</v>
      </c>
      <c r="K13" s="100">
        <v>67.8</v>
      </c>
      <c r="L13" s="100">
        <v>0</v>
      </c>
      <c r="M13" s="100">
        <v>309.6</v>
      </c>
      <c r="N13" s="101">
        <v>5478</v>
      </c>
      <c r="O13" s="102">
        <f t="shared" si="0"/>
        <v>309.5</v>
      </c>
    </row>
    <row r="14" spans="1:15" ht="15.75">
      <c r="A14" s="93" t="s">
        <v>105</v>
      </c>
      <c r="B14" s="94">
        <v>105</v>
      </c>
      <c r="C14" s="95">
        <v>82.1</v>
      </c>
      <c r="D14" s="95">
        <v>0</v>
      </c>
      <c r="E14" s="95">
        <v>145.1</v>
      </c>
      <c r="F14" s="95">
        <v>0</v>
      </c>
      <c r="G14" s="95">
        <v>15.8</v>
      </c>
      <c r="H14" s="95">
        <v>202.3</v>
      </c>
      <c r="I14" s="95">
        <v>0</v>
      </c>
      <c r="J14" s="95">
        <v>31.9</v>
      </c>
      <c r="K14" s="95">
        <v>67.8</v>
      </c>
      <c r="L14" s="95">
        <v>0</v>
      </c>
      <c r="M14" s="95">
        <v>302.1</v>
      </c>
      <c r="N14" s="96">
        <v>5478</v>
      </c>
      <c r="O14" s="97">
        <f t="shared" si="0"/>
        <v>302</v>
      </c>
    </row>
    <row r="15" spans="1:15" s="290" customFormat="1" ht="15.75">
      <c r="A15" s="119" t="s">
        <v>106</v>
      </c>
      <c r="B15" s="115">
        <v>98</v>
      </c>
      <c r="C15" s="116">
        <v>74.2</v>
      </c>
      <c r="D15" s="116">
        <v>0</v>
      </c>
      <c r="E15" s="116">
        <v>126.9</v>
      </c>
      <c r="F15" s="116">
        <v>0</v>
      </c>
      <c r="G15" s="116">
        <v>15.8</v>
      </c>
      <c r="H15" s="116">
        <v>177</v>
      </c>
      <c r="I15" s="116">
        <v>0</v>
      </c>
      <c r="J15" s="116">
        <v>31.9</v>
      </c>
      <c r="K15" s="116">
        <v>67.8</v>
      </c>
      <c r="L15" s="116">
        <v>0</v>
      </c>
      <c r="M15" s="116">
        <v>276.8</v>
      </c>
      <c r="N15" s="117">
        <v>5478</v>
      </c>
      <c r="O15" s="118">
        <f t="shared" si="0"/>
        <v>276.7</v>
      </c>
    </row>
    <row r="16" spans="1:15" ht="15.75">
      <c r="A16" s="98" t="s">
        <v>107</v>
      </c>
      <c r="B16" s="99">
        <v>83</v>
      </c>
      <c r="C16" s="100">
        <v>55</v>
      </c>
      <c r="D16" s="100">
        <v>0</v>
      </c>
      <c r="E16" s="100">
        <v>85.8</v>
      </c>
      <c r="F16" s="100">
        <v>0</v>
      </c>
      <c r="G16" s="100">
        <v>15.8</v>
      </c>
      <c r="H16" s="100">
        <v>119.7</v>
      </c>
      <c r="I16" s="100">
        <v>0</v>
      </c>
      <c r="J16" s="100">
        <v>31.9</v>
      </c>
      <c r="K16" s="100">
        <v>67.8</v>
      </c>
      <c r="L16" s="100">
        <v>0</v>
      </c>
      <c r="M16" s="100">
        <v>219.5</v>
      </c>
      <c r="N16" s="101">
        <v>5478</v>
      </c>
      <c r="O16" s="102">
        <f t="shared" si="0"/>
        <v>219.39999999999998</v>
      </c>
    </row>
    <row r="17" spans="1:15" ht="15.75">
      <c r="A17" s="93" t="s">
        <v>108</v>
      </c>
      <c r="B17" s="94">
        <v>81</v>
      </c>
      <c r="C17" s="95">
        <v>52.4</v>
      </c>
      <c r="D17" s="95">
        <v>0</v>
      </c>
      <c r="E17" s="95">
        <v>80.2</v>
      </c>
      <c r="F17" s="95">
        <v>0</v>
      </c>
      <c r="G17" s="95">
        <v>15.8</v>
      </c>
      <c r="H17" s="95">
        <v>111.9</v>
      </c>
      <c r="I17" s="95">
        <v>0</v>
      </c>
      <c r="J17" s="95">
        <v>31.9</v>
      </c>
      <c r="K17" s="95">
        <v>67.8</v>
      </c>
      <c r="L17" s="95">
        <v>0</v>
      </c>
      <c r="M17" s="95">
        <v>211.7</v>
      </c>
      <c r="N17" s="96">
        <v>5478</v>
      </c>
      <c r="O17" s="97">
        <f t="shared" si="0"/>
        <v>211.60000000000002</v>
      </c>
    </row>
    <row r="18" spans="1:15" s="290" customFormat="1" ht="15.75">
      <c r="A18" s="119" t="s">
        <v>109</v>
      </c>
      <c r="B18" s="115">
        <v>76</v>
      </c>
      <c r="C18" s="116">
        <v>45.6</v>
      </c>
      <c r="D18" s="116">
        <v>0</v>
      </c>
      <c r="E18" s="116">
        <v>65.2</v>
      </c>
      <c r="F18" s="116">
        <v>0</v>
      </c>
      <c r="G18" s="116">
        <v>15.8</v>
      </c>
      <c r="H18" s="116">
        <v>91</v>
      </c>
      <c r="I18" s="116">
        <v>0</v>
      </c>
      <c r="J18" s="116">
        <v>31.9</v>
      </c>
      <c r="K18" s="116">
        <v>67.8</v>
      </c>
      <c r="L18" s="116">
        <v>0</v>
      </c>
      <c r="M18" s="116">
        <v>190.8</v>
      </c>
      <c r="N18" s="117">
        <v>5478</v>
      </c>
      <c r="O18" s="118">
        <f t="shared" si="0"/>
        <v>190.7</v>
      </c>
    </row>
    <row r="19" spans="1:15" ht="15.75">
      <c r="A19" s="103" t="s">
        <v>110</v>
      </c>
      <c r="B19" s="104">
        <v>65</v>
      </c>
      <c r="C19" s="105">
        <v>35.4</v>
      </c>
      <c r="D19" s="105">
        <v>0</v>
      </c>
      <c r="E19" s="105">
        <v>48.5</v>
      </c>
      <c r="F19" s="105">
        <v>0</v>
      </c>
      <c r="G19" s="105">
        <v>15.8</v>
      </c>
      <c r="H19" s="105">
        <v>67.8</v>
      </c>
      <c r="I19" s="105">
        <v>0</v>
      </c>
      <c r="J19" s="105">
        <v>31.9</v>
      </c>
      <c r="K19" s="105">
        <v>67.8</v>
      </c>
      <c r="L19" s="105">
        <v>0</v>
      </c>
      <c r="M19" s="105">
        <v>167.5</v>
      </c>
      <c r="N19" s="106">
        <v>5478</v>
      </c>
      <c r="O19" s="107">
        <f t="shared" si="0"/>
        <v>167.5</v>
      </c>
    </row>
    <row r="20" spans="1:15" ht="16.5" customHeight="1">
      <c r="A20" s="103" t="s">
        <v>111</v>
      </c>
      <c r="B20" s="104">
        <v>61</v>
      </c>
      <c r="C20" s="105">
        <v>29.6</v>
      </c>
      <c r="D20" s="105">
        <v>0</v>
      </c>
      <c r="E20" s="105">
        <v>35.8</v>
      </c>
      <c r="F20" s="105">
        <v>0</v>
      </c>
      <c r="G20" s="105">
        <v>15.8</v>
      </c>
      <c r="H20" s="105">
        <v>50.1</v>
      </c>
      <c r="I20" s="105">
        <v>0</v>
      </c>
      <c r="J20" s="113">
        <v>31.9</v>
      </c>
      <c r="K20" s="105">
        <v>67.8</v>
      </c>
      <c r="L20" s="105">
        <v>0</v>
      </c>
      <c r="M20" s="105">
        <v>149.8</v>
      </c>
      <c r="N20" s="106">
        <v>5478</v>
      </c>
      <c r="O20" s="107">
        <f t="shared" si="0"/>
        <v>149.8</v>
      </c>
    </row>
    <row r="21" spans="1:15" ht="15.75">
      <c r="A21" s="108" t="s">
        <v>112</v>
      </c>
      <c r="B21" s="109">
        <v>52</v>
      </c>
      <c r="C21" s="110">
        <v>29.6</v>
      </c>
      <c r="D21" s="110">
        <v>0</v>
      </c>
      <c r="E21" s="110">
        <v>35.8</v>
      </c>
      <c r="F21" s="110">
        <v>0</v>
      </c>
      <c r="G21" s="110">
        <v>0</v>
      </c>
      <c r="H21" s="110">
        <v>38.1</v>
      </c>
      <c r="I21" s="110">
        <v>0</v>
      </c>
      <c r="J21" s="110">
        <v>0</v>
      </c>
      <c r="K21" s="110">
        <v>67.8</v>
      </c>
      <c r="L21" s="110">
        <v>0</v>
      </c>
      <c r="M21" s="110">
        <v>106</v>
      </c>
      <c r="N21" s="111">
        <v>5478</v>
      </c>
      <c r="O21" s="112">
        <f t="shared" si="0"/>
        <v>105.9</v>
      </c>
    </row>
    <row r="22" spans="1:15" ht="15.75">
      <c r="A22" s="119" t="s">
        <v>113</v>
      </c>
      <c r="B22" s="115">
        <v>52</v>
      </c>
      <c r="C22" s="116">
        <v>29.6</v>
      </c>
      <c r="D22" s="116">
        <v>20.6</v>
      </c>
      <c r="E22" s="116">
        <v>35.8</v>
      </c>
      <c r="F22" s="116">
        <v>17.6</v>
      </c>
      <c r="G22" s="116">
        <v>0</v>
      </c>
      <c r="H22" s="116">
        <v>38.1</v>
      </c>
      <c r="I22" s="116">
        <v>4.6</v>
      </c>
      <c r="J22" s="116">
        <v>0</v>
      </c>
      <c r="K22" s="116">
        <v>67.8</v>
      </c>
      <c r="L22" s="116">
        <v>0</v>
      </c>
      <c r="M22" s="116">
        <v>110.6</v>
      </c>
      <c r="N22" s="117">
        <v>5478</v>
      </c>
      <c r="O22" s="118">
        <f t="shared" si="0"/>
        <v>110.5</v>
      </c>
    </row>
    <row r="23" spans="1:15" ht="15.75">
      <c r="A23" s="114" t="s">
        <v>114</v>
      </c>
      <c r="B23" s="115">
        <v>47</v>
      </c>
      <c r="C23" s="116">
        <v>29.6</v>
      </c>
      <c r="D23" s="116">
        <v>20.6</v>
      </c>
      <c r="E23" s="116">
        <v>35.8</v>
      </c>
      <c r="F23" s="116">
        <v>17.6</v>
      </c>
      <c r="G23" s="116">
        <v>0</v>
      </c>
      <c r="H23" s="116">
        <v>38.1</v>
      </c>
      <c r="I23" s="116">
        <v>4.6</v>
      </c>
      <c r="J23" s="116">
        <v>0</v>
      </c>
      <c r="K23" s="116">
        <v>67.8</v>
      </c>
      <c r="L23" s="116">
        <v>0</v>
      </c>
      <c r="M23" s="116">
        <v>110.6</v>
      </c>
      <c r="N23" s="117">
        <v>5478</v>
      </c>
      <c r="O23" s="118">
        <f t="shared" si="0"/>
        <v>110.5</v>
      </c>
    </row>
    <row r="24" spans="1:15" ht="15.75">
      <c r="A24" s="119" t="s">
        <v>115</v>
      </c>
      <c r="B24" s="115">
        <v>46</v>
      </c>
      <c r="C24" s="116">
        <v>29.6</v>
      </c>
      <c r="D24" s="116">
        <v>20.6</v>
      </c>
      <c r="E24" s="116">
        <v>35.8</v>
      </c>
      <c r="F24" s="116">
        <v>17.6</v>
      </c>
      <c r="G24" s="116">
        <v>3.4</v>
      </c>
      <c r="H24" s="116">
        <v>38.1</v>
      </c>
      <c r="I24" s="116">
        <v>4.6</v>
      </c>
      <c r="J24" s="113">
        <v>3.4</v>
      </c>
      <c r="K24" s="116">
        <v>67.8</v>
      </c>
      <c r="L24" s="116">
        <v>0</v>
      </c>
      <c r="M24" s="116">
        <v>114</v>
      </c>
      <c r="N24" s="117">
        <v>5478</v>
      </c>
      <c r="O24" s="118">
        <f t="shared" si="0"/>
        <v>113.9</v>
      </c>
    </row>
    <row r="25" spans="1:15" ht="15.75">
      <c r="A25" s="119" t="s">
        <v>116</v>
      </c>
      <c r="B25" s="115">
        <v>46</v>
      </c>
      <c r="C25" s="116">
        <v>29.6</v>
      </c>
      <c r="D25" s="116">
        <v>20.6</v>
      </c>
      <c r="E25" s="116">
        <v>35.8</v>
      </c>
      <c r="F25" s="116">
        <v>17.6</v>
      </c>
      <c r="G25" s="116">
        <v>3.4</v>
      </c>
      <c r="H25" s="116">
        <v>38.1</v>
      </c>
      <c r="I25" s="116">
        <v>4.6</v>
      </c>
      <c r="J25" s="116">
        <v>3.4</v>
      </c>
      <c r="K25" s="116">
        <v>68</v>
      </c>
      <c r="L25" s="116">
        <v>0</v>
      </c>
      <c r="M25" s="116">
        <v>114.1</v>
      </c>
      <c r="N25" s="117">
        <v>5478</v>
      </c>
      <c r="O25" s="118">
        <f t="shared" si="0"/>
        <v>114.1</v>
      </c>
    </row>
    <row r="26" spans="1:15" ht="15.75">
      <c r="A26" s="119" t="s">
        <v>117</v>
      </c>
      <c r="B26" s="115">
        <v>46</v>
      </c>
      <c r="C26" s="116">
        <v>29.6</v>
      </c>
      <c r="D26" s="116">
        <v>20.6</v>
      </c>
      <c r="E26" s="116">
        <v>35.8</v>
      </c>
      <c r="F26" s="116">
        <v>17.6</v>
      </c>
      <c r="G26" s="116">
        <v>3</v>
      </c>
      <c r="H26" s="116">
        <v>38.2</v>
      </c>
      <c r="I26" s="116">
        <v>4.6</v>
      </c>
      <c r="J26" s="116">
        <v>3.1</v>
      </c>
      <c r="K26" s="116">
        <v>67.7</v>
      </c>
      <c r="L26" s="116">
        <v>0</v>
      </c>
      <c r="M26" s="116">
        <v>113.5</v>
      </c>
      <c r="N26" s="117">
        <v>5478</v>
      </c>
      <c r="O26" s="118">
        <f t="shared" si="0"/>
        <v>113.60000000000001</v>
      </c>
    </row>
    <row r="27" spans="1:15" ht="15.75">
      <c r="A27" s="119" t="s">
        <v>118</v>
      </c>
      <c r="B27" s="115">
        <v>42</v>
      </c>
      <c r="C27" s="116">
        <v>29.6</v>
      </c>
      <c r="D27" s="116">
        <v>19.6</v>
      </c>
      <c r="E27" s="116">
        <v>39.3</v>
      </c>
      <c r="F27" s="116">
        <v>15</v>
      </c>
      <c r="G27" s="116">
        <v>3</v>
      </c>
      <c r="H27" s="116">
        <v>41.7</v>
      </c>
      <c r="I27" s="116">
        <v>4</v>
      </c>
      <c r="J27" s="116">
        <v>3</v>
      </c>
      <c r="K27" s="116">
        <v>57.5</v>
      </c>
      <c r="L27" s="116">
        <v>0</v>
      </c>
      <c r="M27" s="116">
        <v>106.2</v>
      </c>
      <c r="N27" s="117">
        <v>5478</v>
      </c>
      <c r="O27" s="118">
        <f t="shared" si="0"/>
        <v>106.2</v>
      </c>
    </row>
    <row r="28" spans="1:15" ht="16.5" thickBot="1">
      <c r="A28" s="120" t="s">
        <v>119</v>
      </c>
      <c r="B28" s="121">
        <v>32</v>
      </c>
      <c r="C28" s="122">
        <v>29.6</v>
      </c>
      <c r="D28" s="122">
        <v>19.6</v>
      </c>
      <c r="E28" s="122">
        <v>39.3</v>
      </c>
      <c r="F28" s="122">
        <v>15</v>
      </c>
      <c r="G28" s="122">
        <v>3</v>
      </c>
      <c r="H28" s="122">
        <v>41.7</v>
      </c>
      <c r="I28" s="122">
        <v>4</v>
      </c>
      <c r="J28" s="122">
        <v>3.1</v>
      </c>
      <c r="K28" s="122">
        <v>57.5</v>
      </c>
      <c r="L28" s="122">
        <v>-19.3</v>
      </c>
      <c r="M28" s="122">
        <v>87</v>
      </c>
      <c r="N28" s="123">
        <v>5478</v>
      </c>
      <c r="O28" s="124">
        <f>SUM(H28:L28)</f>
        <v>87.00000000000001</v>
      </c>
    </row>
    <row r="29" ht="15.75">
      <c r="A29" s="125" t="s">
        <v>211</v>
      </c>
    </row>
    <row r="30" ht="15.75">
      <c r="A30" s="125"/>
    </row>
    <row r="31" ht="15.75">
      <c r="A31" s="125" t="s">
        <v>318</v>
      </c>
    </row>
    <row r="32" ht="15.75">
      <c r="A32" s="125" t="s">
        <v>319</v>
      </c>
    </row>
    <row r="33" spans="1:6" ht="16.5" thickBot="1">
      <c r="A33" s="301"/>
      <c r="B33" s="315" t="s">
        <v>314</v>
      </c>
      <c r="C33" s="318"/>
      <c r="D33" s="313" t="s">
        <v>316</v>
      </c>
      <c r="E33" s="322" t="s">
        <v>315</v>
      </c>
      <c r="F33" s="315"/>
    </row>
    <row r="34" spans="1:6" ht="16.5" thickBot="1">
      <c r="A34" s="315"/>
      <c r="B34" s="316" t="s">
        <v>312</v>
      </c>
      <c r="C34" s="317" t="s">
        <v>313</v>
      </c>
      <c r="D34" s="319" t="s">
        <v>134</v>
      </c>
      <c r="E34" s="320" t="s">
        <v>317</v>
      </c>
      <c r="F34" s="321" t="s">
        <v>313</v>
      </c>
    </row>
    <row r="35" spans="1:6" ht="15.75">
      <c r="A35" s="314" t="s">
        <v>310</v>
      </c>
      <c r="B35" s="308">
        <v>1000</v>
      </c>
      <c r="C35" s="309">
        <v>200</v>
      </c>
      <c r="D35" s="310">
        <f>+H11-H12</f>
        <v>20.399999999999977</v>
      </c>
      <c r="E35" s="311">
        <f aca="true" t="shared" si="1" ref="E35:F37">+$D35*B35/($B35+$C35)</f>
        <v>16.999999999999982</v>
      </c>
      <c r="F35" s="312">
        <f t="shared" si="1"/>
        <v>3.3999999999999964</v>
      </c>
    </row>
    <row r="36" spans="1:6" ht="15.75">
      <c r="A36" s="301" t="s">
        <v>311</v>
      </c>
      <c r="B36" s="302">
        <v>1300</v>
      </c>
      <c r="C36" s="305">
        <v>200</v>
      </c>
      <c r="D36" s="307">
        <f>+H14-H15</f>
        <v>25.30000000000001</v>
      </c>
      <c r="E36" s="306">
        <f t="shared" si="1"/>
        <v>21.926666666666677</v>
      </c>
      <c r="F36" s="304">
        <f t="shared" si="1"/>
        <v>3.3733333333333344</v>
      </c>
    </row>
    <row r="37" spans="1:6" ht="15.75">
      <c r="A37" s="301" t="s">
        <v>309</v>
      </c>
      <c r="B37" s="302">
        <v>1300</v>
      </c>
      <c r="C37" s="305">
        <v>0</v>
      </c>
      <c r="D37" s="307">
        <f>+H17-H18</f>
        <v>20.900000000000006</v>
      </c>
      <c r="E37" s="306">
        <f t="shared" si="1"/>
        <v>20.900000000000006</v>
      </c>
      <c r="F37" s="304">
        <f t="shared" si="1"/>
        <v>0</v>
      </c>
    </row>
    <row r="38" spans="1:6" ht="15.75">
      <c r="A38" s="301" t="s">
        <v>320</v>
      </c>
      <c r="B38" s="302">
        <f>SUM(B35:B37)</f>
        <v>3600</v>
      </c>
      <c r="C38" s="303">
        <f>SUM(C35:C37)</f>
        <v>400</v>
      </c>
      <c r="D38" s="307">
        <f>SUM(D35:D37)</f>
        <v>66.6</v>
      </c>
      <c r="E38" s="306">
        <f>SUM(E35:E37)</f>
        <v>59.82666666666667</v>
      </c>
      <c r="F38" s="304">
        <f>SUM(F35:F37)</f>
        <v>6.773333333333331</v>
      </c>
    </row>
    <row r="42" ht="15.75">
      <c r="A42" s="333"/>
    </row>
  </sheetData>
  <sheetProtection sheet="1" objects="1" scenarios="1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A23" sqref="A23"/>
      <selection activeCell="A26" sqref="A26"/>
    </sheetView>
  </sheetViews>
  <sheetFormatPr defaultColWidth="8.796875" defaultRowHeight="15"/>
  <cols>
    <col min="1" max="1" width="58.19921875" style="0" customWidth="1"/>
    <col min="2" max="2" width="0" style="0" hidden="1" customWidth="1"/>
    <col min="3" max="3" width="0.1015625" style="0" customWidth="1"/>
    <col min="4" max="4" width="7.69921875" style="0" customWidth="1"/>
    <col min="5" max="5" width="10.8984375" style="0" customWidth="1"/>
    <col min="6" max="6" width="8.3984375" style="0" customWidth="1"/>
    <col min="8" max="8" width="9.5" style="0" customWidth="1"/>
    <col min="9" max="9" width="9.3984375" style="0" customWidth="1"/>
    <col min="10" max="10" width="8.69921875" style="0" customWidth="1"/>
    <col min="11" max="11" width="8.19921875" style="0" customWidth="1"/>
    <col min="12" max="12" width="15" style="0" customWidth="1"/>
    <col min="13" max="13" width="5" style="0" customWidth="1"/>
    <col min="14" max="16384" width="10.8984375" style="0" customWidth="1"/>
  </cols>
  <sheetData>
    <row r="1" spans="1:12" ht="15">
      <c r="A1" s="127" t="s">
        <v>234</v>
      </c>
      <c r="B1" s="128"/>
      <c r="C1" s="128"/>
      <c r="D1" s="129"/>
      <c r="E1" s="128"/>
      <c r="F1" s="128"/>
      <c r="G1" s="128"/>
      <c r="H1" s="130"/>
      <c r="I1" s="130"/>
      <c r="J1" s="130"/>
      <c r="K1" s="131"/>
      <c r="L1" s="131"/>
    </row>
    <row r="2" spans="1:12" ht="15">
      <c r="A2" s="127" t="s">
        <v>213</v>
      </c>
      <c r="B2" s="128"/>
      <c r="C2" s="128"/>
      <c r="D2" s="129"/>
      <c r="E2" s="128"/>
      <c r="F2" s="128"/>
      <c r="G2" s="127"/>
      <c r="H2" s="131"/>
      <c r="I2" s="131"/>
      <c r="J2" s="130"/>
      <c r="K2" s="131"/>
      <c r="L2" s="131"/>
    </row>
    <row r="3" spans="1:12" ht="15.75" thickBot="1">
      <c r="A3" s="127"/>
      <c r="B3" s="127"/>
      <c r="C3" s="127"/>
      <c r="D3" s="127"/>
      <c r="E3" s="128"/>
      <c r="F3" s="128"/>
      <c r="G3" s="128"/>
      <c r="H3" s="130"/>
      <c r="I3" s="130"/>
      <c r="J3" s="130"/>
      <c r="K3" s="130"/>
      <c r="L3" s="130"/>
    </row>
    <row r="4" spans="1:12" ht="30.75" customHeight="1" thickBot="1" thickTop="1">
      <c r="A4" s="127"/>
      <c r="B4" s="127"/>
      <c r="C4" s="127"/>
      <c r="D4" s="132" t="s">
        <v>214</v>
      </c>
      <c r="E4" s="133"/>
      <c r="F4" s="133"/>
      <c r="G4" s="133"/>
      <c r="H4" s="158"/>
      <c r="I4" s="331" t="s">
        <v>215</v>
      </c>
      <c r="J4" s="332"/>
      <c r="K4" s="332"/>
      <c r="L4" s="332"/>
    </row>
    <row r="5" spans="1:12" ht="76.5" thickBot="1" thickTop="1">
      <c r="A5" s="134"/>
      <c r="B5" s="135" t="s">
        <v>61</v>
      </c>
      <c r="C5" s="136" t="s">
        <v>62</v>
      </c>
      <c r="D5" s="159" t="s">
        <v>59</v>
      </c>
      <c r="E5" s="160" t="s">
        <v>120</v>
      </c>
      <c r="F5" s="160" t="s">
        <v>121</v>
      </c>
      <c r="G5" s="161" t="s">
        <v>122</v>
      </c>
      <c r="H5" s="162" t="s">
        <v>216</v>
      </c>
      <c r="I5" s="163" t="s">
        <v>231</v>
      </c>
      <c r="J5" s="166" t="s">
        <v>230</v>
      </c>
      <c r="K5" s="213" t="s">
        <v>232</v>
      </c>
      <c r="L5" s="137" t="s">
        <v>212</v>
      </c>
    </row>
    <row r="6" spans="1:12" ht="17.25" thickBot="1" thickTop="1">
      <c r="A6" s="138" t="s">
        <v>100</v>
      </c>
      <c r="B6" s="138">
        <v>5002.125</v>
      </c>
      <c r="C6" s="139"/>
      <c r="D6" s="140"/>
      <c r="E6" s="138"/>
      <c r="F6" s="138"/>
      <c r="G6" s="139">
        <v>6978.4</v>
      </c>
      <c r="H6" s="154">
        <f>SUM(D6:G6)</f>
        <v>6978.4</v>
      </c>
      <c r="I6" s="173">
        <v>7084</v>
      </c>
      <c r="J6" s="170">
        <f>+G6-I6</f>
        <v>-105.60000000000036</v>
      </c>
      <c r="K6" s="174"/>
      <c r="L6" s="137"/>
    </row>
    <row r="7" spans="1:12" ht="16.5" thickBot="1">
      <c r="A7" s="141" t="s">
        <v>101</v>
      </c>
      <c r="B7" s="141">
        <v>4720</v>
      </c>
      <c r="C7" s="142"/>
      <c r="D7" s="185"/>
      <c r="E7" s="186"/>
      <c r="F7" s="186">
        <v>6274</v>
      </c>
      <c r="G7" s="187">
        <v>0</v>
      </c>
      <c r="H7" s="188">
        <f aca="true" t="shared" si="0" ref="H7:H15">SUM(D7:G7)</f>
        <v>6274</v>
      </c>
      <c r="I7" s="189">
        <v>4720</v>
      </c>
      <c r="J7" s="190">
        <f>+SUM(E7:G7)-I7</f>
        <v>1554</v>
      </c>
      <c r="K7" s="191">
        <v>4720</v>
      </c>
      <c r="L7" s="137"/>
    </row>
    <row r="8" spans="1:12" ht="16.5" thickBot="1">
      <c r="A8" s="144" t="s">
        <v>60</v>
      </c>
      <c r="B8" s="144">
        <v>35625</v>
      </c>
      <c r="C8" s="184"/>
      <c r="D8" s="192"/>
      <c r="E8" s="193">
        <v>26198.36</v>
      </c>
      <c r="F8" s="194"/>
      <c r="G8" s="195">
        <v>47353</v>
      </c>
      <c r="H8" s="196">
        <f t="shared" si="0"/>
        <v>73551.36</v>
      </c>
      <c r="I8" s="197">
        <v>54802</v>
      </c>
      <c r="J8" s="198">
        <f>+SUM(E8:G8)-I8</f>
        <v>18749.36</v>
      </c>
      <c r="K8" s="199">
        <v>54423</v>
      </c>
      <c r="L8" s="165" t="s">
        <v>220</v>
      </c>
    </row>
    <row r="9" spans="1:12" ht="16.5" thickBot="1">
      <c r="A9" s="141" t="s">
        <v>104</v>
      </c>
      <c r="B9" s="141">
        <v>3800</v>
      </c>
      <c r="C9" s="142"/>
      <c r="D9" s="180"/>
      <c r="E9" s="181"/>
      <c r="F9" s="181">
        <v>5051</v>
      </c>
      <c r="G9" s="182">
        <v>0</v>
      </c>
      <c r="H9" s="183">
        <f t="shared" si="0"/>
        <v>5051</v>
      </c>
      <c r="I9" s="167">
        <v>3809</v>
      </c>
      <c r="J9" s="170">
        <f>+SUM(E9:G9)-I9</f>
        <v>1242</v>
      </c>
      <c r="K9" s="179">
        <v>3800</v>
      </c>
      <c r="L9" s="137"/>
    </row>
    <row r="10" spans="1:12" ht="16.5" thickBot="1">
      <c r="A10" s="146" t="s">
        <v>105</v>
      </c>
      <c r="B10" s="146">
        <f>3570+5824+10000</f>
        <v>19394</v>
      </c>
      <c r="C10" s="147"/>
      <c r="D10" s="177"/>
      <c r="E10" s="178">
        <v>11396.9254</v>
      </c>
      <c r="F10" s="138"/>
      <c r="G10" s="139">
        <v>25779</v>
      </c>
      <c r="H10" s="154">
        <f t="shared" si="0"/>
        <v>37175.9254</v>
      </c>
      <c r="I10" s="167">
        <v>37183</v>
      </c>
      <c r="J10" s="170">
        <f>+SUM(E10:G10)-I10</f>
        <v>-7.0745999999999185</v>
      </c>
      <c r="K10" s="179">
        <v>32681</v>
      </c>
      <c r="L10" s="165" t="s">
        <v>221</v>
      </c>
    </row>
    <row r="11" spans="1:12" ht="15.75">
      <c r="A11" s="141" t="s">
        <v>107</v>
      </c>
      <c r="B11" s="141">
        <v>4600</v>
      </c>
      <c r="C11" s="142"/>
      <c r="D11" s="143"/>
      <c r="E11" s="141"/>
      <c r="F11" s="141">
        <v>6114</v>
      </c>
      <c r="G11" s="142">
        <v>0</v>
      </c>
      <c r="H11" s="155">
        <f t="shared" si="0"/>
        <v>6114</v>
      </c>
      <c r="I11" s="168"/>
      <c r="J11" s="171"/>
      <c r="K11" s="175">
        <v>4600</v>
      </c>
      <c r="L11" s="137"/>
    </row>
    <row r="12" spans="1:12" ht="16.5" thickBot="1">
      <c r="A12" s="144" t="s">
        <v>108</v>
      </c>
      <c r="B12" s="144">
        <v>1700</v>
      </c>
      <c r="C12" s="145"/>
      <c r="D12" s="164"/>
      <c r="E12" s="146"/>
      <c r="F12" s="146"/>
      <c r="G12" s="147">
        <v>2260</v>
      </c>
      <c r="H12" s="156">
        <f t="shared" si="0"/>
        <v>2260</v>
      </c>
      <c r="I12" s="169">
        <f>2263+6788</f>
        <v>9051</v>
      </c>
      <c r="J12" s="172">
        <f>SUM(E11:G12)-I12</f>
        <v>-677</v>
      </c>
      <c r="K12" s="176"/>
      <c r="L12" s="165" t="s">
        <v>222</v>
      </c>
    </row>
    <row r="13" spans="1:12" ht="16.5" thickBot="1">
      <c r="A13" s="148" t="s">
        <v>110</v>
      </c>
      <c r="B13" s="148">
        <v>5285</v>
      </c>
      <c r="C13" s="149"/>
      <c r="D13" s="205"/>
      <c r="E13" s="193">
        <v>37184.23875000001</v>
      </c>
      <c r="F13" s="206"/>
      <c r="G13" s="207">
        <f>7025+2054</f>
        <v>9079</v>
      </c>
      <c r="H13" s="208">
        <f t="shared" si="0"/>
        <v>46263.23875000001</v>
      </c>
      <c r="I13" s="197">
        <f>32805+7500</f>
        <v>40305</v>
      </c>
      <c r="J13" s="172">
        <f>SUM(D13:G13)-I13</f>
        <v>5958.238750000011</v>
      </c>
      <c r="K13" s="176">
        <v>46494</v>
      </c>
      <c r="L13" s="165" t="s">
        <v>223</v>
      </c>
    </row>
    <row r="14" spans="1:12" ht="16.5" thickBot="1">
      <c r="A14" s="150" t="s">
        <v>112</v>
      </c>
      <c r="B14" s="150">
        <v>17400</v>
      </c>
      <c r="C14" s="151"/>
      <c r="D14" s="209"/>
      <c r="E14" s="210">
        <v>25690</v>
      </c>
      <c r="F14" s="210"/>
      <c r="G14" s="211"/>
      <c r="H14" s="212">
        <f t="shared" si="0"/>
        <v>25690</v>
      </c>
      <c r="I14" s="197">
        <v>15995</v>
      </c>
      <c r="J14" s="198">
        <f>E14-I14</f>
        <v>9695</v>
      </c>
      <c r="K14" s="199"/>
      <c r="L14" s="165" t="s">
        <v>229</v>
      </c>
    </row>
    <row r="15" spans="1:12" ht="15.75">
      <c r="A15" s="214" t="s">
        <v>114</v>
      </c>
      <c r="B15" s="214">
        <v>6700</v>
      </c>
      <c r="C15" s="215"/>
      <c r="D15" s="216"/>
      <c r="E15" s="214"/>
      <c r="F15" s="214"/>
      <c r="G15" s="215">
        <v>11000</v>
      </c>
      <c r="H15" s="157">
        <f t="shared" si="0"/>
        <v>11000</v>
      </c>
      <c r="I15" s="202"/>
      <c r="J15" s="203"/>
      <c r="K15" s="204"/>
      <c r="L15" s="165" t="s">
        <v>227</v>
      </c>
    </row>
    <row r="16" spans="1:7" ht="15.75">
      <c r="A16" s="287" t="s">
        <v>5</v>
      </c>
      <c r="B16" s="152"/>
      <c r="C16" s="152"/>
      <c r="D16" s="152"/>
      <c r="E16" s="152"/>
      <c r="F16" s="152"/>
      <c r="G16" s="217"/>
    </row>
    <row r="17" spans="1:7" ht="15.75">
      <c r="A17" s="130"/>
      <c r="B17" s="130"/>
      <c r="C17" s="130"/>
      <c r="D17" s="130"/>
      <c r="E17" s="130"/>
      <c r="F17" s="130"/>
      <c r="G17" s="130"/>
    </row>
    <row r="18" ht="15.75">
      <c r="A18" s="153" t="s">
        <v>6</v>
      </c>
    </row>
    <row r="19" ht="15.75">
      <c r="A19" s="153" t="s">
        <v>217</v>
      </c>
    </row>
    <row r="20" ht="15.75">
      <c r="A20" s="153" t="s">
        <v>218</v>
      </c>
    </row>
    <row r="21" ht="15.75">
      <c r="A21" s="153" t="s">
        <v>219</v>
      </c>
    </row>
    <row r="22" ht="15.75">
      <c r="A22" s="153" t="s">
        <v>7</v>
      </c>
    </row>
    <row r="23" ht="15.75">
      <c r="A23" t="s">
        <v>226</v>
      </c>
    </row>
    <row r="24" ht="15.75">
      <c r="A24" s="153" t="s">
        <v>224</v>
      </c>
    </row>
    <row r="25" ht="15.75">
      <c r="A25" s="153" t="s">
        <v>225</v>
      </c>
    </row>
    <row r="26" ht="15.75">
      <c r="A26" s="201" t="s">
        <v>228</v>
      </c>
    </row>
  </sheetData>
  <sheetProtection sheet="1" objects="1" scenarios="1"/>
  <mergeCells count="1">
    <mergeCell ref="I4:L4"/>
  </mergeCells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4">
      <selection activeCell="L27" sqref="L27"/>
      <selection activeCell="F44" sqref="F44"/>
    </sheetView>
  </sheetViews>
  <sheetFormatPr defaultColWidth="8.796875" defaultRowHeight="15"/>
  <cols>
    <col min="1" max="1" width="31.5" style="0" customWidth="1"/>
    <col min="2" max="2" width="10.09765625" style="0" bestFit="1" customWidth="1"/>
  </cols>
  <sheetData>
    <row r="1" ht="15.75">
      <c r="A1" s="48" t="s">
        <v>29</v>
      </c>
    </row>
    <row r="2" ht="15.75">
      <c r="A2" s="74" t="s">
        <v>30</v>
      </c>
    </row>
    <row r="3" ht="15.75">
      <c r="A3" s="48"/>
    </row>
    <row r="4" ht="15.75">
      <c r="A4" s="74" t="s">
        <v>38</v>
      </c>
    </row>
    <row r="5" ht="15.75">
      <c r="A5" s="74" t="s">
        <v>31</v>
      </c>
    </row>
    <row r="6" ht="15.75">
      <c r="A6" s="74" t="s">
        <v>32</v>
      </c>
    </row>
    <row r="7" ht="15.75">
      <c r="A7" s="74"/>
    </row>
    <row r="8" ht="15.75">
      <c r="A8" s="48" t="s">
        <v>55</v>
      </c>
    </row>
    <row r="9" ht="15.75">
      <c r="A9" s="48" t="s">
        <v>56</v>
      </c>
    </row>
    <row r="10" ht="15.75">
      <c r="A10" s="74"/>
    </row>
    <row r="11" ht="15.75">
      <c r="A11" s="48" t="s">
        <v>33</v>
      </c>
    </row>
    <row r="12" ht="15.75">
      <c r="A12" s="48" t="s">
        <v>36</v>
      </c>
    </row>
    <row r="13" ht="15.75">
      <c r="A13" t="s">
        <v>37</v>
      </c>
    </row>
    <row r="14" ht="15.75">
      <c r="A14" t="s">
        <v>34</v>
      </c>
    </row>
    <row r="15" ht="15.75">
      <c r="A15" t="s">
        <v>144</v>
      </c>
    </row>
    <row r="16" ht="15.75">
      <c r="A16" t="s">
        <v>145</v>
      </c>
    </row>
    <row r="17" ht="15.75">
      <c r="A17" t="s">
        <v>35</v>
      </c>
    </row>
    <row r="19" ht="15.75">
      <c r="A19" s="48" t="s">
        <v>39</v>
      </c>
    </row>
    <row r="20" ht="15.75">
      <c r="A20" s="48" t="s">
        <v>40</v>
      </c>
    </row>
    <row r="21" spans="1:2" ht="15.75">
      <c r="A21" t="s">
        <v>41</v>
      </c>
      <c r="B21">
        <f>+'Cost-Benefit Analysis'!B8</f>
        <v>75392</v>
      </c>
    </row>
    <row r="22" spans="1:2" ht="15.75">
      <c r="A22" t="s">
        <v>42</v>
      </c>
      <c r="B22">
        <f>+'Cost-Benefit Analysis'!F8</f>
        <v>474.73333333333346</v>
      </c>
    </row>
    <row r="23" spans="1:2" ht="15.75">
      <c r="A23" t="s">
        <v>43</v>
      </c>
      <c r="B23" s="27">
        <f>+Assumptions!C18</f>
        <v>0.0014470000000000002</v>
      </c>
    </row>
    <row r="24" spans="1:2" ht="15.75">
      <c r="A24" t="s">
        <v>44</v>
      </c>
      <c r="B24" s="289">
        <f>+B23*B22</f>
        <v>0.6869391333333336</v>
      </c>
    </row>
    <row r="25" spans="1:2" ht="15.75">
      <c r="A25" t="s">
        <v>45</v>
      </c>
      <c r="B25" s="289">
        <f>3.67*B24</f>
        <v>2.521066619333334</v>
      </c>
    </row>
    <row r="26" spans="1:3" ht="15.75">
      <c r="A26" t="s">
        <v>54</v>
      </c>
      <c r="B26" s="29">
        <v>30</v>
      </c>
      <c r="C26" s="200" t="s">
        <v>52</v>
      </c>
    </row>
    <row r="27" spans="1:2" ht="15.75">
      <c r="A27" t="s">
        <v>46</v>
      </c>
      <c r="B27" s="29">
        <f>+B26*B25</f>
        <v>75.63199858000003</v>
      </c>
    </row>
    <row r="28" spans="1:2" ht="15.75">
      <c r="A28" t="s">
        <v>49</v>
      </c>
      <c r="B28" s="29">
        <f>PV(Assumptions!B7,'Cost-Benefit Analysis'!C8,'Carbon Savings Alternatives'!B27)</f>
        <v>-1701.1230184598928</v>
      </c>
    </row>
    <row r="29" spans="1:9" ht="15.75">
      <c r="A29" s="290" t="s">
        <v>50</v>
      </c>
      <c r="B29" s="291">
        <f>MAX(0,+'Cost-Benefit Analysis'!K8/B28)</f>
        <v>20.81021926739392</v>
      </c>
      <c r="C29" s="290" t="s">
        <v>147</v>
      </c>
      <c r="D29" s="290"/>
      <c r="E29" s="290"/>
      <c r="F29" s="290"/>
      <c r="G29" s="290"/>
      <c r="H29" s="290"/>
      <c r="I29" s="290"/>
    </row>
    <row r="30" spans="1:9" ht="15.75">
      <c r="A30" s="290"/>
      <c r="B30" s="290"/>
      <c r="C30" s="290"/>
      <c r="D30" s="290"/>
      <c r="E30" s="290"/>
      <c r="F30" s="290"/>
      <c r="G30" s="290"/>
      <c r="H30" s="290"/>
      <c r="I30" s="290"/>
    </row>
    <row r="31" spans="1:9" ht="15.75">
      <c r="A31" s="292" t="s">
        <v>51</v>
      </c>
      <c r="B31" s="290"/>
      <c r="C31" s="290"/>
      <c r="D31" s="290"/>
      <c r="E31" s="290"/>
      <c r="F31" s="290"/>
      <c r="G31" s="290"/>
      <c r="H31" s="290"/>
      <c r="I31" s="290"/>
    </row>
    <row r="32" spans="1:9" ht="15.75">
      <c r="A32" s="290" t="s">
        <v>57</v>
      </c>
      <c r="B32" s="290"/>
      <c r="C32" s="290"/>
      <c r="D32" s="290"/>
      <c r="E32" s="290"/>
      <c r="F32" s="290"/>
      <c r="G32" s="290"/>
      <c r="H32" s="290"/>
      <c r="I32" s="290"/>
    </row>
    <row r="33" spans="1:9" ht="15.75">
      <c r="A33" s="290" t="s">
        <v>58</v>
      </c>
      <c r="B33" s="290"/>
      <c r="C33" s="290"/>
      <c r="D33" s="290"/>
      <c r="E33" s="290"/>
      <c r="F33" s="290"/>
      <c r="G33" s="290"/>
      <c r="H33" s="290"/>
      <c r="I33" s="290"/>
    </row>
    <row r="34" spans="1:9" ht="15.75">
      <c r="A34" s="290"/>
      <c r="B34" s="290"/>
      <c r="C34" s="290"/>
      <c r="D34" s="290"/>
      <c r="E34" s="290"/>
      <c r="F34" s="290"/>
      <c r="G34" s="290"/>
      <c r="H34" s="290"/>
      <c r="I34" s="290"/>
    </row>
    <row r="35" ht="15.75">
      <c r="A35" t="s">
        <v>53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6"/>
  <sheetViews>
    <sheetView workbookViewId="0" topLeftCell="A1">
      <selection activeCell="A1" sqref="A1"/>
      <selection activeCell="A43" sqref="A43"/>
    </sheetView>
  </sheetViews>
  <sheetFormatPr defaultColWidth="8.796875" defaultRowHeight="15"/>
  <cols>
    <col min="1" max="1" width="59.69921875" style="0" customWidth="1"/>
    <col min="2" max="2" width="18.69921875" style="0" bestFit="1" customWidth="1"/>
  </cols>
  <sheetData>
    <row r="1" ht="15.75">
      <c r="A1" s="48" t="s">
        <v>303</v>
      </c>
    </row>
    <row r="3" ht="15.75">
      <c r="A3" t="s">
        <v>282</v>
      </c>
    </row>
    <row r="4" ht="15.75">
      <c r="A4" t="s">
        <v>297</v>
      </c>
    </row>
    <row r="5" ht="15.75">
      <c r="A5" t="s">
        <v>298</v>
      </c>
    </row>
    <row r="7" ht="15.75">
      <c r="A7" t="s">
        <v>272</v>
      </c>
    </row>
    <row r="8" spans="1:2" ht="15.75">
      <c r="A8" s="30" t="s">
        <v>271</v>
      </c>
      <c r="B8" s="77">
        <v>72473000000</v>
      </c>
    </row>
    <row r="9" spans="1:2" ht="15.75">
      <c r="A9" s="30" t="s">
        <v>273</v>
      </c>
      <c r="B9" s="77">
        <f>+B8/7</f>
        <v>10353285714.285715</v>
      </c>
    </row>
    <row r="10" spans="1:2" ht="15.75">
      <c r="A10" s="30" t="s">
        <v>299</v>
      </c>
      <c r="B10" s="77"/>
    </row>
    <row r="11" spans="1:2" ht="15.75">
      <c r="A11" s="30" t="s">
        <v>275</v>
      </c>
      <c r="B11" s="77">
        <f>+(205+489+1163+312)*1000000</f>
        <v>2169000000</v>
      </c>
    </row>
    <row r="13" ht="15.75">
      <c r="A13" t="s">
        <v>276</v>
      </c>
    </row>
    <row r="14" ht="15.75">
      <c r="A14" t="s">
        <v>277</v>
      </c>
    </row>
    <row r="15" ht="15.75">
      <c r="A15" t="s">
        <v>278</v>
      </c>
    </row>
    <row r="16" spans="1:2" ht="15.75">
      <c r="A16" s="30" t="s">
        <v>279</v>
      </c>
      <c r="B16" s="30">
        <v>24133863</v>
      </c>
    </row>
    <row r="17" spans="1:2" ht="15.75">
      <c r="A17" s="30" t="s">
        <v>281</v>
      </c>
      <c r="B17" s="294">
        <f>+B9/(B16*1000000/100)</f>
        <v>0.04289941363421892</v>
      </c>
    </row>
    <row r="18" ht="15.75">
      <c r="B18" s="28"/>
    </row>
    <row r="19" spans="1:2" ht="15.75">
      <c r="A19" t="s">
        <v>288</v>
      </c>
      <c r="B19" s="28"/>
    </row>
    <row r="20" spans="1:2" ht="15.75">
      <c r="A20" s="30" t="s">
        <v>285</v>
      </c>
      <c r="B20" s="297">
        <f>20000000*42*365</f>
        <v>306600000000</v>
      </c>
    </row>
    <row r="21" spans="1:2" ht="15.75">
      <c r="A21" s="30" t="s">
        <v>287</v>
      </c>
      <c r="B21" s="294">
        <f>+B9/B20</f>
        <v>0.03376805516727239</v>
      </c>
    </row>
    <row r="22" ht="15.75">
      <c r="B22" s="293"/>
    </row>
    <row r="23" ht="15.75">
      <c r="A23" t="s">
        <v>300</v>
      </c>
    </row>
    <row r="24" spans="1:2" ht="15.75">
      <c r="A24" t="s">
        <v>283</v>
      </c>
      <c r="B24" s="29">
        <f>12200000000/7</f>
        <v>1742857142.857143</v>
      </c>
    </row>
    <row r="25" spans="1:2" ht="15.75">
      <c r="A25" t="s">
        <v>291</v>
      </c>
      <c r="B25" s="29"/>
    </row>
    <row r="26" spans="1:2" ht="15.75">
      <c r="A26" t="s">
        <v>292</v>
      </c>
      <c r="B26" s="29"/>
    </row>
    <row r="27" spans="1:2" ht="15.75">
      <c r="A27" t="s">
        <v>293</v>
      </c>
      <c r="B27" s="29"/>
    </row>
    <row r="29" spans="1:2" ht="15.75">
      <c r="A29" s="30" t="s">
        <v>305</v>
      </c>
      <c r="B29" s="77">
        <v>5224000000</v>
      </c>
    </row>
    <row r="30" spans="1:2" ht="15.75">
      <c r="A30" s="30" t="s">
        <v>302</v>
      </c>
      <c r="B30" s="30">
        <f>347162+75796+3088+3571</f>
        <v>429617</v>
      </c>
    </row>
    <row r="31" spans="1:2" ht="15.75">
      <c r="A31" s="30" t="s">
        <v>289</v>
      </c>
      <c r="B31" s="295">
        <f>+B29*(1/7)/(B30*1000000)</f>
        <v>0.0017370953995901332</v>
      </c>
    </row>
    <row r="32" spans="1:2" ht="15.75">
      <c r="A32" s="30" t="s">
        <v>290</v>
      </c>
      <c r="B32" s="295">
        <f>+B31*Assumptions!C26</f>
        <v>0.05090687804677588</v>
      </c>
    </row>
    <row r="33" spans="1:2" ht="15.75">
      <c r="A33" s="300"/>
      <c r="B33" s="299"/>
    </row>
    <row r="34" ht="15.75">
      <c r="B34" s="293"/>
    </row>
    <row r="35" spans="1:2" ht="15.75">
      <c r="A35" s="30" t="s">
        <v>304</v>
      </c>
      <c r="B35" s="296"/>
    </row>
    <row r="36" spans="1:2" ht="15.75">
      <c r="A36" s="30" t="s">
        <v>294</v>
      </c>
      <c r="B36" s="77">
        <f>+'Cost-Benefit Analysis'!L5+'Cost-Benefit Analysis'!M5+'Cost-Benefit Analysis'!N5</f>
        <v>26842.08804565099</v>
      </c>
    </row>
    <row r="37" spans="1:2" ht="15.75">
      <c r="A37" s="30" t="s">
        <v>295</v>
      </c>
      <c r="B37" s="30">
        <f>'Cost-Benefit Analysis'!F5*30</f>
        <v>169680.27430179057</v>
      </c>
    </row>
    <row r="38" spans="1:2" ht="15.75">
      <c r="A38" s="30" t="s">
        <v>296</v>
      </c>
      <c r="B38" s="294">
        <f>+B36/B37</f>
        <v>0.15819215377923124</v>
      </c>
    </row>
    <row r="39" spans="1:2" ht="15.75">
      <c r="A39" s="30" t="s">
        <v>290</v>
      </c>
      <c r="B39" s="298">
        <f>+B38*Assumptions!C26</f>
        <v>4.635939213411225</v>
      </c>
    </row>
    <row r="41" ht="15.75">
      <c r="A41" t="s">
        <v>270</v>
      </c>
    </row>
    <row r="42" spans="1:2" ht="15.75">
      <c r="A42" t="s">
        <v>269</v>
      </c>
      <c r="B42" s="288" t="s">
        <v>284</v>
      </c>
    </row>
    <row r="43" ht="15.75">
      <c r="A43" t="s">
        <v>274</v>
      </c>
    </row>
    <row r="44" ht="15.75">
      <c r="A44" t="s">
        <v>280</v>
      </c>
    </row>
    <row r="45" ht="15.75">
      <c r="A45" t="s">
        <v>286</v>
      </c>
    </row>
    <row r="46" ht="15.75">
      <c r="A46" t="s">
        <v>301</v>
      </c>
    </row>
  </sheetData>
  <sheetProtection sheet="1" objects="1" scenarios="1"/>
  <hyperlinks>
    <hyperlink ref="B42" r:id="rId1" display="http://www.eli.org/pressdetail.cfm?ID=205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Byggmeister,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Eldrenkamp</dc:creator>
  <cp:keywords/>
  <dc:description/>
  <cp:lastModifiedBy>William Brownsberger</cp:lastModifiedBy>
  <dcterms:created xsi:type="dcterms:W3CDTF">2011-01-25T16:20:53Z</dcterms:created>
  <dcterms:modified xsi:type="dcterms:W3CDTF">2011-03-15T15:25:51Z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